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9330"/>
  <workbookPr showInkAnnotation="0" autoCompressPictures="0"/>
  <mc:AlternateContent xmlns:mc="http://schemas.openxmlformats.org/markup-compatibility/2006">
    <mc:Choice Requires="x15">
      <x15ac:absPath xmlns:x15ac="http://schemas.microsoft.com/office/spreadsheetml/2010/11/ac" url="D:\Dropbox\Dropbox\DISCIPLINAS GRADUAÇÃO FEARP\RCC0436 - Introdução à Controladoria\"/>
    </mc:Choice>
  </mc:AlternateContent>
  <xr:revisionPtr revIDLastSave="0" documentId="8_{11B14C01-561F-41D6-92E7-A51737D133F9}" xr6:coauthVersionLast="33" xr6:coauthVersionMax="33" xr10:uidLastSave="{00000000-0000-0000-0000-000000000000}"/>
  <bookViews>
    <workbookView xWindow="0" yWindow="465" windowWidth="51195" windowHeight="26580" tabRatio="892" activeTab="15" xr2:uid="{00000000-000D-0000-FFFF-FFFF00000000}"/>
  </bookViews>
  <sheets>
    <sheet name="11.1" sheetId="5" r:id="rId1"/>
    <sheet name="11.2" sheetId="6" r:id="rId2"/>
    <sheet name="11.3" sheetId="7" r:id="rId3"/>
    <sheet name="11.5" sheetId="9" r:id="rId4"/>
    <sheet name="11.6" sheetId="10" r:id="rId5"/>
    <sheet name="11.7" sheetId="11" r:id="rId6"/>
    <sheet name="11.8" sheetId="12" r:id="rId7"/>
    <sheet name="11.9" sheetId="13" r:id="rId8"/>
    <sheet name="11.10" sheetId="14" r:id="rId9"/>
    <sheet name="11.12" sheetId="16" r:id="rId10"/>
    <sheet name="11.13" sheetId="17" r:id="rId11"/>
    <sheet name="11.14" sheetId="18" r:id="rId12"/>
    <sheet name="11.15" sheetId="19" r:id="rId13"/>
    <sheet name="11.16" sheetId="20" r:id="rId14"/>
    <sheet name="11.18" sheetId="22" r:id="rId15"/>
    <sheet name="11.20" sheetId="24" r:id="rId16"/>
  </sheets>
  <calcPr calcId="179017"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K128" i="24" l="1"/>
  <c r="L117" i="24"/>
  <c r="L119" i="24"/>
  <c r="K127" i="24"/>
  <c r="K129" i="24"/>
  <c r="K16" i="24"/>
  <c r="L5" i="24"/>
  <c r="L7" i="24"/>
  <c r="K15" i="24"/>
  <c r="K17" i="24"/>
  <c r="L129" i="24"/>
  <c r="L128" i="24"/>
  <c r="L127" i="24"/>
  <c r="M115" i="24"/>
  <c r="M116" i="24"/>
  <c r="M117" i="24"/>
  <c r="M118" i="24"/>
  <c r="M119" i="24"/>
  <c r="L120" i="24"/>
  <c r="M120" i="24"/>
  <c r="M121" i="24"/>
  <c r="L121" i="24"/>
  <c r="K110" i="24"/>
  <c r="L99" i="24"/>
  <c r="L101" i="24"/>
  <c r="K109" i="24"/>
  <c r="K111" i="24"/>
  <c r="L111" i="24"/>
  <c r="L110" i="24"/>
  <c r="L109" i="24"/>
  <c r="M97" i="24"/>
  <c r="M98" i="24"/>
  <c r="M99" i="24"/>
  <c r="M100" i="24"/>
  <c r="M101" i="24"/>
  <c r="L102" i="24"/>
  <c r="M102" i="24"/>
  <c r="M103" i="24"/>
  <c r="L103" i="24"/>
  <c r="K91" i="24"/>
  <c r="L80" i="24"/>
  <c r="L82" i="24"/>
  <c r="K90" i="24"/>
  <c r="K92" i="24"/>
  <c r="L92" i="24"/>
  <c r="L91" i="24"/>
  <c r="L90" i="24"/>
  <c r="M78" i="24"/>
  <c r="M79" i="24"/>
  <c r="M80" i="24"/>
  <c r="M81" i="24"/>
  <c r="M82" i="24"/>
  <c r="L83" i="24"/>
  <c r="M83" i="24"/>
  <c r="M84" i="24"/>
  <c r="L84" i="24"/>
  <c r="K68" i="24"/>
  <c r="L61" i="24"/>
  <c r="L60" i="24"/>
  <c r="K73" i="24"/>
  <c r="L73" i="24"/>
  <c r="M63" i="24"/>
  <c r="K55" i="24"/>
  <c r="L44" i="24"/>
  <c r="L46" i="24"/>
  <c r="K54" i="24"/>
  <c r="K56" i="24"/>
  <c r="L56" i="24"/>
  <c r="L55" i="24"/>
  <c r="L54" i="24"/>
  <c r="M42" i="24"/>
  <c r="M43" i="24"/>
  <c r="M44" i="24"/>
  <c r="M45" i="24"/>
  <c r="M46" i="24"/>
  <c r="L47" i="24"/>
  <c r="M47" i="24"/>
  <c r="M48" i="24"/>
  <c r="L48" i="24"/>
  <c r="K36" i="24"/>
  <c r="L25" i="24"/>
  <c r="L27" i="24"/>
  <c r="K35" i="24"/>
  <c r="K37" i="24"/>
  <c r="L37" i="24"/>
  <c r="L36" i="24"/>
  <c r="L35" i="24"/>
  <c r="L28" i="24"/>
  <c r="M28" i="24"/>
  <c r="M26" i="24"/>
  <c r="M24" i="24"/>
  <c r="M23" i="24"/>
  <c r="L29" i="24"/>
  <c r="K11" i="24"/>
  <c r="L8" i="24"/>
  <c r="M5" i="24"/>
  <c r="M7" i="24"/>
  <c r="M9" i="24"/>
  <c r="L9" i="24"/>
  <c r="I33" i="22"/>
  <c r="I34" i="22"/>
  <c r="I35" i="22"/>
  <c r="I36" i="22"/>
  <c r="I37" i="22"/>
  <c r="J33" i="22"/>
  <c r="J34" i="22"/>
  <c r="J35" i="22"/>
  <c r="J36" i="22"/>
  <c r="J37" i="22"/>
  <c r="I38" i="22"/>
  <c r="I41" i="22"/>
  <c r="J20" i="22"/>
  <c r="I40" i="22"/>
  <c r="I42" i="22"/>
  <c r="I43" i="22"/>
  <c r="H34" i="22"/>
  <c r="H35" i="22"/>
  <c r="H36" i="22"/>
  <c r="H33" i="22"/>
  <c r="J22" i="22"/>
  <c r="J23" i="22"/>
  <c r="J15" i="22"/>
  <c r="I15" i="22"/>
  <c r="J10" i="22"/>
  <c r="I10" i="22"/>
  <c r="N47" i="20"/>
  <c r="O47" i="20"/>
  <c r="N48" i="20"/>
  <c r="O48" i="20"/>
  <c r="N49" i="20"/>
  <c r="O49" i="20"/>
  <c r="M49" i="20"/>
  <c r="L49" i="20"/>
  <c r="K49" i="20"/>
  <c r="J49" i="20"/>
  <c r="M47" i="20"/>
  <c r="M48" i="20"/>
  <c r="L47" i="20"/>
  <c r="L48" i="20"/>
  <c r="K47" i="20"/>
  <c r="K48" i="20"/>
  <c r="J47" i="20"/>
  <c r="J48" i="20"/>
  <c r="M21" i="20"/>
  <c r="L21" i="20"/>
  <c r="K21" i="20"/>
  <c r="J21" i="20"/>
  <c r="K19" i="20"/>
  <c r="K20" i="20"/>
  <c r="L19" i="20"/>
  <c r="L20" i="20"/>
  <c r="M19" i="20"/>
  <c r="M20" i="20"/>
  <c r="J19" i="20"/>
  <c r="J20" i="20"/>
  <c r="K33" i="19"/>
  <c r="K29" i="19"/>
  <c r="K28" i="19"/>
  <c r="J30" i="19"/>
  <c r="J32" i="19"/>
  <c r="J31" i="19"/>
  <c r="I32" i="19"/>
  <c r="I31" i="19"/>
  <c r="I33" i="19"/>
  <c r="J24" i="18"/>
  <c r="J29" i="18"/>
  <c r="J25" i="18"/>
  <c r="J28" i="18"/>
  <c r="J30" i="18"/>
  <c r="J36" i="18"/>
  <c r="I24" i="18"/>
  <c r="K24" i="18"/>
  <c r="I26" i="18"/>
  <c r="K26" i="18"/>
  <c r="K29" i="18"/>
  <c r="I5" i="18"/>
  <c r="I7" i="18"/>
  <c r="I25" i="18"/>
  <c r="K25" i="18"/>
  <c r="K28" i="18"/>
  <c r="K30" i="18"/>
  <c r="K36" i="18"/>
  <c r="I29" i="18"/>
  <c r="I28" i="18"/>
  <c r="I30" i="18"/>
  <c r="I36" i="18"/>
  <c r="I20" i="18"/>
  <c r="I19" i="18"/>
  <c r="I21" i="18"/>
  <c r="J16" i="17"/>
  <c r="J20" i="17"/>
  <c r="J18" i="17"/>
  <c r="I16" i="17"/>
  <c r="I17" i="17"/>
  <c r="I21" i="17"/>
  <c r="H19" i="17"/>
  <c r="H20" i="17"/>
  <c r="H18" i="17"/>
  <c r="L6" i="16"/>
  <c r="L5" i="16"/>
  <c r="K4" i="16"/>
  <c r="L4" i="16"/>
  <c r="L8" i="16"/>
  <c r="L9" i="16"/>
  <c r="L10" i="16"/>
  <c r="K9" i="16"/>
  <c r="K5" i="16"/>
  <c r="K8" i="16"/>
  <c r="K10" i="16"/>
  <c r="J5" i="16"/>
  <c r="J4" i="16"/>
  <c r="J9" i="16"/>
  <c r="J8" i="16"/>
  <c r="J10" i="16"/>
  <c r="I9" i="16"/>
  <c r="I8" i="16"/>
  <c r="I10" i="16"/>
  <c r="I10" i="14"/>
  <c r="I9" i="14"/>
  <c r="I11" i="14"/>
  <c r="H10" i="14"/>
  <c r="H9" i="14"/>
  <c r="H11" i="14"/>
  <c r="K10" i="13"/>
  <c r="K9" i="13"/>
  <c r="K11" i="13"/>
  <c r="K13" i="13"/>
  <c r="K20" i="13"/>
  <c r="L10" i="13"/>
  <c r="L9" i="13"/>
  <c r="L11" i="13"/>
  <c r="L13" i="13"/>
  <c r="J10" i="13"/>
  <c r="J9" i="13"/>
  <c r="J11" i="13"/>
  <c r="J13" i="13"/>
  <c r="J20" i="13"/>
  <c r="K18" i="13"/>
  <c r="L18" i="13"/>
  <c r="J18" i="13"/>
  <c r="J18" i="12"/>
  <c r="J16" i="12"/>
  <c r="J20" i="12"/>
  <c r="I17" i="12"/>
  <c r="I19" i="12"/>
  <c r="I21" i="12"/>
  <c r="H16" i="12"/>
  <c r="H21" i="12"/>
  <c r="H20" i="12"/>
  <c r="I12" i="11"/>
  <c r="I11" i="11"/>
  <c r="I13" i="11"/>
  <c r="I22" i="11"/>
  <c r="H12" i="11"/>
  <c r="H11" i="11"/>
  <c r="H13" i="11"/>
  <c r="H22" i="11"/>
  <c r="H17" i="11"/>
  <c r="I17" i="11"/>
  <c r="N3" i="10"/>
  <c r="N4" i="10"/>
  <c r="N2" i="10"/>
  <c r="N8" i="10"/>
  <c r="N7" i="10"/>
  <c r="N9" i="10"/>
  <c r="K3" i="10"/>
  <c r="K2" i="10"/>
  <c r="K8" i="10"/>
  <c r="K7" i="10"/>
  <c r="K9" i="10"/>
  <c r="H8" i="10"/>
  <c r="H7" i="10"/>
  <c r="H9" i="10"/>
  <c r="I23" i="9"/>
  <c r="I22" i="9"/>
  <c r="I24" i="9"/>
  <c r="I25" i="9"/>
  <c r="I26" i="9"/>
  <c r="I16" i="9"/>
  <c r="K16" i="9"/>
  <c r="I17" i="9"/>
  <c r="K17" i="9"/>
  <c r="I18" i="9"/>
  <c r="K18" i="9"/>
  <c r="I19" i="9"/>
  <c r="K19" i="9"/>
  <c r="I20" i="9"/>
  <c r="K20" i="9"/>
  <c r="K15" i="9"/>
  <c r="I21" i="7"/>
  <c r="I23" i="7"/>
  <c r="I13" i="7"/>
  <c r="I19" i="7"/>
  <c r="I15" i="7"/>
  <c r="I17" i="7"/>
  <c r="K9" i="6"/>
  <c r="K10" i="6"/>
  <c r="K11" i="6"/>
  <c r="K16" i="6"/>
  <c r="J11" i="5"/>
  <c r="J10" i="5"/>
  <c r="J12" i="5"/>
  <c r="M25" i="24"/>
  <c r="M27" i="24"/>
  <c r="M29" i="24"/>
  <c r="L62" i="24"/>
  <c r="L64" i="24"/>
  <c r="K72" i="24"/>
  <c r="K74" i="24"/>
  <c r="L74" i="24"/>
  <c r="L72" i="24"/>
  <c r="L65" i="24"/>
  <c r="M65" i="24"/>
  <c r="M62" i="24"/>
  <c r="M64" i="24"/>
  <c r="M66" i="24"/>
  <c r="L66" i="24"/>
</calcChain>
</file>

<file path=xl/sharedStrings.xml><?xml version="1.0" encoding="utf-8"?>
<sst xmlns="http://schemas.openxmlformats.org/spreadsheetml/2006/main" count="420" uniqueCount="112">
  <si>
    <t>Margem</t>
  </si>
  <si>
    <t>Giro</t>
  </si>
  <si>
    <t>Vendas</t>
  </si>
  <si>
    <t>ROL</t>
  </si>
  <si>
    <t>AOM</t>
  </si>
  <si>
    <t>ROI</t>
  </si>
  <si>
    <t>EVA</t>
  </si>
  <si>
    <t>Retorno Exigido</t>
  </si>
  <si>
    <t>Tempo de Inspeção</t>
  </si>
  <si>
    <t>Temo de Processamento</t>
  </si>
  <si>
    <t>Tempo de Espera</t>
  </si>
  <si>
    <t>Tempo de Fila</t>
  </si>
  <si>
    <t>Temo de Movimentação</t>
  </si>
  <si>
    <t>Dias</t>
  </si>
  <si>
    <t>Tempo de Transformação</t>
  </si>
  <si>
    <t>ECP</t>
  </si>
  <si>
    <t>Ativdade ñ valor</t>
  </si>
  <si>
    <t>Ciclo do Pedido</t>
  </si>
  <si>
    <t>1)</t>
  </si>
  <si>
    <t>2)</t>
  </si>
  <si>
    <t>3)</t>
  </si>
  <si>
    <t>4)</t>
  </si>
  <si>
    <t>5)</t>
  </si>
  <si>
    <t>?</t>
  </si>
  <si>
    <t>Despesas Fixas</t>
  </si>
  <si>
    <t>IMC</t>
  </si>
  <si>
    <t>Variação em Vendas</t>
  </si>
  <si>
    <t>Variação na MC e ROL</t>
  </si>
  <si>
    <t>Variação ROI</t>
  </si>
  <si>
    <t>Perth</t>
  </si>
  <si>
    <t>Darwin</t>
  </si>
  <si>
    <t>Divisão</t>
  </si>
  <si>
    <t>Tx Retorno</t>
  </si>
  <si>
    <t>Por causa do porte… Se considera o valor relativo do EVA…</t>
  </si>
  <si>
    <t>O resultado de Perth é melhor!</t>
  </si>
  <si>
    <t>Tx Retorno (%)</t>
  </si>
  <si>
    <t>Tx Retorno ($)</t>
  </si>
  <si>
    <t>A</t>
  </si>
  <si>
    <t>B</t>
  </si>
  <si>
    <t>C</t>
  </si>
  <si>
    <t>Empresa</t>
  </si>
  <si>
    <t>Retorno (%)</t>
  </si>
  <si>
    <t>Retorno ($)</t>
  </si>
  <si>
    <t>Divisão A</t>
  </si>
  <si>
    <t>Divisão B</t>
  </si>
  <si>
    <t>Divisão C</t>
  </si>
  <si>
    <t>Custo de Oportunidade</t>
  </si>
  <si>
    <t>Decisão ROI</t>
  </si>
  <si>
    <t>Decisão EVA</t>
  </si>
  <si>
    <t xml:space="preserve">If performance is being measured by ROI, both Division A and Division B probably would reject the 17% investment opportunity. The reason is that these companies are presently earning a return greater than 17%; thus, the new investment would reduce the overall rate of return and place the divisional managers in a less favorable light. Division C probably would accept the 17% investment opportunity, because its acceptance would increase the Division’s overall rate of return.
  If performance is being measured by residual income, both Division A and Division C probably would accept the 17% investment opportunity. The 17% rate of return promised by the new investment is greater than their required rates of return of 15% and 12%, respectively, and would therefore add to the total amount of their residual income. Division B would reject the opportunity, because the 17% return on the new investment is less than B’s 18% required rate of return.
</t>
  </si>
  <si>
    <t>Imóveis, Ionstalações e Equipamentos</t>
  </si>
  <si>
    <t>Oriental</t>
  </si>
  <si>
    <t>Ocidental</t>
  </si>
  <si>
    <t xml:space="preserve">The manager of the Western Division seems to be doing the better job. Although her margin is three percentage points lower than the margin of the Eastern Division, her turnover is higher (a turnover of 3.5, as compared to a turnover of two for the Eastern Division). The greater turnover more than offsets the lower margin, resulting in a 21% ROI, as compared to an 18% ROI for the other division. 
  Notice that if you look at margin alone, then the Eastern Division appears to be the strongest division. This fact underscores the importance of looking at turnover as well as at margin in evaluating performance in an investment center.
</t>
  </si>
  <si>
    <t>Dados Originais</t>
  </si>
  <si>
    <t>Situação 1</t>
  </si>
  <si>
    <t>Situação 2</t>
  </si>
  <si>
    <t>Situação 3</t>
  </si>
  <si>
    <t>Fabricação</t>
  </si>
  <si>
    <t>Consultoria</t>
  </si>
  <si>
    <t>TI</t>
  </si>
  <si>
    <t>Despesas Variáveis</t>
  </si>
  <si>
    <t>Margem de Contribuição</t>
  </si>
  <si>
    <t>Divisão Oriental</t>
  </si>
  <si>
    <t>ROI consolidado</t>
  </si>
  <si>
    <t>Despesas Variaveis (em relação a vendas)</t>
  </si>
  <si>
    <t>Investimento</t>
  </si>
  <si>
    <t>Original</t>
  </si>
  <si>
    <t>Nova Linha</t>
  </si>
  <si>
    <t>Total</t>
  </si>
  <si>
    <t>Com base no ROI o projeto seria rejeitado, mas…</t>
  </si>
  <si>
    <t>O projeto aumentará o lucro residual da empresa</t>
  </si>
  <si>
    <t xml:space="preserve">Breaking the ROI computation into two separate elements helps the manager to see important relationships that might remain hidden. First, the importance of turnover of assets as a key element to overall profitability is emphasized. Prior to use of the ROI formula, managers tended to allow operating assets to swell to excessive levels. Second, the importance of sales volume in profit computations is stressed and explicitly recognized. Third, breaking the ROI computation into margin and turnover elements stresses the possibility of trading one off for the other in attempts to improve the overall profit picture. That is, a company may shave its margins slightly hoping for a large enough increase in turnover to increase the overall rate of return. Fourth, it permits a manager to reduce important profitability elements to ratio form, which enhances comparisons between units (divisions, etc.) of the organization.
</t>
  </si>
  <si>
    <t>Eficiência do Ciclo de Produção</t>
  </si>
  <si>
    <t>Tempo de Ciclo Perdido</t>
  </si>
  <si>
    <t>Percentual de Entregas no Prazo</t>
  </si>
  <si>
    <t>Total de Vendas (unidades)</t>
  </si>
  <si>
    <t>Mês</t>
  </si>
  <si>
    <t>Tempo de Movimentação por Unidade</t>
  </si>
  <si>
    <t>Tempo de Processamento por Unidade</t>
  </si>
  <si>
    <t>Tempo de Espera por Pedido Antes do Início da Produção</t>
  </si>
  <si>
    <t>Tempo de Fila por Unidade</t>
  </si>
  <si>
    <t>Em Dias</t>
  </si>
  <si>
    <t>Tempo de Inspeção por Unidade</t>
  </si>
  <si>
    <t xml:space="preserve"> Thus, by including sales specifically in ROI computations the manager is able to discover possible problems, as well as reasons underlying a strong or a weak performance. Looking at Company A compared to Company C, notice that C’s turnover is the same as A’s, but C’s margin on sales is much lower. Why would C have such a low margin? Is it due to inefficiency, is it due to geographical location (thereby requiring higher salaries or transportation charges), is it due to excessive materials costs, or is it due to still other factors? ROI computations raise questions such as these, which form the basis for managerial action.
  To summarize, in order to bring B’s ROI into line with A’s, it seems obvious that B’s management will have to concentrate its efforts on increasing turnover, either by increasing sales or by reducing assets. It seems unlikely that B can appreciably increase its ROI by improving its margin on sales. On the other hand, C’s management should concentrate its efforts on the margin element by trying to pare down its operating expenses.
</t>
  </si>
  <si>
    <t xml:space="preserve"> The general trend is favorable in all of the performance measures except for total sales. On-time delivery is up, process time is down, inspection time is down, move time is basically unchanged, queue time is down, manufacturing cycle efficiency is up, and the delivery cycle time is down. Even though the company has improved its operations, it has not yet increased its sales. This may have happened because management attention has been focused on the factory—working to improve operations. However, it may be time now to exploit these improvements to go after more sales—perhaps by increased product promotion and better marketing strategies. It will ultimately be necessary to increase sales so as to translate the operational improvements into more profits.</t>
  </si>
  <si>
    <t>Ativos</t>
  </si>
  <si>
    <t>Caixa</t>
  </si>
  <si>
    <t>Contas a Receber</t>
  </si>
  <si>
    <t>Estoques</t>
  </si>
  <si>
    <t>Instalações e Equipamentos (Líquido)</t>
  </si>
  <si>
    <t>Investimentos a Holding</t>
  </si>
  <si>
    <t>Terrenos (Não Ocupados)</t>
  </si>
  <si>
    <t>Contas a Pagar</t>
  </si>
  <si>
    <t>Dívidas Longo Prazo</t>
  </si>
  <si>
    <t>Capital</t>
  </si>
  <si>
    <t>Passivos e PL</t>
  </si>
  <si>
    <t>SI</t>
  </si>
  <si>
    <t>SF</t>
  </si>
  <si>
    <t>Despesas Operacionais</t>
  </si>
  <si>
    <t>Juros</t>
  </si>
  <si>
    <t>Impostos</t>
  </si>
  <si>
    <t>Lucro Líquido</t>
  </si>
  <si>
    <t>Dividendos Pagos</t>
  </si>
  <si>
    <t>Média</t>
  </si>
  <si>
    <t>Tx retorno</t>
  </si>
  <si>
    <t>Imposto de Renda</t>
  </si>
  <si>
    <t>Unitário</t>
  </si>
  <si>
    <t>Quantidade</t>
  </si>
  <si>
    <t>6)</t>
  </si>
  <si>
    <t>7)</t>
  </si>
  <si>
    <t>Aceita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</si>
</sst>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0;\(#,##0.00\)"/>
    <numFmt numFmtId="165" formatCode="#,##0.0;\(#,##0.0\)"/>
    <numFmt numFmtId="166" formatCode="#,##0;\(#,##0\)"/>
    <numFmt numFmtId="167" formatCode="0.0%"/>
    <numFmt numFmtId="168" formatCode="#,##0.000;\(#,##0.000\)"/>
  </numFmts>
  <fonts count="8" x14ac:knownFonts="1">
    <font>
      <sz val="12"/>
      <color theme="1"/>
      <name val="Calibri"/>
      <family val="2"/>
      <scheme val="minor"/>
    </font>
    <font>
      <sz val="12"/>
      <color theme="1"/>
      <name val="Calibri"/>
      <family val="2"/>
      <scheme val="minor"/>
    </font>
    <font>
      <sz val="12"/>
      <color theme="1"/>
      <name val="Calibri"/>
      <family val="2"/>
      <scheme val="minor"/>
    </font>
    <font>
      <sz val="10"/>
      <color theme="1"/>
      <name val="Times New Roman"/>
      <family val="1"/>
    </font>
    <font>
      <b/>
      <sz val="10"/>
      <color theme="1"/>
      <name val="Times New Roman"/>
      <family val="1"/>
    </font>
    <font>
      <u/>
      <sz val="12"/>
      <color theme="10"/>
      <name val="Calibri"/>
      <family val="2"/>
      <scheme val="minor"/>
    </font>
    <font>
      <u/>
      <sz val="12"/>
      <color theme="11"/>
      <name val="Calibri"/>
      <family val="2"/>
      <scheme val="minor"/>
    </font>
    <font>
      <u/>
      <sz val="10"/>
      <color theme="1"/>
      <name val="Times New Roman"/>
      <family val="1"/>
    </font>
  </fonts>
  <fills count="3">
    <fill>
      <patternFill patternType="none"/>
    </fill>
    <fill>
      <patternFill patternType="gray125"/>
    </fill>
    <fill>
      <patternFill patternType="solid">
        <fgColor rgb="FFFFFF00"/>
        <bgColor indexed="64"/>
      </patternFill>
    </fill>
  </fills>
  <borders count="10">
    <border>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right/>
      <top style="thin">
        <color auto="1"/>
      </top>
      <bottom/>
      <diagonal/>
    </border>
    <border>
      <left/>
      <right/>
      <top/>
      <bottom style="thin">
        <color auto="1"/>
      </bottom>
      <diagonal/>
    </border>
  </borders>
  <cellStyleXfs count="307">
    <xf numFmtId="0" fontId="0" fillId="0" borderId="0"/>
    <xf numFmtId="9" fontId="2"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43" fontId="1"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cellStyleXfs>
  <cellXfs count="76">
    <xf numFmtId="0" fontId="0" fillId="0" borderId="0" xfId="0"/>
    <xf numFmtId="164" fontId="3" fillId="0" borderId="0" xfId="0" applyNumberFormat="1" applyFont="1"/>
    <xf numFmtId="164" fontId="3" fillId="0" borderId="1" xfId="0" applyNumberFormat="1" applyFont="1" applyBorder="1"/>
    <xf numFmtId="164" fontId="3" fillId="0" borderId="3" xfId="0" applyNumberFormat="1" applyFont="1" applyBorder="1"/>
    <xf numFmtId="164" fontId="3" fillId="0" borderId="5" xfId="0" applyNumberFormat="1" applyFont="1" applyBorder="1"/>
    <xf numFmtId="164" fontId="3" fillId="0" borderId="2" xfId="0" applyNumberFormat="1" applyFont="1" applyBorder="1"/>
    <xf numFmtId="164" fontId="3" fillId="0" borderId="4" xfId="0" applyNumberFormat="1" applyFont="1" applyBorder="1"/>
    <xf numFmtId="164" fontId="3" fillId="0" borderId="6" xfId="0" applyNumberFormat="1" applyFont="1" applyBorder="1"/>
    <xf numFmtId="9" fontId="3" fillId="0" borderId="0" xfId="1" applyFont="1"/>
    <xf numFmtId="164" fontId="4" fillId="0" borderId="0" xfId="0" applyNumberFormat="1" applyFont="1"/>
    <xf numFmtId="10" fontId="3" fillId="0" borderId="0" xfId="1" applyNumberFormat="1" applyFont="1"/>
    <xf numFmtId="43" fontId="3" fillId="0" borderId="0" xfId="6" applyFont="1"/>
    <xf numFmtId="164" fontId="4" fillId="0" borderId="0" xfId="0" applyNumberFormat="1" applyFont="1" applyAlignment="1">
      <alignment horizontal="center"/>
    </xf>
    <xf numFmtId="166" fontId="3" fillId="0" borderId="0" xfId="0" applyNumberFormat="1" applyFont="1"/>
    <xf numFmtId="166" fontId="3" fillId="0" borderId="0" xfId="0" applyNumberFormat="1" applyFont="1" applyAlignment="1">
      <alignment horizontal="center"/>
    </xf>
    <xf numFmtId="165" fontId="3" fillId="0" borderId="0" xfId="0" applyNumberFormat="1" applyFont="1" applyAlignment="1">
      <alignment horizontal="center"/>
    </xf>
    <xf numFmtId="164" fontId="3" fillId="0" borderId="0" xfId="0" applyNumberFormat="1" applyFont="1" applyAlignment="1">
      <alignment horizontal="center"/>
    </xf>
    <xf numFmtId="9" fontId="3" fillId="0" borderId="0" xfId="1" applyFont="1" applyAlignment="1">
      <alignment horizontal="center"/>
    </xf>
    <xf numFmtId="167" fontId="3" fillId="0" borderId="0" xfId="1" applyNumberFormat="1" applyFont="1" applyAlignment="1">
      <alignment horizontal="center"/>
    </xf>
    <xf numFmtId="10" fontId="3" fillId="0" borderId="0" xfId="1" applyNumberFormat="1" applyFont="1" applyAlignment="1">
      <alignment horizontal="center"/>
    </xf>
    <xf numFmtId="167" fontId="3" fillId="0" borderId="0" xfId="1" applyNumberFormat="1" applyFont="1"/>
    <xf numFmtId="164" fontId="4" fillId="0" borderId="0" xfId="0" applyNumberFormat="1" applyFont="1" applyAlignment="1">
      <alignment horizontal="center"/>
    </xf>
    <xf numFmtId="9" fontId="3" fillId="0" borderId="0" xfId="1" applyNumberFormat="1" applyFont="1"/>
    <xf numFmtId="164" fontId="3" fillId="2" borderId="0" xfId="0" applyNumberFormat="1" applyFont="1" applyFill="1" applyAlignment="1">
      <alignment horizontal="center"/>
    </xf>
    <xf numFmtId="9" fontId="3" fillId="2" borderId="0" xfId="1" applyFont="1" applyFill="1" applyAlignment="1">
      <alignment horizontal="center"/>
    </xf>
    <xf numFmtId="9" fontId="3" fillId="0" borderId="0" xfId="1" applyNumberFormat="1" applyFont="1" applyAlignment="1">
      <alignment horizontal="center"/>
    </xf>
    <xf numFmtId="164" fontId="7" fillId="0" borderId="0" xfId="0" applyNumberFormat="1" applyFont="1"/>
    <xf numFmtId="9" fontId="4" fillId="0" borderId="0" xfId="1" applyFont="1"/>
    <xf numFmtId="164" fontId="3" fillId="0" borderId="8" xfId="0" applyNumberFormat="1" applyFont="1" applyBorder="1"/>
    <xf numFmtId="164" fontId="3" fillId="0" borderId="0" xfId="0" applyNumberFormat="1" applyFont="1" applyBorder="1"/>
    <xf numFmtId="9" fontId="3" fillId="0" borderId="0" xfId="1" applyFont="1" applyBorder="1"/>
    <xf numFmtId="164" fontId="3" fillId="0" borderId="9" xfId="0" applyNumberFormat="1" applyFont="1" applyBorder="1"/>
    <xf numFmtId="164" fontId="3" fillId="0" borderId="7" xfId="0" applyNumberFormat="1" applyFont="1" applyBorder="1"/>
    <xf numFmtId="49" fontId="4" fillId="0" borderId="7" xfId="0" applyNumberFormat="1" applyFont="1" applyBorder="1" applyAlignment="1">
      <alignment horizontal="center"/>
    </xf>
    <xf numFmtId="164" fontId="3" fillId="0" borderId="8" xfId="0" applyNumberFormat="1" applyFont="1" applyBorder="1" applyAlignment="1">
      <alignment horizontal="center"/>
    </xf>
    <xf numFmtId="164" fontId="3" fillId="0" borderId="0" xfId="0" applyNumberFormat="1" applyFont="1" applyBorder="1" applyAlignment="1">
      <alignment horizontal="center"/>
    </xf>
    <xf numFmtId="9" fontId="3" fillId="0" borderId="0" xfId="1" applyFont="1" applyBorder="1" applyAlignment="1">
      <alignment horizontal="center"/>
    </xf>
    <xf numFmtId="166" fontId="3" fillId="0" borderId="9" xfId="0" applyNumberFormat="1" applyFont="1" applyBorder="1" applyAlignment="1">
      <alignment horizontal="center"/>
    </xf>
    <xf numFmtId="164" fontId="4" fillId="0" borderId="7" xfId="0" applyNumberFormat="1" applyFont="1" applyBorder="1"/>
    <xf numFmtId="164" fontId="3" fillId="0" borderId="9" xfId="0" applyNumberFormat="1" applyFont="1" applyBorder="1" applyAlignment="1">
      <alignment horizontal="center"/>
    </xf>
    <xf numFmtId="164" fontId="4" fillId="0" borderId="0" xfId="0" applyNumberFormat="1" applyFont="1" applyAlignment="1">
      <alignment horizontal="center"/>
    </xf>
    <xf numFmtId="164" fontId="4" fillId="0" borderId="8" xfId="0" applyNumberFormat="1" applyFont="1" applyBorder="1" applyAlignment="1">
      <alignment horizontal="center"/>
    </xf>
    <xf numFmtId="164" fontId="4" fillId="0" borderId="2" xfId="0" applyNumberFormat="1" applyFont="1" applyBorder="1" applyAlignment="1">
      <alignment horizontal="center"/>
    </xf>
    <xf numFmtId="164" fontId="7" fillId="0" borderId="0" xfId="0" applyNumberFormat="1" applyFont="1" applyBorder="1"/>
    <xf numFmtId="164" fontId="7" fillId="0" borderId="4" xfId="0" applyNumberFormat="1" applyFont="1" applyBorder="1"/>
    <xf numFmtId="166" fontId="3" fillId="0" borderId="0" xfId="0" applyNumberFormat="1" applyFont="1" applyBorder="1"/>
    <xf numFmtId="165" fontId="3" fillId="0" borderId="0" xfId="0" applyNumberFormat="1" applyFont="1" applyBorder="1" applyAlignment="1">
      <alignment horizontal="right"/>
    </xf>
    <xf numFmtId="9" fontId="3" fillId="0" borderId="9" xfId="1" applyFont="1" applyBorder="1"/>
    <xf numFmtId="165" fontId="3" fillId="0" borderId="9" xfId="0" applyNumberFormat="1" applyFont="1" applyBorder="1" applyAlignment="1">
      <alignment horizontal="right"/>
    </xf>
    <xf numFmtId="164" fontId="3" fillId="2" borderId="0" xfId="0" applyNumberFormat="1" applyFont="1" applyFill="1" applyBorder="1"/>
    <xf numFmtId="164" fontId="7" fillId="2" borderId="0" xfId="0" applyNumberFormat="1" applyFont="1" applyFill="1" applyBorder="1"/>
    <xf numFmtId="164" fontId="3" fillId="0" borderId="1" xfId="0" applyNumberFormat="1" applyFont="1" applyFill="1" applyBorder="1"/>
    <xf numFmtId="164" fontId="3" fillId="0" borderId="8" xfId="0" applyNumberFormat="1" applyFont="1" applyFill="1" applyBorder="1"/>
    <xf numFmtId="164" fontId="4" fillId="0" borderId="8" xfId="0" applyNumberFormat="1" applyFont="1" applyFill="1" applyBorder="1" applyAlignment="1">
      <alignment horizontal="center"/>
    </xf>
    <xf numFmtId="164" fontId="4" fillId="0" borderId="2" xfId="0" applyNumberFormat="1" applyFont="1" applyFill="1" applyBorder="1" applyAlignment="1">
      <alignment horizontal="center"/>
    </xf>
    <xf numFmtId="164" fontId="3" fillId="0" borderId="3" xfId="0" applyNumberFormat="1" applyFont="1" applyFill="1" applyBorder="1"/>
    <xf numFmtId="164" fontId="3" fillId="0" borderId="0" xfId="0" applyNumberFormat="1" applyFont="1" applyFill="1" applyBorder="1"/>
    <xf numFmtId="164" fontId="3" fillId="0" borderId="4" xfId="0" applyNumberFormat="1" applyFont="1" applyFill="1" applyBorder="1"/>
    <xf numFmtId="164" fontId="7" fillId="0" borderId="0" xfId="0" applyNumberFormat="1" applyFont="1" applyFill="1" applyBorder="1"/>
    <xf numFmtId="164" fontId="7" fillId="0" borderId="4" xfId="0" applyNumberFormat="1" applyFont="1" applyFill="1" applyBorder="1"/>
    <xf numFmtId="9" fontId="3" fillId="0" borderId="0" xfId="1" applyFont="1" applyFill="1" applyBorder="1"/>
    <xf numFmtId="165" fontId="3" fillId="0" borderId="0" xfId="0" applyNumberFormat="1" applyFont="1" applyFill="1" applyBorder="1" applyAlignment="1">
      <alignment horizontal="right"/>
    </xf>
    <xf numFmtId="164" fontId="3" fillId="0" borderId="5" xfId="0" applyNumberFormat="1" applyFont="1" applyFill="1" applyBorder="1"/>
    <xf numFmtId="9" fontId="3" fillId="0" borderId="9" xfId="1" applyFont="1" applyFill="1" applyBorder="1"/>
    <xf numFmtId="165" fontId="3" fillId="0" borderId="9" xfId="0" applyNumberFormat="1" applyFont="1" applyFill="1" applyBorder="1" applyAlignment="1">
      <alignment horizontal="right"/>
    </xf>
    <xf numFmtId="164" fontId="3" fillId="0" borderId="6" xfId="0" applyNumberFormat="1" applyFont="1" applyFill="1" applyBorder="1"/>
    <xf numFmtId="166" fontId="3" fillId="2" borderId="0" xfId="0" applyNumberFormat="1" applyFont="1" applyFill="1" applyBorder="1"/>
    <xf numFmtId="10" fontId="3" fillId="0" borderId="0" xfId="1" applyNumberFormat="1" applyFont="1" applyFill="1" applyBorder="1"/>
    <xf numFmtId="167" fontId="3" fillId="0" borderId="9" xfId="1" applyNumberFormat="1" applyFont="1" applyBorder="1"/>
    <xf numFmtId="168" fontId="3" fillId="0" borderId="0" xfId="0" applyNumberFormat="1" applyFont="1" applyBorder="1"/>
    <xf numFmtId="164" fontId="3" fillId="2" borderId="0" xfId="0" applyNumberFormat="1" applyFont="1" applyFill="1" applyAlignment="1">
      <alignment horizontal="left" vertical="center" wrapText="1"/>
    </xf>
    <xf numFmtId="164" fontId="4" fillId="0" borderId="0" xfId="0" applyNumberFormat="1" applyFont="1" applyAlignment="1">
      <alignment horizontal="center"/>
    </xf>
    <xf numFmtId="164" fontId="3" fillId="0" borderId="0" xfId="0" applyNumberFormat="1" applyFont="1" applyAlignment="1">
      <alignment horizontal="left" vertical="center" wrapText="1"/>
    </xf>
    <xf numFmtId="164" fontId="4" fillId="0" borderId="7" xfId="0" applyNumberFormat="1" applyFont="1" applyBorder="1" applyAlignment="1">
      <alignment horizontal="center"/>
    </xf>
    <xf numFmtId="164" fontId="3" fillId="0" borderId="4" xfId="0" applyNumberFormat="1" applyFont="1" applyBorder="1" applyAlignment="1">
      <alignment horizontal="center" vertical="center"/>
    </xf>
    <xf numFmtId="164" fontId="3" fillId="0" borderId="0" xfId="0" applyNumberFormat="1" applyFont="1" applyAlignment="1">
      <alignment horizontal="center" vertical="center"/>
    </xf>
  </cellXfs>
  <cellStyles count="307">
    <cellStyle name="Hiperlink" xfId="2" builtinId="8" hidden="1"/>
    <cellStyle name="Hiperlink" xfId="4" builtinId="8" hidden="1"/>
    <cellStyle name="Hiperlink" xfId="7" builtinId="8" hidden="1"/>
    <cellStyle name="Hiperlink" xfId="9" builtinId="8" hidden="1"/>
    <cellStyle name="Hiperlink" xfId="11" builtinId="8" hidden="1"/>
    <cellStyle name="Hiperlink" xfId="13" builtinId="8" hidden="1"/>
    <cellStyle name="Hiperlink" xfId="15" builtinId="8" hidden="1"/>
    <cellStyle name="Hiperlink" xfId="17" builtinId="8" hidden="1"/>
    <cellStyle name="Hiperlink" xfId="19" builtinId="8" hidden="1"/>
    <cellStyle name="Hiperlink" xfId="21" builtinId="8" hidden="1"/>
    <cellStyle name="Hiperlink" xfId="23" builtinId="8" hidden="1"/>
    <cellStyle name="Hiperlink" xfId="25" builtinId="8" hidden="1"/>
    <cellStyle name="Hiperlink" xfId="27" builtinId="8" hidden="1"/>
    <cellStyle name="Hiperlink" xfId="29" builtinId="8" hidden="1"/>
    <cellStyle name="Hiperlink" xfId="31" builtinId="8" hidden="1"/>
    <cellStyle name="Hiperlink" xfId="33" builtinId="8" hidden="1"/>
    <cellStyle name="Hiperlink" xfId="35" builtinId="8" hidden="1"/>
    <cellStyle name="Hiperlink" xfId="37" builtinId="8" hidden="1"/>
    <cellStyle name="Hiperlink" xfId="39" builtinId="8" hidden="1"/>
    <cellStyle name="Hiperlink" xfId="41" builtinId="8" hidden="1"/>
    <cellStyle name="Hiperlink" xfId="43" builtinId="8" hidden="1"/>
    <cellStyle name="Hiperlink" xfId="45" builtinId="8" hidden="1"/>
    <cellStyle name="Hiperlink" xfId="47" builtinId="8" hidden="1"/>
    <cellStyle name="Hiperlink" xfId="49" builtinId="8" hidden="1"/>
    <cellStyle name="Hiperlink" xfId="51" builtinId="8" hidden="1"/>
    <cellStyle name="Hiperlink" xfId="53" builtinId="8" hidden="1"/>
    <cellStyle name="Hiperlink" xfId="55" builtinId="8" hidden="1"/>
    <cellStyle name="Hiperlink" xfId="57" builtinId="8" hidden="1"/>
    <cellStyle name="Hiperlink" xfId="59" builtinId="8" hidden="1"/>
    <cellStyle name="Hiperlink" xfId="61" builtinId="8" hidden="1"/>
    <cellStyle name="Hiperlink" xfId="63" builtinId="8" hidden="1"/>
    <cellStyle name="Hiperlink" xfId="65" builtinId="8" hidden="1"/>
    <cellStyle name="Hiperlink" xfId="67" builtinId="8" hidden="1"/>
    <cellStyle name="Hiperlink" xfId="69" builtinId="8" hidden="1"/>
    <cellStyle name="Hiperlink" xfId="71" builtinId="8" hidden="1"/>
    <cellStyle name="Hiperlink" xfId="73" builtinId="8" hidden="1"/>
    <cellStyle name="Hiperlink" xfId="75" builtinId="8" hidden="1"/>
    <cellStyle name="Hiperlink" xfId="77" builtinId="8" hidden="1"/>
    <cellStyle name="Hiperlink" xfId="79" builtinId="8" hidden="1"/>
    <cellStyle name="Hiperlink" xfId="81" builtinId="8" hidden="1"/>
    <cellStyle name="Hiperlink" xfId="83" builtinId="8" hidden="1"/>
    <cellStyle name="Hiperlink" xfId="85" builtinId="8" hidden="1"/>
    <cellStyle name="Hiperlink" xfId="87" builtinId="8" hidden="1"/>
    <cellStyle name="Hiperlink" xfId="89" builtinId="8" hidden="1"/>
    <cellStyle name="Hiperlink" xfId="91" builtinId="8" hidden="1"/>
    <cellStyle name="Hiperlink" xfId="93" builtinId="8" hidden="1"/>
    <cellStyle name="Hiperlink" xfId="95" builtinId="8" hidden="1"/>
    <cellStyle name="Hiperlink" xfId="97" builtinId="8" hidden="1"/>
    <cellStyle name="Hiperlink" xfId="99" builtinId="8" hidden="1"/>
    <cellStyle name="Hiperlink" xfId="101" builtinId="8" hidden="1"/>
    <cellStyle name="Hiperlink" xfId="103" builtinId="8" hidden="1"/>
    <cellStyle name="Hiperlink" xfId="105" builtinId="8" hidden="1"/>
    <cellStyle name="Hiperlink" xfId="107" builtinId="8" hidden="1"/>
    <cellStyle name="Hiperlink" xfId="109" builtinId="8" hidden="1"/>
    <cellStyle name="Hiperlink" xfId="111" builtinId="8" hidden="1"/>
    <cellStyle name="Hiperlink" xfId="113" builtinId="8" hidden="1"/>
    <cellStyle name="Hiperlink" xfId="115" builtinId="8" hidden="1"/>
    <cellStyle name="Hiperlink" xfId="117" builtinId="8" hidden="1"/>
    <cellStyle name="Hiperlink" xfId="119" builtinId="8" hidden="1"/>
    <cellStyle name="Hiperlink" xfId="121" builtinId="8" hidden="1"/>
    <cellStyle name="Hiperlink" xfId="123" builtinId="8" hidden="1"/>
    <cellStyle name="Hiperlink" xfId="125" builtinId="8" hidden="1"/>
    <cellStyle name="Hiperlink" xfId="127" builtinId="8" hidden="1"/>
    <cellStyle name="Hiperlink" xfId="129" builtinId="8" hidden="1"/>
    <cellStyle name="Hiperlink" xfId="131" builtinId="8" hidden="1"/>
    <cellStyle name="Hiperlink" xfId="133" builtinId="8" hidden="1"/>
    <cellStyle name="Hiperlink" xfId="135" builtinId="8" hidden="1"/>
    <cellStyle name="Hiperlink" xfId="137" builtinId="8" hidden="1"/>
    <cellStyle name="Hiperlink" xfId="139" builtinId="8" hidden="1"/>
    <cellStyle name="Hiperlink" xfId="141" builtinId="8" hidden="1"/>
    <cellStyle name="Hiperlink" xfId="143" builtinId="8" hidden="1"/>
    <cellStyle name="Hiperlink" xfId="145" builtinId="8" hidden="1"/>
    <cellStyle name="Hiperlink" xfId="147" builtinId="8" hidden="1"/>
    <cellStyle name="Hiperlink" xfId="149" builtinId="8" hidden="1"/>
    <cellStyle name="Hiperlink" xfId="151" builtinId="8" hidden="1"/>
    <cellStyle name="Hiperlink" xfId="153" builtinId="8" hidden="1"/>
    <cellStyle name="Hiperlink" xfId="155" builtinId="8" hidden="1"/>
    <cellStyle name="Hiperlink" xfId="157" builtinId="8" hidden="1"/>
    <cellStyle name="Hiperlink" xfId="159" builtinId="8" hidden="1"/>
    <cellStyle name="Hiperlink" xfId="161" builtinId="8" hidden="1"/>
    <cellStyle name="Hiperlink" xfId="163" builtinId="8" hidden="1"/>
    <cellStyle name="Hiperlink" xfId="165" builtinId="8" hidden="1"/>
    <cellStyle name="Hiperlink" xfId="167" builtinId="8" hidden="1"/>
    <cellStyle name="Hiperlink" xfId="169" builtinId="8" hidden="1"/>
    <cellStyle name="Hiperlink" xfId="171" builtinId="8" hidden="1"/>
    <cellStyle name="Hiperlink" xfId="173" builtinId="8" hidden="1"/>
    <cellStyle name="Hiperlink" xfId="175" builtinId="8" hidden="1"/>
    <cellStyle name="Hiperlink" xfId="177" builtinId="8" hidden="1"/>
    <cellStyle name="Hiperlink" xfId="179" builtinId="8" hidden="1"/>
    <cellStyle name="Hiperlink" xfId="181" builtinId="8" hidden="1"/>
    <cellStyle name="Hiperlink" xfId="183" builtinId="8" hidden="1"/>
    <cellStyle name="Hiperlink" xfId="185" builtinId="8" hidden="1"/>
    <cellStyle name="Hiperlink" xfId="187" builtinId="8" hidden="1"/>
    <cellStyle name="Hiperlink" xfId="189" builtinId="8" hidden="1"/>
    <cellStyle name="Hiperlink" xfId="191" builtinId="8" hidden="1"/>
    <cellStyle name="Hiperlink" xfId="193" builtinId="8" hidden="1"/>
    <cellStyle name="Hiperlink" xfId="195" builtinId="8" hidden="1"/>
    <cellStyle name="Hiperlink" xfId="197" builtinId="8" hidden="1"/>
    <cellStyle name="Hiperlink" xfId="199" builtinId="8" hidden="1"/>
    <cellStyle name="Hiperlink" xfId="201" builtinId="8" hidden="1"/>
    <cellStyle name="Hiperlink" xfId="203" builtinId="8" hidden="1"/>
    <cellStyle name="Hiperlink" xfId="205" builtinId="8" hidden="1"/>
    <cellStyle name="Hiperlink" xfId="207" builtinId="8" hidden="1"/>
    <cellStyle name="Hiperlink" xfId="209" builtinId="8" hidden="1"/>
    <cellStyle name="Hiperlink" xfId="211" builtinId="8" hidden="1"/>
    <cellStyle name="Hiperlink" xfId="213" builtinId="8" hidden="1"/>
    <cellStyle name="Hiperlink" xfId="215" builtinId="8" hidden="1"/>
    <cellStyle name="Hiperlink" xfId="217" builtinId="8" hidden="1"/>
    <cellStyle name="Hiperlink" xfId="219" builtinId="8" hidden="1"/>
    <cellStyle name="Hiperlink" xfId="221" builtinId="8" hidden="1"/>
    <cellStyle name="Hiperlink" xfId="223" builtinId="8" hidden="1"/>
    <cellStyle name="Hiperlink" xfId="225" builtinId="8" hidden="1"/>
    <cellStyle name="Hiperlink" xfId="227" builtinId="8" hidden="1"/>
    <cellStyle name="Hiperlink" xfId="229" builtinId="8" hidden="1"/>
    <cellStyle name="Hiperlink" xfId="231" builtinId="8" hidden="1"/>
    <cellStyle name="Hiperlink" xfId="233" builtinId="8" hidden="1"/>
    <cellStyle name="Hiperlink" xfId="235" builtinId="8" hidden="1"/>
    <cellStyle name="Hiperlink" xfId="237" builtinId="8" hidden="1"/>
    <cellStyle name="Hiperlink" xfId="239" builtinId="8" hidden="1"/>
    <cellStyle name="Hiperlink" xfId="241" builtinId="8" hidden="1"/>
    <cellStyle name="Hiperlink" xfId="243" builtinId="8" hidden="1"/>
    <cellStyle name="Hiperlink" xfId="245" builtinId="8" hidden="1"/>
    <cellStyle name="Hiperlink" xfId="247" builtinId="8" hidden="1"/>
    <cellStyle name="Hiperlink" xfId="249" builtinId="8" hidden="1"/>
    <cellStyle name="Hiperlink" xfId="251" builtinId="8" hidden="1"/>
    <cellStyle name="Hiperlink" xfId="253" builtinId="8" hidden="1"/>
    <cellStyle name="Hiperlink" xfId="255" builtinId="8" hidden="1"/>
    <cellStyle name="Hiperlink" xfId="257" builtinId="8" hidden="1"/>
    <cellStyle name="Hiperlink" xfId="259" builtinId="8" hidden="1"/>
    <cellStyle name="Hiperlink" xfId="261" builtinId="8" hidden="1"/>
    <cellStyle name="Hiperlink" xfId="263" builtinId="8" hidden="1"/>
    <cellStyle name="Hiperlink" xfId="265" builtinId="8" hidden="1"/>
    <cellStyle name="Hiperlink" xfId="267" builtinId="8" hidden="1"/>
    <cellStyle name="Hiperlink" xfId="269" builtinId="8" hidden="1"/>
    <cellStyle name="Hiperlink" xfId="271" builtinId="8" hidden="1"/>
    <cellStyle name="Hiperlink" xfId="273" builtinId="8" hidden="1"/>
    <cellStyle name="Hiperlink" xfId="275" builtinId="8" hidden="1"/>
    <cellStyle name="Hiperlink" xfId="277" builtinId="8" hidden="1"/>
    <cellStyle name="Hiperlink" xfId="279" builtinId="8" hidden="1"/>
    <cellStyle name="Hiperlink" xfId="281" builtinId="8" hidden="1"/>
    <cellStyle name="Hiperlink" xfId="283" builtinId="8" hidden="1"/>
    <cellStyle name="Hiperlink" xfId="285" builtinId="8" hidden="1"/>
    <cellStyle name="Hiperlink" xfId="287" builtinId="8" hidden="1"/>
    <cellStyle name="Hiperlink" xfId="289" builtinId="8" hidden="1"/>
    <cellStyle name="Hiperlink" xfId="291" builtinId="8" hidden="1"/>
    <cellStyle name="Hiperlink" xfId="293" builtinId="8" hidden="1"/>
    <cellStyle name="Hiperlink" xfId="295" builtinId="8" hidden="1"/>
    <cellStyle name="Hiperlink" xfId="297" builtinId="8" hidden="1"/>
    <cellStyle name="Hiperlink" xfId="299" builtinId="8" hidden="1"/>
    <cellStyle name="Hiperlink" xfId="301" builtinId="8" hidden="1"/>
    <cellStyle name="Hiperlink" xfId="303" builtinId="8" hidden="1"/>
    <cellStyle name="Hiperlink" xfId="305" builtinId="8" hidden="1"/>
    <cellStyle name="Hiperlink Visitado" xfId="3" builtinId="9" hidden="1"/>
    <cellStyle name="Hiperlink Visitado" xfId="5" builtinId="9" hidden="1"/>
    <cellStyle name="Hiperlink Visitado" xfId="8" builtinId="9" hidden="1"/>
    <cellStyle name="Hiperlink Visitado" xfId="10" builtinId="9" hidden="1"/>
    <cellStyle name="Hiperlink Visitado" xfId="12" builtinId="9" hidden="1"/>
    <cellStyle name="Hiperlink Visitado" xfId="14" builtinId="9" hidden="1"/>
    <cellStyle name="Hiperlink Visitado" xfId="16" builtinId="9" hidden="1"/>
    <cellStyle name="Hiperlink Visitado" xfId="18" builtinId="9" hidden="1"/>
    <cellStyle name="Hiperlink Visitado" xfId="20" builtinId="9" hidden="1"/>
    <cellStyle name="Hiperlink Visitado" xfId="22" builtinId="9" hidden="1"/>
    <cellStyle name="Hiperlink Visitado" xfId="24" builtinId="9" hidden="1"/>
    <cellStyle name="Hiperlink Visitado" xfId="26" builtinId="9" hidden="1"/>
    <cellStyle name="Hiperlink Visitado" xfId="28" builtinId="9" hidden="1"/>
    <cellStyle name="Hiperlink Visitado" xfId="30" builtinId="9" hidden="1"/>
    <cellStyle name="Hiperlink Visitado" xfId="32" builtinId="9" hidden="1"/>
    <cellStyle name="Hiperlink Visitado" xfId="34" builtinId="9" hidden="1"/>
    <cellStyle name="Hiperlink Visitado" xfId="36" builtinId="9" hidden="1"/>
    <cellStyle name="Hiperlink Visitado" xfId="38" builtinId="9" hidden="1"/>
    <cellStyle name="Hiperlink Visitado" xfId="40" builtinId="9" hidden="1"/>
    <cellStyle name="Hiperlink Visitado" xfId="42" builtinId="9" hidden="1"/>
    <cellStyle name="Hiperlink Visitado" xfId="44" builtinId="9" hidden="1"/>
    <cellStyle name="Hiperlink Visitado" xfId="46" builtinId="9" hidden="1"/>
    <cellStyle name="Hiperlink Visitado" xfId="48" builtinId="9" hidden="1"/>
    <cellStyle name="Hiperlink Visitado" xfId="50" builtinId="9" hidden="1"/>
    <cellStyle name="Hiperlink Visitado" xfId="52" builtinId="9" hidden="1"/>
    <cellStyle name="Hiperlink Visitado" xfId="54" builtinId="9" hidden="1"/>
    <cellStyle name="Hiperlink Visitado" xfId="56" builtinId="9" hidden="1"/>
    <cellStyle name="Hiperlink Visitado" xfId="58" builtinId="9" hidden="1"/>
    <cellStyle name="Hiperlink Visitado" xfId="60" builtinId="9" hidden="1"/>
    <cellStyle name="Hiperlink Visitado" xfId="62" builtinId="9" hidden="1"/>
    <cellStyle name="Hiperlink Visitado" xfId="64" builtinId="9" hidden="1"/>
    <cellStyle name="Hiperlink Visitado" xfId="66" builtinId="9" hidden="1"/>
    <cellStyle name="Hiperlink Visitado" xfId="68" builtinId="9" hidden="1"/>
    <cellStyle name="Hiperlink Visitado" xfId="70" builtinId="9" hidden="1"/>
    <cellStyle name="Hiperlink Visitado" xfId="72" builtinId="9" hidden="1"/>
    <cellStyle name="Hiperlink Visitado" xfId="74" builtinId="9" hidden="1"/>
    <cellStyle name="Hiperlink Visitado" xfId="76" builtinId="9" hidden="1"/>
    <cellStyle name="Hiperlink Visitado" xfId="78" builtinId="9" hidden="1"/>
    <cellStyle name="Hiperlink Visitado" xfId="80" builtinId="9" hidden="1"/>
    <cellStyle name="Hiperlink Visitado" xfId="82" builtinId="9" hidden="1"/>
    <cellStyle name="Hiperlink Visitado" xfId="84" builtinId="9" hidden="1"/>
    <cellStyle name="Hiperlink Visitado" xfId="86" builtinId="9" hidden="1"/>
    <cellStyle name="Hiperlink Visitado" xfId="88" builtinId="9" hidden="1"/>
    <cellStyle name="Hiperlink Visitado" xfId="90" builtinId="9" hidden="1"/>
    <cellStyle name="Hiperlink Visitado" xfId="92" builtinId="9" hidden="1"/>
    <cellStyle name="Hiperlink Visitado" xfId="94" builtinId="9" hidden="1"/>
    <cellStyle name="Hiperlink Visitado" xfId="96" builtinId="9" hidden="1"/>
    <cellStyle name="Hiperlink Visitado" xfId="98" builtinId="9" hidden="1"/>
    <cellStyle name="Hiperlink Visitado" xfId="100" builtinId="9" hidden="1"/>
    <cellStyle name="Hiperlink Visitado" xfId="102" builtinId="9" hidden="1"/>
    <cellStyle name="Hiperlink Visitado" xfId="104" builtinId="9" hidden="1"/>
    <cellStyle name="Hiperlink Visitado" xfId="106" builtinId="9" hidden="1"/>
    <cellStyle name="Hiperlink Visitado" xfId="108" builtinId="9" hidden="1"/>
    <cellStyle name="Hiperlink Visitado" xfId="110" builtinId="9" hidden="1"/>
    <cellStyle name="Hiperlink Visitado" xfId="112" builtinId="9" hidden="1"/>
    <cellStyle name="Hiperlink Visitado" xfId="114" builtinId="9" hidden="1"/>
    <cellStyle name="Hiperlink Visitado" xfId="116" builtinId="9" hidden="1"/>
    <cellStyle name="Hiperlink Visitado" xfId="118" builtinId="9" hidden="1"/>
    <cellStyle name="Hiperlink Visitado" xfId="120" builtinId="9" hidden="1"/>
    <cellStyle name="Hiperlink Visitado" xfId="122" builtinId="9" hidden="1"/>
    <cellStyle name="Hiperlink Visitado" xfId="124" builtinId="9" hidden="1"/>
    <cellStyle name="Hiperlink Visitado" xfId="126" builtinId="9" hidden="1"/>
    <cellStyle name="Hiperlink Visitado" xfId="128" builtinId="9" hidden="1"/>
    <cellStyle name="Hiperlink Visitado" xfId="130" builtinId="9" hidden="1"/>
    <cellStyle name="Hiperlink Visitado" xfId="132" builtinId="9" hidden="1"/>
    <cellStyle name="Hiperlink Visitado" xfId="134" builtinId="9" hidden="1"/>
    <cellStyle name="Hiperlink Visitado" xfId="136" builtinId="9" hidden="1"/>
    <cellStyle name="Hiperlink Visitado" xfId="138" builtinId="9" hidden="1"/>
    <cellStyle name="Hiperlink Visitado" xfId="140" builtinId="9" hidden="1"/>
    <cellStyle name="Hiperlink Visitado" xfId="142" builtinId="9" hidden="1"/>
    <cellStyle name="Hiperlink Visitado" xfId="144" builtinId="9" hidden="1"/>
    <cellStyle name="Hiperlink Visitado" xfId="146" builtinId="9" hidden="1"/>
    <cellStyle name="Hiperlink Visitado" xfId="148" builtinId="9" hidden="1"/>
    <cellStyle name="Hiperlink Visitado" xfId="150" builtinId="9" hidden="1"/>
    <cellStyle name="Hiperlink Visitado" xfId="152" builtinId="9" hidden="1"/>
    <cellStyle name="Hiperlink Visitado" xfId="154" builtinId="9" hidden="1"/>
    <cellStyle name="Hiperlink Visitado" xfId="156" builtinId="9" hidden="1"/>
    <cellStyle name="Hiperlink Visitado" xfId="158" builtinId="9" hidden="1"/>
    <cellStyle name="Hiperlink Visitado" xfId="160" builtinId="9" hidden="1"/>
    <cellStyle name="Hiperlink Visitado" xfId="162" builtinId="9" hidden="1"/>
    <cellStyle name="Hiperlink Visitado" xfId="164" builtinId="9" hidden="1"/>
    <cellStyle name="Hiperlink Visitado" xfId="166" builtinId="9" hidden="1"/>
    <cellStyle name="Hiperlink Visitado" xfId="168" builtinId="9" hidden="1"/>
    <cellStyle name="Hiperlink Visitado" xfId="170" builtinId="9" hidden="1"/>
    <cellStyle name="Hiperlink Visitado" xfId="172" builtinId="9" hidden="1"/>
    <cellStyle name="Hiperlink Visitado" xfId="174" builtinId="9" hidden="1"/>
    <cellStyle name="Hiperlink Visitado" xfId="176" builtinId="9" hidden="1"/>
    <cellStyle name="Hiperlink Visitado" xfId="178" builtinId="9" hidden="1"/>
    <cellStyle name="Hiperlink Visitado" xfId="180" builtinId="9" hidden="1"/>
    <cellStyle name="Hiperlink Visitado" xfId="182" builtinId="9" hidden="1"/>
    <cellStyle name="Hiperlink Visitado" xfId="184" builtinId="9" hidden="1"/>
    <cellStyle name="Hiperlink Visitado" xfId="186" builtinId="9" hidden="1"/>
    <cellStyle name="Hiperlink Visitado" xfId="188" builtinId="9" hidden="1"/>
    <cellStyle name="Hiperlink Visitado" xfId="190" builtinId="9" hidden="1"/>
    <cellStyle name="Hiperlink Visitado" xfId="192" builtinId="9" hidden="1"/>
    <cellStyle name="Hiperlink Visitado" xfId="194" builtinId="9" hidden="1"/>
    <cellStyle name="Hiperlink Visitado" xfId="196" builtinId="9" hidden="1"/>
    <cellStyle name="Hiperlink Visitado" xfId="198" builtinId="9" hidden="1"/>
    <cellStyle name="Hiperlink Visitado" xfId="200" builtinId="9" hidden="1"/>
    <cellStyle name="Hiperlink Visitado" xfId="202" builtinId="9" hidden="1"/>
    <cellStyle name="Hiperlink Visitado" xfId="204" builtinId="9" hidden="1"/>
    <cellStyle name="Hiperlink Visitado" xfId="206" builtinId="9" hidden="1"/>
    <cellStyle name="Hiperlink Visitado" xfId="208" builtinId="9" hidden="1"/>
    <cellStyle name="Hiperlink Visitado" xfId="210" builtinId="9" hidden="1"/>
    <cellStyle name="Hiperlink Visitado" xfId="212" builtinId="9" hidden="1"/>
    <cellStyle name="Hiperlink Visitado" xfId="214" builtinId="9" hidden="1"/>
    <cellStyle name="Hiperlink Visitado" xfId="216" builtinId="9" hidden="1"/>
    <cellStyle name="Hiperlink Visitado" xfId="218" builtinId="9" hidden="1"/>
    <cellStyle name="Hiperlink Visitado" xfId="220" builtinId="9" hidden="1"/>
    <cellStyle name="Hiperlink Visitado" xfId="222" builtinId="9" hidden="1"/>
    <cellStyle name="Hiperlink Visitado" xfId="224" builtinId="9" hidden="1"/>
    <cellStyle name="Hiperlink Visitado" xfId="226" builtinId="9" hidden="1"/>
    <cellStyle name="Hiperlink Visitado" xfId="228" builtinId="9" hidden="1"/>
    <cellStyle name="Hiperlink Visitado" xfId="230" builtinId="9" hidden="1"/>
    <cellStyle name="Hiperlink Visitado" xfId="232" builtinId="9" hidden="1"/>
    <cellStyle name="Hiperlink Visitado" xfId="234" builtinId="9" hidden="1"/>
    <cellStyle name="Hiperlink Visitado" xfId="236" builtinId="9" hidden="1"/>
    <cellStyle name="Hiperlink Visitado" xfId="238" builtinId="9" hidden="1"/>
    <cellStyle name="Hiperlink Visitado" xfId="240" builtinId="9" hidden="1"/>
    <cellStyle name="Hiperlink Visitado" xfId="242" builtinId="9" hidden="1"/>
    <cellStyle name="Hiperlink Visitado" xfId="244" builtinId="9" hidden="1"/>
    <cellStyle name="Hiperlink Visitado" xfId="246" builtinId="9" hidden="1"/>
    <cellStyle name="Hiperlink Visitado" xfId="248" builtinId="9" hidden="1"/>
    <cellStyle name="Hiperlink Visitado" xfId="250" builtinId="9" hidden="1"/>
    <cellStyle name="Hiperlink Visitado" xfId="252" builtinId="9" hidden="1"/>
    <cellStyle name="Hiperlink Visitado" xfId="254" builtinId="9" hidden="1"/>
    <cellStyle name="Hiperlink Visitado" xfId="256" builtinId="9" hidden="1"/>
    <cellStyle name="Hiperlink Visitado" xfId="258" builtinId="9" hidden="1"/>
    <cellStyle name="Hiperlink Visitado" xfId="260" builtinId="9" hidden="1"/>
    <cellStyle name="Hiperlink Visitado" xfId="262" builtinId="9" hidden="1"/>
    <cellStyle name="Hiperlink Visitado" xfId="264" builtinId="9" hidden="1"/>
    <cellStyle name="Hiperlink Visitado" xfId="266" builtinId="9" hidden="1"/>
    <cellStyle name="Hiperlink Visitado" xfId="268" builtinId="9" hidden="1"/>
    <cellStyle name="Hiperlink Visitado" xfId="270" builtinId="9" hidden="1"/>
    <cellStyle name="Hiperlink Visitado" xfId="272" builtinId="9" hidden="1"/>
    <cellStyle name="Hiperlink Visitado" xfId="274" builtinId="9" hidden="1"/>
    <cellStyle name="Hiperlink Visitado" xfId="276" builtinId="9" hidden="1"/>
    <cellStyle name="Hiperlink Visitado" xfId="278" builtinId="9" hidden="1"/>
    <cellStyle name="Hiperlink Visitado" xfId="280" builtinId="9" hidden="1"/>
    <cellStyle name="Hiperlink Visitado" xfId="282" builtinId="9" hidden="1"/>
    <cellStyle name="Hiperlink Visitado" xfId="284" builtinId="9" hidden="1"/>
    <cellStyle name="Hiperlink Visitado" xfId="286" builtinId="9" hidden="1"/>
    <cellStyle name="Hiperlink Visitado" xfId="288" builtinId="9" hidden="1"/>
    <cellStyle name="Hiperlink Visitado" xfId="290" builtinId="9" hidden="1"/>
    <cellStyle name="Hiperlink Visitado" xfId="292" builtinId="9" hidden="1"/>
    <cellStyle name="Hiperlink Visitado" xfId="294" builtinId="9" hidden="1"/>
    <cellStyle name="Hiperlink Visitado" xfId="296" builtinId="9" hidden="1"/>
    <cellStyle name="Hiperlink Visitado" xfId="298" builtinId="9" hidden="1"/>
    <cellStyle name="Hiperlink Visitado" xfId="300" builtinId="9" hidden="1"/>
    <cellStyle name="Hiperlink Visitado" xfId="302" builtinId="9" hidden="1"/>
    <cellStyle name="Hiperlink Visitado" xfId="304" builtinId="9" hidden="1"/>
    <cellStyle name="Hiperlink Visitado" xfId="306" builtinId="9" hidden="1"/>
    <cellStyle name="Normal" xfId="0" builtinId="0"/>
    <cellStyle name="Porcentagem" xfId="1" builtinId="5"/>
    <cellStyle name="Vírgula" xfId="6" builtinId="3"/>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711200</xdr:colOff>
      <xdr:row>15</xdr:row>
      <xdr:rowOff>148985</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0" y="0"/>
          <a:ext cx="5675086" cy="243498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152400</xdr:colOff>
      <xdr:row>15</xdr:row>
      <xdr:rowOff>36631</xdr:rowOff>
    </xdr:to>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5116286" cy="2322631"/>
        </a:xfrm>
        <a:prstGeom prst="rect">
          <a:avLst/>
        </a:prstGeom>
      </xdr:spPr>
    </xdr:pic>
    <xdr:clientData/>
  </xdr:twoCellAnchor>
  <xdr:twoCellAnchor editAs="oneCell">
    <xdr:from>
      <xdr:col>0</xdr:col>
      <xdr:colOff>0</xdr:colOff>
      <xdr:row>15</xdr:row>
      <xdr:rowOff>14514</xdr:rowOff>
    </xdr:from>
    <xdr:to>
      <xdr:col>5</xdr:col>
      <xdr:colOff>725715</xdr:colOff>
      <xdr:row>26</xdr:row>
      <xdr:rowOff>19098</xdr:rowOff>
    </xdr:to>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a:stretch>
          <a:fillRect/>
        </a:stretch>
      </xdr:blipFill>
      <xdr:spPr>
        <a:xfrm>
          <a:off x="0" y="2300514"/>
          <a:ext cx="4862286" cy="168098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348343</xdr:colOff>
      <xdr:row>14</xdr:row>
      <xdr:rowOff>652</xdr:rowOff>
    </xdr:to>
    <xdr:pic>
      <xdr:nvPicPr>
        <xdr:cNvPr id="3" name="Picture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1"/>
        <a:stretch>
          <a:fillRect/>
        </a:stretch>
      </xdr:blipFill>
      <xdr:spPr>
        <a:xfrm>
          <a:off x="0" y="0"/>
          <a:ext cx="4484914" cy="213425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371230</xdr:colOff>
      <xdr:row>39</xdr:row>
      <xdr:rowOff>19538</xdr:rowOff>
    </xdr:to>
    <xdr:grpSp>
      <xdr:nvGrpSpPr>
        <xdr:cNvPr id="4" name="Group 3">
          <a:extLst>
            <a:ext uri="{FF2B5EF4-FFF2-40B4-BE49-F238E27FC236}">
              <a16:creationId xmlns:a16="http://schemas.microsoft.com/office/drawing/2014/main" id="{00000000-0008-0000-1000-000004000000}"/>
            </a:ext>
          </a:extLst>
        </xdr:cNvPr>
        <xdr:cNvGrpSpPr/>
      </xdr:nvGrpSpPr>
      <xdr:grpSpPr>
        <a:xfrm>
          <a:off x="0" y="0"/>
          <a:ext cx="5353538" cy="6496538"/>
          <a:chOff x="0" y="0"/>
          <a:chExt cx="4025481" cy="5166460"/>
        </a:xfrm>
      </xdr:grpSpPr>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3889623" cy="3987521"/>
          </a:xfrm>
          <a:prstGeom prst="rect">
            <a:avLst/>
          </a:prstGeom>
        </xdr:spPr>
      </xdr:pic>
      <xdr:pic>
        <xdr:nvPicPr>
          <xdr:cNvPr id="3" name="Picture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a:stretch>
            <a:fillRect/>
          </a:stretch>
        </xdr:blipFill>
        <xdr:spPr>
          <a:xfrm>
            <a:off x="0" y="3943978"/>
            <a:ext cx="4025481" cy="1222482"/>
          </a:xfrm>
          <a:prstGeom prst="rect">
            <a:avLst/>
          </a:prstGeom>
        </xdr:spPr>
      </xdr:pic>
    </xdr:grp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460041</xdr:colOff>
      <xdr:row>20</xdr:row>
      <xdr:rowOff>87086</xdr:rowOff>
    </xdr:to>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0"/>
          <a:ext cx="4596612" cy="313508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43794</xdr:colOff>
      <xdr:row>44</xdr:row>
      <xdr:rowOff>17518</xdr:rowOff>
    </xdr:to>
    <xdr:grpSp>
      <xdr:nvGrpSpPr>
        <xdr:cNvPr id="4" name="Group 3">
          <a:extLst>
            <a:ext uri="{FF2B5EF4-FFF2-40B4-BE49-F238E27FC236}">
              <a16:creationId xmlns:a16="http://schemas.microsoft.com/office/drawing/2014/main" id="{00000000-0008-0000-1200-000004000000}"/>
            </a:ext>
          </a:extLst>
        </xdr:cNvPr>
        <xdr:cNvGrpSpPr/>
      </xdr:nvGrpSpPr>
      <xdr:grpSpPr>
        <a:xfrm>
          <a:off x="0" y="0"/>
          <a:ext cx="5806966" cy="7339725"/>
          <a:chOff x="0" y="0"/>
          <a:chExt cx="3958889" cy="5452897"/>
        </a:xfrm>
      </xdr:grpSpPr>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0" y="0"/>
            <a:ext cx="3958889" cy="3439135"/>
          </a:xfrm>
          <a:prstGeom prst="rect">
            <a:avLst/>
          </a:prstGeom>
        </xdr:spPr>
      </xdr:pic>
      <xdr:pic>
        <xdr:nvPicPr>
          <xdr:cNvPr id="3" name="Picture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a:stretch>
            <a:fillRect/>
          </a:stretch>
        </xdr:blipFill>
        <xdr:spPr>
          <a:xfrm>
            <a:off x="0" y="3413613"/>
            <a:ext cx="3823013" cy="2039284"/>
          </a:xfrm>
          <a:prstGeom prst="rect">
            <a:avLst/>
          </a:prstGeom>
        </xdr:spPr>
      </xdr:pic>
    </xdr:grp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289752</xdr:colOff>
      <xdr:row>46</xdr:row>
      <xdr:rowOff>21771</xdr:rowOff>
    </xdr:to>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0" y="0"/>
          <a:ext cx="5253638" cy="703217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341586</xdr:colOff>
      <xdr:row>43</xdr:row>
      <xdr:rowOff>114369</xdr:rowOff>
    </xdr:to>
    <xdr:pic>
      <xdr:nvPicPr>
        <xdr:cNvPr id="2" name="Picture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0"/>
          <a:ext cx="6104758" cy="65169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812800</xdr:colOff>
      <xdr:row>12</xdr:row>
      <xdr:rowOff>6516</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6604000" cy="183531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544286</xdr:colOff>
      <xdr:row>19</xdr:row>
      <xdr:rowOff>112721</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4680857" cy="300832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566058</xdr:colOff>
      <xdr:row>21</xdr:row>
      <xdr:rowOff>107710</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4702629" cy="330811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439554</xdr:colOff>
      <xdr:row>18</xdr:row>
      <xdr:rowOff>43543</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4576125" cy="278674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631372</xdr:colOff>
      <xdr:row>17</xdr:row>
      <xdr:rowOff>123739</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4767943" cy="271453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558800</xdr:colOff>
      <xdr:row>18</xdr:row>
      <xdr:rowOff>130087</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4695371" cy="287328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101600</xdr:colOff>
      <xdr:row>29</xdr:row>
      <xdr:rowOff>9629</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5892800" cy="442922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468449</xdr:colOff>
      <xdr:row>16</xdr:row>
      <xdr:rowOff>50800</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4605020" cy="24892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I5:J15"/>
  <sheetViews>
    <sheetView showGridLines="0" zoomScale="125" zoomScaleNormal="125" zoomScalePageLayoutView="125" workbookViewId="0">
      <selection activeCell="E32" sqref="E32"/>
    </sheetView>
  </sheetViews>
  <sheetFormatPr defaultColWidth="10.875" defaultRowHeight="12.75" x14ac:dyDescent="0.2"/>
  <cols>
    <col min="1" max="16384" width="10.875" style="1"/>
  </cols>
  <sheetData>
    <row r="5" spans="9:10" x14ac:dyDescent="0.2">
      <c r="I5" s="2" t="s">
        <v>2</v>
      </c>
      <c r="J5" s="5">
        <v>18000000</v>
      </c>
    </row>
    <row r="6" spans="9:10" x14ac:dyDescent="0.2">
      <c r="I6" s="3" t="s">
        <v>3</v>
      </c>
      <c r="J6" s="6">
        <v>5400</v>
      </c>
    </row>
    <row r="7" spans="9:10" x14ac:dyDescent="0.2">
      <c r="I7" s="4" t="s">
        <v>4</v>
      </c>
      <c r="J7" s="7">
        <v>36000000</v>
      </c>
    </row>
    <row r="10" spans="9:10" x14ac:dyDescent="0.2">
      <c r="I10" s="1" t="s">
        <v>0</v>
      </c>
      <c r="J10" s="10">
        <f>+J6/J5</f>
        <v>2.9999999999999997E-4</v>
      </c>
    </row>
    <row r="11" spans="9:10" x14ac:dyDescent="0.2">
      <c r="I11" s="1" t="s">
        <v>1</v>
      </c>
      <c r="J11" s="11">
        <f>J5/J7</f>
        <v>0.5</v>
      </c>
    </row>
    <row r="12" spans="9:10" x14ac:dyDescent="0.2">
      <c r="I12" s="1" t="s">
        <v>5</v>
      </c>
      <c r="J12" s="10">
        <f>+J11*J10</f>
        <v>1.4999999999999999E-4</v>
      </c>
    </row>
    <row r="15" spans="9:10" x14ac:dyDescent="0.2">
      <c r="J15" s="8"/>
    </row>
  </sheetData>
  <pageMargins left="0.75" right="0.75" top="1" bottom="1" header="0.5" footer="0.5"/>
  <pageSetup paperSize="9" orientation="portrait" horizontalDpi="4294967292" verticalDpi="4294967292"/>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H3:L10"/>
  <sheetViews>
    <sheetView showGridLines="0" zoomScale="175" zoomScaleNormal="175" zoomScalePageLayoutView="175" workbookViewId="0">
      <selection activeCell="K10" sqref="K10"/>
    </sheetView>
  </sheetViews>
  <sheetFormatPr defaultColWidth="10.875" defaultRowHeight="12.75" x14ac:dyDescent="0.2"/>
  <cols>
    <col min="1" max="8" width="10.875" style="1"/>
    <col min="9" max="9" width="12.125" style="1" bestFit="1" customWidth="1"/>
    <col min="10" max="16384" width="10.875" style="1"/>
  </cols>
  <sheetData>
    <row r="3" spans="8:12" x14ac:dyDescent="0.2">
      <c r="I3" s="12" t="s">
        <v>54</v>
      </c>
      <c r="J3" s="12" t="s">
        <v>55</v>
      </c>
      <c r="K3" s="12" t="s">
        <v>56</v>
      </c>
      <c r="L3" s="12" t="s">
        <v>57</v>
      </c>
    </row>
    <row r="4" spans="8:12" ht="12.95" x14ac:dyDescent="0.2">
      <c r="H4" s="1" t="s">
        <v>2</v>
      </c>
      <c r="I4" s="16">
        <v>800</v>
      </c>
      <c r="J4" s="16">
        <f>+I4+80</f>
        <v>880</v>
      </c>
      <c r="K4" s="16">
        <f>+I4</f>
        <v>800</v>
      </c>
      <c r="L4" s="16">
        <f>+K4</f>
        <v>800</v>
      </c>
    </row>
    <row r="5" spans="8:12" ht="12.95" x14ac:dyDescent="0.2">
      <c r="H5" s="1" t="s">
        <v>3</v>
      </c>
      <c r="I5" s="16">
        <v>16</v>
      </c>
      <c r="J5" s="16">
        <f>+I5+6</f>
        <v>22</v>
      </c>
      <c r="K5" s="16">
        <f>+I5+3.2</f>
        <v>19.2</v>
      </c>
      <c r="L5" s="16">
        <f>+I5</f>
        <v>16</v>
      </c>
    </row>
    <row r="6" spans="8:12" ht="12.95" x14ac:dyDescent="0.2">
      <c r="H6" s="1" t="s">
        <v>4</v>
      </c>
      <c r="I6" s="16">
        <v>100</v>
      </c>
      <c r="J6" s="16">
        <v>100</v>
      </c>
      <c r="K6" s="16">
        <v>100</v>
      </c>
      <c r="L6" s="16">
        <f>+I6-20</f>
        <v>80</v>
      </c>
    </row>
    <row r="7" spans="8:12" ht="12.95" x14ac:dyDescent="0.2">
      <c r="I7" s="16"/>
      <c r="J7" s="16"/>
      <c r="K7" s="16"/>
      <c r="L7" s="16"/>
    </row>
    <row r="8" spans="8:12" ht="12.95" x14ac:dyDescent="0.2">
      <c r="H8" s="1" t="s">
        <v>0</v>
      </c>
      <c r="I8" s="17">
        <f>+I5/I4</f>
        <v>0.02</v>
      </c>
      <c r="J8" s="17">
        <f>+J5/J4</f>
        <v>2.5000000000000001E-2</v>
      </c>
      <c r="K8" s="17">
        <f>+K5/K4</f>
        <v>2.4E-2</v>
      </c>
      <c r="L8" s="17">
        <f>+L5/L4</f>
        <v>0.02</v>
      </c>
    </row>
    <row r="9" spans="8:12" ht="12.95" x14ac:dyDescent="0.2">
      <c r="H9" s="1" t="s">
        <v>1</v>
      </c>
      <c r="I9" s="16">
        <f>+I4/I6</f>
        <v>8</v>
      </c>
      <c r="J9" s="16">
        <f>+J4/J6</f>
        <v>8.8000000000000007</v>
      </c>
      <c r="K9" s="16">
        <f>+K4/K6</f>
        <v>8</v>
      </c>
      <c r="L9" s="16">
        <f>+L4/L6</f>
        <v>10</v>
      </c>
    </row>
    <row r="10" spans="8:12" ht="12.95" x14ac:dyDescent="0.2">
      <c r="H10" s="1" t="s">
        <v>5</v>
      </c>
      <c r="I10" s="17">
        <f>+I9*I8</f>
        <v>0.16</v>
      </c>
      <c r="J10" s="17">
        <f>+J9*J8</f>
        <v>0.22000000000000003</v>
      </c>
      <c r="K10" s="18">
        <f>+K9*K8</f>
        <v>0.192</v>
      </c>
      <c r="L10" s="17">
        <f>+L9*L8</f>
        <v>0.2</v>
      </c>
    </row>
  </sheetData>
  <pageMargins left="0.75" right="0.75" top="1" bottom="1" header="0.5" footer="0.5"/>
  <pageSetup paperSize="9" orientation="portrait" horizontalDpi="4294967292" verticalDpi="4294967292"/>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G3:J21"/>
  <sheetViews>
    <sheetView showGridLines="0" zoomScale="175" zoomScaleNormal="175" zoomScalePageLayoutView="175" workbookViewId="0">
      <selection activeCell="G3" sqref="G3:J10"/>
    </sheetView>
  </sheetViews>
  <sheetFormatPr defaultColWidth="10.875" defaultRowHeight="12.75" x14ac:dyDescent="0.2"/>
  <cols>
    <col min="1" max="16384" width="10.875" style="1"/>
  </cols>
  <sheetData>
    <row r="3" spans="7:10" x14ac:dyDescent="0.2">
      <c r="H3" s="71" t="s">
        <v>31</v>
      </c>
      <c r="I3" s="71"/>
      <c r="J3" s="71"/>
    </row>
    <row r="4" spans="7:10" x14ac:dyDescent="0.2">
      <c r="H4" s="12" t="s">
        <v>58</v>
      </c>
      <c r="I4" s="12" t="s">
        <v>59</v>
      </c>
      <c r="J4" s="12" t="s">
        <v>60</v>
      </c>
    </row>
    <row r="5" spans="7:10" ht="12.95" x14ac:dyDescent="0.2">
      <c r="G5" s="1" t="s">
        <v>2</v>
      </c>
      <c r="H5" s="16">
        <v>800</v>
      </c>
      <c r="I5" s="16" t="s">
        <v>23</v>
      </c>
      <c r="J5" s="16" t="s">
        <v>23</v>
      </c>
    </row>
    <row r="6" spans="7:10" ht="12.95" x14ac:dyDescent="0.2">
      <c r="G6" s="1" t="s">
        <v>3</v>
      </c>
      <c r="H6" s="16">
        <v>72</v>
      </c>
      <c r="I6" s="16" t="s">
        <v>23</v>
      </c>
      <c r="J6" s="16">
        <v>40</v>
      </c>
    </row>
    <row r="7" spans="7:10" ht="12.95" x14ac:dyDescent="0.2">
      <c r="G7" s="1" t="s">
        <v>4</v>
      </c>
      <c r="H7" s="16" t="s">
        <v>23</v>
      </c>
      <c r="I7" s="16">
        <v>130</v>
      </c>
      <c r="J7" s="16" t="s">
        <v>23</v>
      </c>
    </row>
    <row r="8" spans="7:10" ht="12.95" x14ac:dyDescent="0.2">
      <c r="G8" s="1" t="s">
        <v>0</v>
      </c>
      <c r="H8" s="17" t="s">
        <v>23</v>
      </c>
      <c r="I8" s="17">
        <v>0.04</v>
      </c>
      <c r="J8" s="17">
        <v>0.08</v>
      </c>
    </row>
    <row r="9" spans="7:10" ht="12.95" x14ac:dyDescent="0.2">
      <c r="G9" s="1" t="s">
        <v>1</v>
      </c>
      <c r="H9" s="16" t="s">
        <v>23</v>
      </c>
      <c r="I9" s="16">
        <v>5</v>
      </c>
      <c r="J9" s="16" t="s">
        <v>23</v>
      </c>
    </row>
    <row r="10" spans="7:10" ht="12.95" x14ac:dyDescent="0.2">
      <c r="G10" s="1" t="s">
        <v>5</v>
      </c>
      <c r="H10" s="17">
        <v>0.18</v>
      </c>
      <c r="I10" s="17" t="s">
        <v>23</v>
      </c>
      <c r="J10" s="17">
        <v>0.2</v>
      </c>
    </row>
    <row r="14" spans="7:10" x14ac:dyDescent="0.2">
      <c r="H14" s="71" t="s">
        <v>31</v>
      </c>
      <c r="I14" s="71"/>
      <c r="J14" s="71"/>
    </row>
    <row r="15" spans="7:10" x14ac:dyDescent="0.2">
      <c r="H15" s="12" t="s">
        <v>58</v>
      </c>
      <c r="I15" s="12" t="s">
        <v>59</v>
      </c>
      <c r="J15" s="12" t="s">
        <v>60</v>
      </c>
    </row>
    <row r="16" spans="7:10" ht="12.95" x14ac:dyDescent="0.2">
      <c r="G16" s="1" t="s">
        <v>2</v>
      </c>
      <c r="H16" s="16">
        <v>800</v>
      </c>
      <c r="I16" s="23">
        <f>I20*I18</f>
        <v>650</v>
      </c>
      <c r="J16" s="23">
        <f>J17/J19</f>
        <v>500</v>
      </c>
    </row>
    <row r="17" spans="7:10" ht="12.95" x14ac:dyDescent="0.2">
      <c r="G17" s="1" t="s">
        <v>3</v>
      </c>
      <c r="H17" s="16">
        <v>72</v>
      </c>
      <c r="I17" s="23">
        <f>I16*I19</f>
        <v>26</v>
      </c>
      <c r="J17" s="16">
        <v>40</v>
      </c>
    </row>
    <row r="18" spans="7:10" ht="12.95" x14ac:dyDescent="0.2">
      <c r="G18" s="1" t="s">
        <v>4</v>
      </c>
      <c r="H18" s="23">
        <f>H16/H20</f>
        <v>400</v>
      </c>
      <c r="I18" s="16">
        <v>130</v>
      </c>
      <c r="J18" s="23">
        <f>J16/J20</f>
        <v>200</v>
      </c>
    </row>
    <row r="19" spans="7:10" ht="12.95" x14ac:dyDescent="0.2">
      <c r="G19" s="1" t="s">
        <v>0</v>
      </c>
      <c r="H19" s="24">
        <f>H17/H16</f>
        <v>0.09</v>
      </c>
      <c r="I19" s="17">
        <v>0.04</v>
      </c>
      <c r="J19" s="17">
        <v>0.08</v>
      </c>
    </row>
    <row r="20" spans="7:10" ht="12.95" x14ac:dyDescent="0.2">
      <c r="G20" s="1" t="s">
        <v>1</v>
      </c>
      <c r="H20" s="23">
        <f>H21/H19</f>
        <v>2</v>
      </c>
      <c r="I20" s="16">
        <v>5</v>
      </c>
      <c r="J20" s="23">
        <f>J21/J19</f>
        <v>2.5</v>
      </c>
    </row>
    <row r="21" spans="7:10" ht="12.95" x14ac:dyDescent="0.2">
      <c r="G21" s="1" t="s">
        <v>5</v>
      </c>
      <c r="H21" s="17">
        <v>0.18</v>
      </c>
      <c r="I21" s="24">
        <f>+I20*I19</f>
        <v>0.2</v>
      </c>
      <c r="J21" s="17">
        <v>0.2</v>
      </c>
    </row>
  </sheetData>
  <mergeCells count="2">
    <mergeCell ref="H3:J3"/>
    <mergeCell ref="H14:J14"/>
  </mergeCells>
  <pageMargins left="0.75" right="0.75" top="1" bottom="1" header="0.5" footer="0.5"/>
  <pageSetup paperSize="9" orientation="portrait" horizontalDpi="4294967292" verticalDpi="4294967292"/>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H2:K38"/>
  <sheetViews>
    <sheetView showGridLines="0" zoomScale="130" zoomScaleNormal="130" zoomScalePageLayoutView="130" workbookViewId="0">
      <selection activeCell="H39" sqref="H39"/>
    </sheetView>
  </sheetViews>
  <sheetFormatPr defaultColWidth="10.875" defaultRowHeight="12.75" x14ac:dyDescent="0.2"/>
  <cols>
    <col min="1" max="7" width="10.875" style="1"/>
    <col min="8" max="8" width="29.125" style="1" bestFit="1" customWidth="1"/>
    <col min="9" max="9" width="12.375" style="1" bestFit="1" customWidth="1"/>
    <col min="10" max="16384" width="10.875" style="1"/>
  </cols>
  <sheetData>
    <row r="2" spans="8:9" x14ac:dyDescent="0.2">
      <c r="I2" s="1" t="s">
        <v>63</v>
      </c>
    </row>
    <row r="3" spans="8:9" ht="12.95" x14ac:dyDescent="0.2">
      <c r="H3" s="1" t="s">
        <v>2</v>
      </c>
      <c r="I3" s="1">
        <v>21000</v>
      </c>
    </row>
    <row r="4" spans="8:9" x14ac:dyDescent="0.2">
      <c r="H4" s="1" t="s">
        <v>61</v>
      </c>
      <c r="I4" s="26">
        <v>13400</v>
      </c>
    </row>
    <row r="5" spans="8:9" x14ac:dyDescent="0.2">
      <c r="H5" s="1" t="s">
        <v>62</v>
      </c>
      <c r="I5" s="1">
        <f>+I3-I4</f>
        <v>7600</v>
      </c>
    </row>
    <row r="6" spans="8:9" ht="12.95" x14ac:dyDescent="0.2">
      <c r="H6" s="1" t="s">
        <v>24</v>
      </c>
      <c r="I6" s="26">
        <v>5920</v>
      </c>
    </row>
    <row r="7" spans="8:9" ht="12.95" x14ac:dyDescent="0.2">
      <c r="H7" s="1" t="s">
        <v>3</v>
      </c>
      <c r="I7" s="1">
        <f>+I5-I6</f>
        <v>1680</v>
      </c>
    </row>
    <row r="9" spans="8:9" ht="12.95" x14ac:dyDescent="0.2">
      <c r="H9" s="1" t="s">
        <v>4</v>
      </c>
      <c r="I9" s="1">
        <v>5250</v>
      </c>
    </row>
    <row r="11" spans="8:9" ht="12.95" x14ac:dyDescent="0.2">
      <c r="H11" s="9" t="s">
        <v>64</v>
      </c>
      <c r="I11" s="27">
        <v>0.18</v>
      </c>
    </row>
    <row r="13" spans="8:9" ht="12.95" x14ac:dyDescent="0.2">
      <c r="H13" s="73" t="s">
        <v>66</v>
      </c>
      <c r="I13" s="73"/>
    </row>
    <row r="14" spans="8:9" ht="12.95" x14ac:dyDescent="0.2">
      <c r="H14" s="28" t="s">
        <v>2</v>
      </c>
      <c r="I14" s="28">
        <v>9000</v>
      </c>
    </row>
    <row r="15" spans="8:9" x14ac:dyDescent="0.2">
      <c r="H15" s="29" t="s">
        <v>65</v>
      </c>
      <c r="I15" s="30">
        <v>0.65</v>
      </c>
    </row>
    <row r="16" spans="8:9" ht="12.95" x14ac:dyDescent="0.2">
      <c r="H16" s="31" t="s">
        <v>24</v>
      </c>
      <c r="I16" s="31">
        <v>2520</v>
      </c>
    </row>
    <row r="19" spans="8:11" ht="12.95" x14ac:dyDescent="0.2">
      <c r="H19" s="1" t="s">
        <v>0</v>
      </c>
      <c r="I19" s="8">
        <f>+I7/I3</f>
        <v>0.08</v>
      </c>
    </row>
    <row r="20" spans="8:11" ht="12.95" x14ac:dyDescent="0.2">
      <c r="H20" s="1" t="s">
        <v>1</v>
      </c>
      <c r="I20" s="1">
        <f>+I3/I9</f>
        <v>4</v>
      </c>
    </row>
    <row r="21" spans="8:11" ht="12.95" x14ac:dyDescent="0.2">
      <c r="H21" s="1" t="s">
        <v>5</v>
      </c>
      <c r="I21" s="8">
        <f>+I20*I19</f>
        <v>0.32</v>
      </c>
    </row>
    <row r="23" spans="8:11" ht="12.95" x14ac:dyDescent="0.2">
      <c r="I23" s="12" t="s">
        <v>67</v>
      </c>
      <c r="J23" s="12" t="s">
        <v>68</v>
      </c>
      <c r="K23" s="12" t="s">
        <v>69</v>
      </c>
    </row>
    <row r="24" spans="8:11" ht="12.95" x14ac:dyDescent="0.2">
      <c r="H24" s="1" t="s">
        <v>2</v>
      </c>
      <c r="I24" s="16">
        <f>+I3</f>
        <v>21000</v>
      </c>
      <c r="J24" s="16">
        <f>I14</f>
        <v>9000</v>
      </c>
      <c r="K24" s="16">
        <f>+J24+I24</f>
        <v>30000</v>
      </c>
    </row>
    <row r="25" spans="8:11" ht="12.95" x14ac:dyDescent="0.2">
      <c r="H25" s="1" t="s">
        <v>3</v>
      </c>
      <c r="I25" s="16">
        <f>+I7</f>
        <v>1680</v>
      </c>
      <c r="J25" s="16">
        <f>J24-(J24*I15)-I16</f>
        <v>630</v>
      </c>
      <c r="K25" s="16">
        <f t="shared" ref="K25:K26" si="0">+J25+I25</f>
        <v>2310</v>
      </c>
    </row>
    <row r="26" spans="8:11" ht="12.95" x14ac:dyDescent="0.2">
      <c r="H26" s="1" t="s">
        <v>4</v>
      </c>
      <c r="I26" s="16">
        <f>+I9</f>
        <v>5250</v>
      </c>
      <c r="J26" s="16">
        <v>3000</v>
      </c>
      <c r="K26" s="16">
        <f t="shared" si="0"/>
        <v>8250</v>
      </c>
    </row>
    <row r="27" spans="8:11" ht="12.95" x14ac:dyDescent="0.2">
      <c r="I27" s="16"/>
      <c r="J27" s="16"/>
      <c r="K27" s="16"/>
    </row>
    <row r="28" spans="8:11" ht="12.95" x14ac:dyDescent="0.2">
      <c r="H28" s="1" t="s">
        <v>0</v>
      </c>
      <c r="I28" s="17">
        <f>+I25/I24</f>
        <v>0.08</v>
      </c>
      <c r="J28" s="17">
        <f>+J25/J24</f>
        <v>7.0000000000000007E-2</v>
      </c>
      <c r="K28" s="17">
        <f>+K25/K24</f>
        <v>7.6999999999999999E-2</v>
      </c>
    </row>
    <row r="29" spans="8:11" ht="12.95" x14ac:dyDescent="0.2">
      <c r="H29" s="1" t="s">
        <v>1</v>
      </c>
      <c r="I29" s="16">
        <f>+I24/I26</f>
        <v>4</v>
      </c>
      <c r="J29" s="16">
        <f>+J24/J26</f>
        <v>3</v>
      </c>
      <c r="K29" s="16">
        <f>+K24/K26</f>
        <v>3.6363636363636362</v>
      </c>
    </row>
    <row r="30" spans="8:11" ht="12.95" x14ac:dyDescent="0.2">
      <c r="H30" s="1" t="s">
        <v>5</v>
      </c>
      <c r="I30" s="17">
        <f>+I29*I28</f>
        <v>0.32</v>
      </c>
      <c r="J30" s="17">
        <f>+J29*J28</f>
        <v>0.21000000000000002</v>
      </c>
      <c r="K30" s="17">
        <f>+K29*K28</f>
        <v>0.27999999999999997</v>
      </c>
    </row>
    <row r="32" spans="8:11" x14ac:dyDescent="0.2">
      <c r="H32" s="9" t="s">
        <v>70</v>
      </c>
    </row>
    <row r="34" spans="8:11" ht="12.95" x14ac:dyDescent="0.2">
      <c r="H34" s="1" t="s">
        <v>32</v>
      </c>
      <c r="I34" s="1">
        <v>0.15</v>
      </c>
    </row>
    <row r="36" spans="8:11" x14ac:dyDescent="0.2">
      <c r="H36" s="1" t="s">
        <v>6</v>
      </c>
      <c r="I36" s="1">
        <f>(I30-$I$34)*I26</f>
        <v>892.50000000000011</v>
      </c>
      <c r="J36" s="1">
        <f t="shared" ref="J36:K36" si="1">(J30-$I$34)*J26</f>
        <v>180.00000000000009</v>
      </c>
      <c r="K36" s="1">
        <f t="shared" si="1"/>
        <v>1072.4999999999998</v>
      </c>
    </row>
    <row r="38" spans="8:11" x14ac:dyDescent="0.2">
      <c r="H38" s="9" t="s">
        <v>71</v>
      </c>
    </row>
  </sheetData>
  <mergeCells count="1">
    <mergeCell ref="H13:I13"/>
  </mergeCells>
  <pageMargins left="0.75" right="0.75" top="1" bottom="1" header="0.5" footer="0.5"/>
  <pageSetup paperSize="9" orientation="portrait" horizontalDpi="4294967292" verticalDpi="4294967292"/>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G3:L51"/>
  <sheetViews>
    <sheetView showGridLines="0" zoomScale="130" zoomScaleNormal="130" zoomScalePageLayoutView="130" workbookViewId="0">
      <selection activeCell="G13" sqref="G13:L24"/>
    </sheetView>
  </sheetViews>
  <sheetFormatPr defaultColWidth="10.875" defaultRowHeight="12.75" x14ac:dyDescent="0.2"/>
  <cols>
    <col min="1" max="16384" width="10.875" style="1"/>
  </cols>
  <sheetData>
    <row r="3" spans="7:12" x14ac:dyDescent="0.2">
      <c r="I3" s="71" t="s">
        <v>31</v>
      </c>
      <c r="J3" s="71"/>
      <c r="K3" s="71"/>
    </row>
    <row r="4" spans="7:12" x14ac:dyDescent="0.2">
      <c r="I4" s="12" t="s">
        <v>37</v>
      </c>
      <c r="J4" s="12" t="s">
        <v>38</v>
      </c>
      <c r="K4" s="12" t="s">
        <v>39</v>
      </c>
    </row>
    <row r="5" spans="7:12" x14ac:dyDescent="0.2">
      <c r="H5" s="1" t="s">
        <v>2</v>
      </c>
      <c r="I5" s="16">
        <v>4000</v>
      </c>
      <c r="J5" s="16">
        <v>1500</v>
      </c>
      <c r="K5" s="16" t="s">
        <v>23</v>
      </c>
    </row>
    <row r="6" spans="7:12" x14ac:dyDescent="0.2">
      <c r="H6" s="1" t="s">
        <v>3</v>
      </c>
      <c r="I6" s="16">
        <v>560</v>
      </c>
      <c r="J6" s="16">
        <v>210</v>
      </c>
      <c r="K6" s="16" t="s">
        <v>23</v>
      </c>
    </row>
    <row r="7" spans="7:12" x14ac:dyDescent="0.2">
      <c r="H7" s="1" t="s">
        <v>4</v>
      </c>
      <c r="I7" s="16">
        <v>2000</v>
      </c>
      <c r="J7" s="16" t="s">
        <v>23</v>
      </c>
      <c r="K7" s="16">
        <v>3000</v>
      </c>
    </row>
    <row r="8" spans="7:12" x14ac:dyDescent="0.2">
      <c r="H8" s="1" t="s">
        <v>0</v>
      </c>
      <c r="I8" s="17" t="s">
        <v>23</v>
      </c>
      <c r="J8" s="17" t="s">
        <v>23</v>
      </c>
      <c r="K8" s="18">
        <v>3.5000000000000003E-2</v>
      </c>
    </row>
    <row r="9" spans="7:12" x14ac:dyDescent="0.2">
      <c r="H9" s="1" t="s">
        <v>1</v>
      </c>
      <c r="I9" s="16" t="s">
        <v>23</v>
      </c>
      <c r="J9" s="16" t="s">
        <v>23</v>
      </c>
      <c r="K9" s="16">
        <v>2</v>
      </c>
    </row>
    <row r="10" spans="7:12" x14ac:dyDescent="0.2">
      <c r="H10" s="1" t="s">
        <v>5</v>
      </c>
      <c r="I10" s="17" t="s">
        <v>23</v>
      </c>
      <c r="J10" s="17">
        <v>7.0000000000000007E-2</v>
      </c>
      <c r="K10" s="17" t="s">
        <v>23</v>
      </c>
    </row>
    <row r="13" spans="7:12" ht="12" customHeight="1" x14ac:dyDescent="0.2">
      <c r="G13" s="72" t="s">
        <v>72</v>
      </c>
      <c r="H13" s="72"/>
      <c r="I13" s="72"/>
      <c r="J13" s="72"/>
      <c r="K13" s="72"/>
      <c r="L13" s="72"/>
    </row>
    <row r="14" spans="7:12" x14ac:dyDescent="0.2">
      <c r="G14" s="72"/>
      <c r="H14" s="72"/>
      <c r="I14" s="72"/>
      <c r="J14" s="72"/>
      <c r="K14" s="72"/>
      <c r="L14" s="72"/>
    </row>
    <row r="15" spans="7:12" x14ac:dyDescent="0.2">
      <c r="G15" s="72"/>
      <c r="H15" s="72"/>
      <c r="I15" s="72"/>
      <c r="J15" s="72"/>
      <c r="K15" s="72"/>
      <c r="L15" s="72"/>
    </row>
    <row r="16" spans="7:12" x14ac:dyDescent="0.2">
      <c r="G16" s="72"/>
      <c r="H16" s="72"/>
      <c r="I16" s="72"/>
      <c r="J16" s="72"/>
      <c r="K16" s="72"/>
      <c r="L16" s="72"/>
    </row>
    <row r="17" spans="7:12" x14ac:dyDescent="0.2">
      <c r="G17" s="72"/>
      <c r="H17" s="72"/>
      <c r="I17" s="72"/>
      <c r="J17" s="72"/>
      <c r="K17" s="72"/>
      <c r="L17" s="72"/>
    </row>
    <row r="18" spans="7:12" x14ac:dyDescent="0.2">
      <c r="G18" s="72"/>
      <c r="H18" s="72"/>
      <c r="I18" s="72"/>
      <c r="J18" s="72"/>
      <c r="K18" s="72"/>
      <c r="L18" s="72"/>
    </row>
    <row r="19" spans="7:12" x14ac:dyDescent="0.2">
      <c r="G19" s="72"/>
      <c r="H19" s="72"/>
      <c r="I19" s="72"/>
      <c r="J19" s="72"/>
      <c r="K19" s="72"/>
      <c r="L19" s="72"/>
    </row>
    <row r="20" spans="7:12" x14ac:dyDescent="0.2">
      <c r="G20" s="72"/>
      <c r="H20" s="72"/>
      <c r="I20" s="72"/>
      <c r="J20" s="72"/>
      <c r="K20" s="72"/>
      <c r="L20" s="72"/>
    </row>
    <row r="21" spans="7:12" x14ac:dyDescent="0.2">
      <c r="G21" s="72"/>
      <c r="H21" s="72"/>
      <c r="I21" s="72"/>
      <c r="J21" s="72"/>
      <c r="K21" s="72"/>
      <c r="L21" s="72"/>
    </row>
    <row r="22" spans="7:12" x14ac:dyDescent="0.2">
      <c r="G22" s="72"/>
      <c r="H22" s="72"/>
      <c r="I22" s="72"/>
      <c r="J22" s="72"/>
      <c r="K22" s="72"/>
      <c r="L22" s="72"/>
    </row>
    <row r="23" spans="7:12" x14ac:dyDescent="0.2">
      <c r="G23" s="72"/>
      <c r="H23" s="72"/>
      <c r="I23" s="72"/>
      <c r="J23" s="72"/>
      <c r="K23" s="72"/>
      <c r="L23" s="72"/>
    </row>
    <row r="24" spans="7:12" x14ac:dyDescent="0.2">
      <c r="G24" s="72"/>
      <c r="H24" s="72"/>
      <c r="I24" s="72"/>
      <c r="J24" s="72"/>
      <c r="K24" s="72"/>
      <c r="L24" s="72"/>
    </row>
    <row r="26" spans="7:12" x14ac:dyDescent="0.2">
      <c r="I26" s="71" t="s">
        <v>31</v>
      </c>
      <c r="J26" s="71"/>
      <c r="K26" s="71"/>
    </row>
    <row r="27" spans="7:12" x14ac:dyDescent="0.2">
      <c r="I27" s="12" t="s">
        <v>37</v>
      </c>
      <c r="J27" s="12" t="s">
        <v>38</v>
      </c>
      <c r="K27" s="12" t="s">
        <v>39</v>
      </c>
    </row>
    <row r="28" spans="7:12" x14ac:dyDescent="0.2">
      <c r="H28" s="1" t="s">
        <v>2</v>
      </c>
      <c r="I28" s="16">
        <v>4000</v>
      </c>
      <c r="J28" s="16">
        <v>1500</v>
      </c>
      <c r="K28" s="16">
        <f>K29/K31</f>
        <v>6000</v>
      </c>
    </row>
    <row r="29" spans="7:12" x14ac:dyDescent="0.2">
      <c r="H29" s="1" t="s">
        <v>3</v>
      </c>
      <c r="I29" s="16">
        <v>560</v>
      </c>
      <c r="J29" s="16">
        <v>210</v>
      </c>
      <c r="K29" s="16">
        <f>K30*K33</f>
        <v>210.00000000000003</v>
      </c>
    </row>
    <row r="30" spans="7:12" x14ac:dyDescent="0.2">
      <c r="H30" s="1" t="s">
        <v>4</v>
      </c>
      <c r="I30" s="16">
        <v>2000</v>
      </c>
      <c r="J30" s="16">
        <f>J29/J33</f>
        <v>2999.9999999999995</v>
      </c>
      <c r="K30" s="16">
        <v>3000</v>
      </c>
    </row>
    <row r="31" spans="7:12" x14ac:dyDescent="0.2">
      <c r="H31" s="1" t="s">
        <v>0</v>
      </c>
      <c r="I31" s="17">
        <f>+I29/I28</f>
        <v>0.14000000000000001</v>
      </c>
      <c r="J31" s="17">
        <f>+J29/J28</f>
        <v>0.14000000000000001</v>
      </c>
      <c r="K31" s="18">
        <v>3.5000000000000003E-2</v>
      </c>
    </row>
    <row r="32" spans="7:12" x14ac:dyDescent="0.2">
      <c r="H32" s="1" t="s">
        <v>1</v>
      </c>
      <c r="I32" s="16">
        <f>+I28/I30</f>
        <v>2</v>
      </c>
      <c r="J32" s="16">
        <f>+J28/J30</f>
        <v>0.50000000000000011</v>
      </c>
      <c r="K32" s="16">
        <v>2</v>
      </c>
    </row>
    <row r="33" spans="7:12" x14ac:dyDescent="0.2">
      <c r="H33" s="1" t="s">
        <v>5</v>
      </c>
      <c r="I33" s="17">
        <f>+I32*I31</f>
        <v>0.28000000000000003</v>
      </c>
      <c r="J33" s="17">
        <v>7.0000000000000007E-2</v>
      </c>
      <c r="K33" s="17">
        <f>+K32*K31</f>
        <v>7.0000000000000007E-2</v>
      </c>
    </row>
    <row r="36" spans="7:12" ht="12" customHeight="1" x14ac:dyDescent="0.2">
      <c r="G36" s="72" t="s">
        <v>84</v>
      </c>
      <c r="H36" s="72"/>
      <c r="I36" s="72"/>
      <c r="J36" s="72"/>
      <c r="K36" s="72"/>
      <c r="L36" s="72"/>
    </row>
    <row r="37" spans="7:12" x14ac:dyDescent="0.2">
      <c r="G37" s="72"/>
      <c r="H37" s="72"/>
      <c r="I37" s="72"/>
      <c r="J37" s="72"/>
      <c r="K37" s="72"/>
      <c r="L37" s="72"/>
    </row>
    <row r="38" spans="7:12" x14ac:dyDescent="0.2">
      <c r="G38" s="72"/>
      <c r="H38" s="72"/>
      <c r="I38" s="72"/>
      <c r="J38" s="72"/>
      <c r="K38" s="72"/>
      <c r="L38" s="72"/>
    </row>
    <row r="39" spans="7:12" x14ac:dyDescent="0.2">
      <c r="G39" s="72"/>
      <c r="H39" s="72"/>
      <c r="I39" s="72"/>
      <c r="J39" s="72"/>
      <c r="K39" s="72"/>
      <c r="L39" s="72"/>
    </row>
    <row r="40" spans="7:12" x14ac:dyDescent="0.2">
      <c r="G40" s="72"/>
      <c r="H40" s="72"/>
      <c r="I40" s="72"/>
      <c r="J40" s="72"/>
      <c r="K40" s="72"/>
      <c r="L40" s="72"/>
    </row>
    <row r="41" spans="7:12" x14ac:dyDescent="0.2">
      <c r="G41" s="72"/>
      <c r="H41" s="72"/>
      <c r="I41" s="72"/>
      <c r="J41" s="72"/>
      <c r="K41" s="72"/>
      <c r="L41" s="72"/>
    </row>
    <row r="42" spans="7:12" x14ac:dyDescent="0.2">
      <c r="G42" s="72"/>
      <c r="H42" s="72"/>
      <c r="I42" s="72"/>
      <c r="J42" s="72"/>
      <c r="K42" s="72"/>
      <c r="L42" s="72"/>
    </row>
    <row r="43" spans="7:12" x14ac:dyDescent="0.2">
      <c r="G43" s="72"/>
      <c r="H43" s="72"/>
      <c r="I43" s="72"/>
      <c r="J43" s="72"/>
      <c r="K43" s="72"/>
      <c r="L43" s="72"/>
    </row>
    <row r="44" spans="7:12" x14ac:dyDescent="0.2">
      <c r="G44" s="72"/>
      <c r="H44" s="72"/>
      <c r="I44" s="72"/>
      <c r="J44" s="72"/>
      <c r="K44" s="72"/>
      <c r="L44" s="72"/>
    </row>
    <row r="45" spans="7:12" x14ac:dyDescent="0.2">
      <c r="G45" s="72"/>
      <c r="H45" s="72"/>
      <c r="I45" s="72"/>
      <c r="J45" s="72"/>
      <c r="K45" s="72"/>
      <c r="L45" s="72"/>
    </row>
    <row r="46" spans="7:12" x14ac:dyDescent="0.2">
      <c r="G46" s="72"/>
      <c r="H46" s="72"/>
      <c r="I46" s="72"/>
      <c r="J46" s="72"/>
      <c r="K46" s="72"/>
      <c r="L46" s="72"/>
    </row>
    <row r="47" spans="7:12" x14ac:dyDescent="0.2">
      <c r="G47" s="72"/>
      <c r="H47" s="72"/>
      <c r="I47" s="72"/>
      <c r="J47" s="72"/>
      <c r="K47" s="72"/>
      <c r="L47" s="72"/>
    </row>
    <row r="48" spans="7:12" x14ac:dyDescent="0.2">
      <c r="G48" s="72"/>
      <c r="H48" s="72"/>
      <c r="I48" s="72"/>
      <c r="J48" s="72"/>
      <c r="K48" s="72"/>
      <c r="L48" s="72"/>
    </row>
    <row r="49" spans="7:12" x14ac:dyDescent="0.2">
      <c r="G49" s="72"/>
      <c r="H49" s="72"/>
      <c r="I49" s="72"/>
      <c r="J49" s="72"/>
      <c r="K49" s="72"/>
      <c r="L49" s="72"/>
    </row>
    <row r="50" spans="7:12" x14ac:dyDescent="0.2">
      <c r="G50" s="72"/>
      <c r="H50" s="72"/>
      <c r="I50" s="72"/>
      <c r="J50" s="72"/>
      <c r="K50" s="72"/>
      <c r="L50" s="72"/>
    </row>
    <row r="51" spans="7:12" x14ac:dyDescent="0.2">
      <c r="G51" s="72"/>
      <c r="H51" s="72"/>
      <c r="I51" s="72"/>
      <c r="J51" s="72"/>
      <c r="K51" s="72"/>
      <c r="L51" s="72"/>
    </row>
  </sheetData>
  <mergeCells count="4">
    <mergeCell ref="I3:K3"/>
    <mergeCell ref="I26:K26"/>
    <mergeCell ref="G13:L24"/>
    <mergeCell ref="G36:L51"/>
  </mergeCells>
  <pageMargins left="0.75" right="0.75" top="1" bottom="1" header="0.5" footer="0.5"/>
  <pageSetup paperSize="9" orientation="portrait" horizontalDpi="4294967292" verticalDpi="4294967292"/>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I2:P49"/>
  <sheetViews>
    <sheetView showGridLines="0" zoomScale="145" zoomScaleNormal="145" zoomScalePageLayoutView="145" workbookViewId="0">
      <selection activeCell="I52" sqref="I52"/>
    </sheetView>
  </sheetViews>
  <sheetFormatPr defaultColWidth="10.875" defaultRowHeight="12.75" x14ac:dyDescent="0.2"/>
  <cols>
    <col min="1" max="8" width="10.875" style="1"/>
    <col min="9" max="9" width="40" style="1" bestFit="1" customWidth="1"/>
    <col min="10" max="14" width="10.875" style="1"/>
    <col min="15" max="15" width="11.375" style="1" customWidth="1"/>
    <col min="16" max="16384" width="10.875" style="1"/>
  </cols>
  <sheetData>
    <row r="2" spans="9:13" x14ac:dyDescent="0.2">
      <c r="J2" s="73" t="s">
        <v>77</v>
      </c>
      <c r="K2" s="73"/>
      <c r="L2" s="73"/>
      <c r="M2" s="73"/>
    </row>
    <row r="3" spans="9:13" ht="12.95" x14ac:dyDescent="0.2">
      <c r="I3" s="32"/>
      <c r="J3" s="33">
        <v>1</v>
      </c>
      <c r="K3" s="33">
        <v>2</v>
      </c>
      <c r="L3" s="33">
        <v>3</v>
      </c>
      <c r="M3" s="33">
        <v>4</v>
      </c>
    </row>
    <row r="4" spans="9:13" x14ac:dyDescent="0.2">
      <c r="I4" s="28" t="s">
        <v>14</v>
      </c>
      <c r="J4" s="34" t="s">
        <v>23</v>
      </c>
      <c r="K4" s="34" t="s">
        <v>23</v>
      </c>
      <c r="L4" s="34" t="s">
        <v>23</v>
      </c>
      <c r="M4" s="34" t="s">
        <v>23</v>
      </c>
    </row>
    <row r="5" spans="9:13" x14ac:dyDescent="0.2">
      <c r="I5" s="29" t="s">
        <v>73</v>
      </c>
      <c r="J5" s="35" t="s">
        <v>23</v>
      </c>
      <c r="K5" s="35" t="s">
        <v>23</v>
      </c>
      <c r="L5" s="35" t="s">
        <v>23</v>
      </c>
      <c r="M5" s="35" t="s">
        <v>23</v>
      </c>
    </row>
    <row r="6" spans="9:13" ht="12.95" x14ac:dyDescent="0.2">
      <c r="I6" s="29" t="s">
        <v>74</v>
      </c>
      <c r="J6" s="35" t="s">
        <v>23</v>
      </c>
      <c r="K6" s="35" t="s">
        <v>23</v>
      </c>
      <c r="L6" s="35" t="s">
        <v>23</v>
      </c>
      <c r="M6" s="35" t="s">
        <v>23</v>
      </c>
    </row>
    <row r="7" spans="9:13" ht="12.95" x14ac:dyDescent="0.2">
      <c r="I7" s="29" t="s">
        <v>75</v>
      </c>
      <c r="J7" s="36">
        <v>0.72</v>
      </c>
      <c r="K7" s="36">
        <v>0.73</v>
      </c>
      <c r="L7" s="36">
        <v>0.78</v>
      </c>
      <c r="M7" s="36">
        <v>0.85</v>
      </c>
    </row>
    <row r="8" spans="9:13" ht="12.95" x14ac:dyDescent="0.2">
      <c r="I8" s="31" t="s">
        <v>76</v>
      </c>
      <c r="J8" s="37">
        <v>10540</v>
      </c>
      <c r="K8" s="37">
        <v>10570</v>
      </c>
      <c r="L8" s="37">
        <v>10550</v>
      </c>
      <c r="M8" s="37">
        <v>10490</v>
      </c>
    </row>
    <row r="10" spans="9:13" ht="12.95" x14ac:dyDescent="0.2">
      <c r="I10" s="38" t="s">
        <v>82</v>
      </c>
    </row>
    <row r="11" spans="9:13" x14ac:dyDescent="0.2">
      <c r="I11" s="28" t="s">
        <v>78</v>
      </c>
      <c r="J11" s="34">
        <v>0.5</v>
      </c>
      <c r="K11" s="34">
        <v>0.5</v>
      </c>
      <c r="L11" s="34">
        <v>0.4</v>
      </c>
      <c r="M11" s="34">
        <v>0.5</v>
      </c>
    </row>
    <row r="12" spans="9:13" ht="12.95" x14ac:dyDescent="0.2">
      <c r="I12" s="29" t="s">
        <v>79</v>
      </c>
      <c r="J12" s="35">
        <v>0.6</v>
      </c>
      <c r="K12" s="35">
        <v>0.5</v>
      </c>
      <c r="L12" s="35">
        <v>0.5</v>
      </c>
      <c r="M12" s="35">
        <v>0.4</v>
      </c>
    </row>
    <row r="13" spans="9:13" x14ac:dyDescent="0.2">
      <c r="I13" s="29" t="s">
        <v>80</v>
      </c>
      <c r="J13" s="35">
        <v>9.6</v>
      </c>
      <c r="K13" s="35">
        <v>8.6999999999999993</v>
      </c>
      <c r="L13" s="35">
        <v>5.3</v>
      </c>
      <c r="M13" s="35">
        <v>4.7</v>
      </c>
    </row>
    <row r="14" spans="9:13" ht="12.95" x14ac:dyDescent="0.2">
      <c r="I14" s="29" t="s">
        <v>81</v>
      </c>
      <c r="J14" s="35">
        <v>3.6</v>
      </c>
      <c r="K14" s="35">
        <v>3.6</v>
      </c>
      <c r="L14" s="35">
        <v>2.6</v>
      </c>
      <c r="M14" s="35">
        <v>1.7</v>
      </c>
    </row>
    <row r="15" spans="9:13" x14ac:dyDescent="0.2">
      <c r="I15" s="31" t="s">
        <v>83</v>
      </c>
      <c r="J15" s="39">
        <v>0.7</v>
      </c>
      <c r="K15" s="39">
        <v>0.7</v>
      </c>
      <c r="L15" s="39">
        <v>0.4</v>
      </c>
      <c r="M15" s="39">
        <v>0.3</v>
      </c>
    </row>
    <row r="19" spans="9:16" x14ac:dyDescent="0.2">
      <c r="I19" s="1" t="s">
        <v>14</v>
      </c>
      <c r="J19" s="1">
        <f>J11+J12+J14+J15</f>
        <v>5.4</v>
      </c>
      <c r="K19" s="1">
        <f t="shared" ref="K19:M19" si="0">K11+K12+K14+K15</f>
        <v>5.3</v>
      </c>
      <c r="L19" s="1">
        <f t="shared" si="0"/>
        <v>3.9</v>
      </c>
      <c r="M19" s="1">
        <f t="shared" si="0"/>
        <v>2.9</v>
      </c>
    </row>
    <row r="20" spans="9:16" ht="12.95" x14ac:dyDescent="0.2">
      <c r="I20" s="1" t="s">
        <v>15</v>
      </c>
      <c r="J20" s="20">
        <f>J12/J19</f>
        <v>0.1111111111111111</v>
      </c>
      <c r="K20" s="20">
        <f t="shared" ref="K20:M20" si="1">K12/K19</f>
        <v>9.4339622641509441E-2</v>
      </c>
      <c r="L20" s="20">
        <f t="shared" si="1"/>
        <v>0.12820512820512822</v>
      </c>
      <c r="M20" s="20">
        <f t="shared" si="1"/>
        <v>0.13793103448275862</v>
      </c>
      <c r="P20" s="12"/>
    </row>
    <row r="21" spans="9:16" ht="12.95" x14ac:dyDescent="0.2">
      <c r="I21" s="1" t="s">
        <v>17</v>
      </c>
      <c r="J21" s="1">
        <f>SUM(J11:J15)</f>
        <v>14.999999999999998</v>
      </c>
      <c r="K21" s="1">
        <f t="shared" ref="K21:M21" si="2">SUM(K11:K15)</f>
        <v>13.999999999999998</v>
      </c>
      <c r="L21" s="1">
        <f t="shared" si="2"/>
        <v>9.2000000000000011</v>
      </c>
      <c r="M21" s="1">
        <f t="shared" si="2"/>
        <v>7.6000000000000005</v>
      </c>
      <c r="P21" s="15"/>
    </row>
    <row r="22" spans="9:16" ht="12.95" x14ac:dyDescent="0.2">
      <c r="P22" s="15"/>
    </row>
    <row r="23" spans="9:16" ht="12.95" x14ac:dyDescent="0.2">
      <c r="P23" s="14"/>
    </row>
    <row r="24" spans="9:16" x14ac:dyDescent="0.2">
      <c r="I24" s="72" t="s">
        <v>85</v>
      </c>
      <c r="J24" s="72"/>
      <c r="K24" s="72"/>
      <c r="L24" s="72"/>
      <c r="M24" s="72"/>
      <c r="P24" s="14"/>
    </row>
    <row r="25" spans="9:16" x14ac:dyDescent="0.2">
      <c r="I25" s="72"/>
      <c r="J25" s="72"/>
      <c r="K25" s="72"/>
      <c r="L25" s="72"/>
      <c r="M25" s="72"/>
      <c r="P25" s="15"/>
    </row>
    <row r="26" spans="9:16" x14ac:dyDescent="0.2">
      <c r="I26" s="72"/>
      <c r="J26" s="72"/>
      <c r="K26" s="72"/>
      <c r="L26" s="72"/>
      <c r="M26" s="72"/>
    </row>
    <row r="27" spans="9:16" x14ac:dyDescent="0.2">
      <c r="I27" s="72"/>
      <c r="J27" s="72"/>
      <c r="K27" s="72"/>
      <c r="L27" s="72"/>
      <c r="M27" s="72"/>
    </row>
    <row r="28" spans="9:16" x14ac:dyDescent="0.2">
      <c r="I28" s="72"/>
      <c r="J28" s="72"/>
      <c r="K28" s="72"/>
      <c r="L28" s="72"/>
      <c r="M28" s="72"/>
    </row>
    <row r="29" spans="9:16" x14ac:dyDescent="0.2">
      <c r="I29" s="72"/>
      <c r="J29" s="72"/>
      <c r="K29" s="72"/>
      <c r="L29" s="72"/>
      <c r="M29" s="72"/>
      <c r="P29" s="13"/>
    </row>
    <row r="30" spans="9:16" x14ac:dyDescent="0.2">
      <c r="I30" s="72"/>
      <c r="J30" s="72"/>
      <c r="K30" s="72"/>
      <c r="L30" s="72"/>
      <c r="M30" s="72"/>
    </row>
    <row r="31" spans="9:16" x14ac:dyDescent="0.2">
      <c r="I31" s="72"/>
      <c r="J31" s="72"/>
      <c r="K31" s="72"/>
      <c r="L31" s="72"/>
      <c r="M31" s="72"/>
    </row>
    <row r="32" spans="9:16" x14ac:dyDescent="0.2">
      <c r="I32" s="72"/>
      <c r="J32" s="72"/>
      <c r="K32" s="72"/>
      <c r="L32" s="72"/>
      <c r="M32" s="72"/>
    </row>
    <row r="33" spans="9:16" x14ac:dyDescent="0.2">
      <c r="I33" s="72"/>
      <c r="J33" s="72"/>
      <c r="K33" s="72"/>
      <c r="L33" s="72"/>
      <c r="M33" s="72"/>
    </row>
    <row r="34" spans="9:16" x14ac:dyDescent="0.2">
      <c r="I34" s="72"/>
      <c r="J34" s="72"/>
      <c r="K34" s="72"/>
      <c r="L34" s="72"/>
      <c r="M34" s="72"/>
    </row>
    <row r="35" spans="9:16" x14ac:dyDescent="0.2">
      <c r="I35" s="72"/>
      <c r="J35" s="72"/>
      <c r="K35" s="72"/>
      <c r="L35" s="72"/>
      <c r="M35" s="72"/>
      <c r="P35" s="13"/>
    </row>
    <row r="36" spans="9:16" x14ac:dyDescent="0.2">
      <c r="I36" s="72"/>
      <c r="J36" s="72"/>
      <c r="K36" s="72"/>
      <c r="L36" s="72"/>
      <c r="M36" s="72"/>
    </row>
    <row r="37" spans="9:16" x14ac:dyDescent="0.2">
      <c r="J37" s="73" t="s">
        <v>77</v>
      </c>
      <c r="K37" s="73"/>
      <c r="L37" s="73"/>
      <c r="M37" s="73"/>
      <c r="N37" s="73"/>
      <c r="O37" s="73"/>
      <c r="P37" s="13"/>
    </row>
    <row r="38" spans="9:16" x14ac:dyDescent="0.2">
      <c r="I38" s="38" t="s">
        <v>82</v>
      </c>
      <c r="J38" s="33">
        <v>1</v>
      </c>
      <c r="K38" s="33">
        <v>2</v>
      </c>
      <c r="L38" s="33">
        <v>3</v>
      </c>
      <c r="M38" s="33">
        <v>4</v>
      </c>
      <c r="N38" s="33">
        <v>5</v>
      </c>
      <c r="O38" s="33">
        <v>6</v>
      </c>
    </row>
    <row r="39" spans="9:16" x14ac:dyDescent="0.2">
      <c r="I39" s="28" t="s">
        <v>78</v>
      </c>
      <c r="J39" s="34">
        <v>0.5</v>
      </c>
      <c r="K39" s="34">
        <v>0.5</v>
      </c>
      <c r="L39" s="34">
        <v>0.4</v>
      </c>
      <c r="M39" s="34">
        <v>0.5</v>
      </c>
      <c r="N39" s="34">
        <v>0.5</v>
      </c>
      <c r="O39" s="34">
        <v>0.5</v>
      </c>
    </row>
    <row r="40" spans="9:16" x14ac:dyDescent="0.2">
      <c r="I40" s="29" t="s">
        <v>79</v>
      </c>
      <c r="J40" s="35">
        <v>0.6</v>
      </c>
      <c r="K40" s="35">
        <v>0.5</v>
      </c>
      <c r="L40" s="35">
        <v>0.5</v>
      </c>
      <c r="M40" s="35">
        <v>0.4</v>
      </c>
      <c r="N40" s="35">
        <v>0.4</v>
      </c>
      <c r="O40" s="35">
        <v>0.4</v>
      </c>
    </row>
    <row r="41" spans="9:16" x14ac:dyDescent="0.2">
      <c r="I41" s="29" t="s">
        <v>80</v>
      </c>
      <c r="J41" s="35">
        <v>9.6</v>
      </c>
      <c r="K41" s="35">
        <v>8.6999999999999993</v>
      </c>
      <c r="L41" s="35">
        <v>5.3</v>
      </c>
      <c r="M41" s="35">
        <v>4.7</v>
      </c>
      <c r="N41" s="35">
        <v>4.7</v>
      </c>
      <c r="O41" s="35">
        <v>4.7</v>
      </c>
    </row>
    <row r="42" spans="9:16" x14ac:dyDescent="0.2">
      <c r="I42" s="29" t="s">
        <v>81</v>
      </c>
      <c r="J42" s="35">
        <v>3.6</v>
      </c>
      <c r="K42" s="35">
        <v>3.6</v>
      </c>
      <c r="L42" s="35">
        <v>2.6</v>
      </c>
      <c r="M42" s="35">
        <v>1.7</v>
      </c>
      <c r="N42" s="35">
        <v>0</v>
      </c>
      <c r="O42" s="35">
        <v>0</v>
      </c>
    </row>
    <row r="43" spans="9:16" x14ac:dyDescent="0.2">
      <c r="I43" s="31" t="s">
        <v>83</v>
      </c>
      <c r="J43" s="39">
        <v>0.7</v>
      </c>
      <c r="K43" s="39">
        <v>0.7</v>
      </c>
      <c r="L43" s="39">
        <v>0.4</v>
      </c>
      <c r="M43" s="39">
        <v>0.3</v>
      </c>
      <c r="N43" s="39">
        <v>0.3</v>
      </c>
      <c r="O43" s="39">
        <v>0</v>
      </c>
    </row>
    <row r="47" spans="9:16" x14ac:dyDescent="0.2">
      <c r="I47" s="1" t="s">
        <v>14</v>
      </c>
      <c r="J47" s="1">
        <f>J39+J40+J42+J43</f>
        <v>5.4</v>
      </c>
      <c r="K47" s="1">
        <f t="shared" ref="K47:M47" si="3">K39+K40+K42+K43</f>
        <v>5.3</v>
      </c>
      <c r="L47" s="1">
        <f t="shared" si="3"/>
        <v>3.9</v>
      </c>
      <c r="M47" s="1">
        <f t="shared" si="3"/>
        <v>2.9</v>
      </c>
      <c r="N47" s="1">
        <f t="shared" ref="N47:O47" si="4">N39+N40+N42+N43</f>
        <v>1.2</v>
      </c>
      <c r="O47" s="1">
        <f t="shared" si="4"/>
        <v>0.9</v>
      </c>
    </row>
    <row r="48" spans="9:16" x14ac:dyDescent="0.2">
      <c r="I48" s="1" t="s">
        <v>15</v>
      </c>
      <c r="J48" s="20">
        <f>J40/J47</f>
        <v>0.1111111111111111</v>
      </c>
      <c r="K48" s="20">
        <f t="shared" ref="K48" si="5">K40/K47</f>
        <v>9.4339622641509441E-2</v>
      </c>
      <c r="L48" s="20">
        <f t="shared" ref="L48" si="6">L40/L47</f>
        <v>0.12820512820512822</v>
      </c>
      <c r="M48" s="20">
        <f t="shared" ref="M48" si="7">M40/M47</f>
        <v>0.13793103448275862</v>
      </c>
      <c r="N48" s="20">
        <f t="shared" ref="N48" si="8">N40/N47</f>
        <v>0.33333333333333337</v>
      </c>
      <c r="O48" s="20">
        <f t="shared" ref="O48" si="9">O40/O47</f>
        <v>0.44444444444444448</v>
      </c>
    </row>
    <row r="49" spans="9:15" x14ac:dyDescent="0.2">
      <c r="I49" s="1" t="s">
        <v>17</v>
      </c>
      <c r="J49" s="1">
        <f>SUM(J39:J43)</f>
        <v>14.999999999999998</v>
      </c>
      <c r="K49" s="1">
        <f t="shared" ref="K49:M49" si="10">SUM(K39:K43)</f>
        <v>13.999999999999998</v>
      </c>
      <c r="L49" s="1">
        <f t="shared" si="10"/>
        <v>9.2000000000000011</v>
      </c>
      <c r="M49" s="1">
        <f t="shared" si="10"/>
        <v>7.6000000000000005</v>
      </c>
      <c r="N49" s="1">
        <f t="shared" ref="N49:O49" si="11">SUM(N39:N43)</f>
        <v>5.9</v>
      </c>
      <c r="O49" s="1">
        <f t="shared" si="11"/>
        <v>5.6000000000000005</v>
      </c>
    </row>
  </sheetData>
  <mergeCells count="3">
    <mergeCell ref="J2:M2"/>
    <mergeCell ref="I24:M36"/>
    <mergeCell ref="J37:O37"/>
  </mergeCells>
  <pageMargins left="0.75" right="0.75" top="1" bottom="1" header="0.5" footer="0.5"/>
  <pageSetup paperSize="9" orientation="portrait" horizontalDpi="4294967292" verticalDpi="4294967292"/>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H2:J43"/>
  <sheetViews>
    <sheetView showGridLines="0" zoomScale="130" zoomScaleNormal="130" zoomScalePageLayoutView="130" workbookViewId="0">
      <selection activeCell="H49" sqref="H49"/>
    </sheetView>
  </sheetViews>
  <sheetFormatPr defaultColWidth="10.875" defaultRowHeight="12.75" x14ac:dyDescent="0.2"/>
  <cols>
    <col min="1" max="7" width="10.875" style="1"/>
    <col min="8" max="8" width="26.875" style="1" bestFit="1" customWidth="1"/>
    <col min="9" max="16384" width="10.875" style="1"/>
  </cols>
  <sheetData>
    <row r="2" spans="8:10" ht="12.95" x14ac:dyDescent="0.2">
      <c r="I2" s="21" t="s">
        <v>97</v>
      </c>
      <c r="J2" s="21" t="s">
        <v>98</v>
      </c>
    </row>
    <row r="3" spans="8:10" ht="12.95" x14ac:dyDescent="0.2">
      <c r="H3" s="9" t="s">
        <v>86</v>
      </c>
    </row>
    <row r="4" spans="8:10" ht="12.95" x14ac:dyDescent="0.2">
      <c r="H4" s="1" t="s">
        <v>87</v>
      </c>
      <c r="I4" s="1">
        <v>125</v>
      </c>
      <c r="J4" s="1">
        <v>130</v>
      </c>
    </row>
    <row r="5" spans="8:10" ht="12.95" x14ac:dyDescent="0.2">
      <c r="H5" s="1" t="s">
        <v>88</v>
      </c>
      <c r="I5" s="1">
        <v>340</v>
      </c>
      <c r="J5" s="1">
        <v>480</v>
      </c>
    </row>
    <row r="6" spans="8:10" ht="12.95" x14ac:dyDescent="0.2">
      <c r="H6" s="1" t="s">
        <v>89</v>
      </c>
      <c r="I6" s="1">
        <v>570</v>
      </c>
      <c r="J6" s="1">
        <v>490</v>
      </c>
    </row>
    <row r="7" spans="8:10" x14ac:dyDescent="0.2">
      <c r="H7" s="1" t="s">
        <v>90</v>
      </c>
      <c r="I7" s="1">
        <v>845</v>
      </c>
      <c r="J7" s="1">
        <v>820</v>
      </c>
    </row>
    <row r="8" spans="8:10" ht="12.95" x14ac:dyDescent="0.2">
      <c r="H8" s="1" t="s">
        <v>91</v>
      </c>
      <c r="I8" s="1">
        <v>400</v>
      </c>
      <c r="J8" s="1">
        <v>430</v>
      </c>
    </row>
    <row r="9" spans="8:10" x14ac:dyDescent="0.2">
      <c r="H9" s="1" t="s">
        <v>92</v>
      </c>
      <c r="I9" s="1">
        <v>250</v>
      </c>
      <c r="J9" s="1">
        <v>250</v>
      </c>
    </row>
    <row r="10" spans="8:10" ht="12.95" x14ac:dyDescent="0.2">
      <c r="H10" s="9" t="s">
        <v>69</v>
      </c>
      <c r="I10" s="9">
        <f>SUM(I4:I9)</f>
        <v>2530</v>
      </c>
      <c r="J10" s="9">
        <f>SUM(J4:J9)</f>
        <v>2600</v>
      </c>
    </row>
    <row r="11" spans="8:10" ht="12.95" x14ac:dyDescent="0.2">
      <c r="H11" s="9" t="s">
        <v>96</v>
      </c>
    </row>
    <row r="12" spans="8:10" ht="12.95" x14ac:dyDescent="0.2">
      <c r="H12" s="1" t="s">
        <v>93</v>
      </c>
      <c r="I12" s="1">
        <v>380</v>
      </c>
      <c r="J12" s="1">
        <v>340</v>
      </c>
    </row>
    <row r="13" spans="8:10" x14ac:dyDescent="0.2">
      <c r="H13" s="1" t="s">
        <v>94</v>
      </c>
      <c r="I13" s="1">
        <v>1000</v>
      </c>
      <c r="J13" s="1">
        <v>1000</v>
      </c>
    </row>
    <row r="14" spans="8:10" ht="12.95" x14ac:dyDescent="0.2">
      <c r="H14" s="1" t="s">
        <v>95</v>
      </c>
      <c r="I14" s="1">
        <v>1150</v>
      </c>
      <c r="J14" s="1">
        <v>1260</v>
      </c>
    </row>
    <row r="15" spans="8:10" ht="12.95" x14ac:dyDescent="0.2">
      <c r="H15" s="9" t="s">
        <v>69</v>
      </c>
      <c r="I15" s="9">
        <f>SUM(I12:I14)</f>
        <v>2530</v>
      </c>
      <c r="J15" s="9">
        <f>SUM(J12:J14)</f>
        <v>2600</v>
      </c>
    </row>
    <row r="18" spans="8:10" ht="12.95" x14ac:dyDescent="0.2">
      <c r="H18" s="1" t="s">
        <v>2</v>
      </c>
      <c r="J18" s="1">
        <v>4180</v>
      </c>
    </row>
    <row r="19" spans="8:10" ht="12.95" x14ac:dyDescent="0.2">
      <c r="H19" s="1" t="s">
        <v>99</v>
      </c>
      <c r="J19" s="26">
        <v>3553</v>
      </c>
    </row>
    <row r="20" spans="8:10" ht="12.95" x14ac:dyDescent="0.2">
      <c r="H20" s="1" t="s">
        <v>3</v>
      </c>
      <c r="J20" s="1">
        <f>+J18-J19</f>
        <v>627</v>
      </c>
    </row>
    <row r="21" spans="8:10" ht="12.95" x14ac:dyDescent="0.2">
      <c r="H21" s="1" t="s">
        <v>100</v>
      </c>
      <c r="I21" s="1">
        <v>120</v>
      </c>
    </row>
    <row r="22" spans="8:10" ht="12.95" x14ac:dyDescent="0.2">
      <c r="H22" s="1" t="s">
        <v>101</v>
      </c>
      <c r="I22" s="26">
        <v>200</v>
      </c>
      <c r="J22" s="26">
        <f>+I22+I21</f>
        <v>320</v>
      </c>
    </row>
    <row r="23" spans="8:10" x14ac:dyDescent="0.2">
      <c r="H23" s="1" t="s">
        <v>102</v>
      </c>
      <c r="J23" s="1">
        <f>+J20-J22</f>
        <v>307</v>
      </c>
    </row>
    <row r="27" spans="8:10" ht="12.95" x14ac:dyDescent="0.2">
      <c r="H27" s="1" t="s">
        <v>103</v>
      </c>
      <c r="I27" s="1">
        <v>197</v>
      </c>
    </row>
    <row r="28" spans="8:10" ht="12.95" x14ac:dyDescent="0.2">
      <c r="H28" s="1" t="s">
        <v>105</v>
      </c>
      <c r="I28" s="8">
        <v>0.2</v>
      </c>
    </row>
    <row r="32" spans="8:10" ht="12.95" x14ac:dyDescent="0.2">
      <c r="H32" s="1" t="s">
        <v>4</v>
      </c>
      <c r="I32" s="40" t="s">
        <v>97</v>
      </c>
      <c r="J32" s="40" t="s">
        <v>98</v>
      </c>
    </row>
    <row r="33" spans="8:10" ht="12.95" x14ac:dyDescent="0.2">
      <c r="H33" s="1" t="str">
        <f>H4</f>
        <v>Caixa</v>
      </c>
      <c r="I33" s="1">
        <f t="shared" ref="I33:J33" si="0">I4</f>
        <v>125</v>
      </c>
      <c r="J33" s="1">
        <f t="shared" si="0"/>
        <v>130</v>
      </c>
    </row>
    <row r="34" spans="8:10" ht="12.95" x14ac:dyDescent="0.2">
      <c r="H34" s="1" t="str">
        <f t="shared" ref="H34:J36" si="1">H5</f>
        <v>Contas a Receber</v>
      </c>
      <c r="I34" s="1">
        <f t="shared" si="1"/>
        <v>340</v>
      </c>
      <c r="J34" s="1">
        <f t="shared" si="1"/>
        <v>480</v>
      </c>
    </row>
    <row r="35" spans="8:10" ht="12.95" x14ac:dyDescent="0.2">
      <c r="H35" s="1" t="str">
        <f t="shared" si="1"/>
        <v>Estoques</v>
      </c>
      <c r="I35" s="1">
        <f t="shared" si="1"/>
        <v>570</v>
      </c>
      <c r="J35" s="1">
        <f t="shared" si="1"/>
        <v>490</v>
      </c>
    </row>
    <row r="36" spans="8:10" x14ac:dyDescent="0.2">
      <c r="H36" s="1" t="str">
        <f t="shared" si="1"/>
        <v>Instalações e Equipamentos (Líquido)</v>
      </c>
      <c r="I36" s="1">
        <f t="shared" si="1"/>
        <v>845</v>
      </c>
      <c r="J36" s="1">
        <f t="shared" si="1"/>
        <v>820</v>
      </c>
    </row>
    <row r="37" spans="8:10" x14ac:dyDescent="0.2">
      <c r="H37" s="1" t="s">
        <v>69</v>
      </c>
      <c r="I37" s="1">
        <f>SUM(I33:I36)</f>
        <v>1880</v>
      </c>
      <c r="J37" s="1">
        <f>SUM(J33:J36)</f>
        <v>1920</v>
      </c>
    </row>
    <row r="38" spans="8:10" x14ac:dyDescent="0.2">
      <c r="H38" s="1" t="s">
        <v>104</v>
      </c>
      <c r="I38" s="1">
        <f>AVERAGE(I37:J37)</f>
        <v>1900</v>
      </c>
    </row>
    <row r="40" spans="8:10" x14ac:dyDescent="0.2">
      <c r="H40" s="1" t="s">
        <v>0</v>
      </c>
      <c r="I40" s="22">
        <f>J20/J18</f>
        <v>0.15</v>
      </c>
    </row>
    <row r="41" spans="8:10" x14ac:dyDescent="0.2">
      <c r="H41" s="1" t="s">
        <v>1</v>
      </c>
      <c r="I41" s="1">
        <f>+J18/I38</f>
        <v>2.2000000000000002</v>
      </c>
    </row>
    <row r="42" spans="8:10" x14ac:dyDescent="0.2">
      <c r="H42" s="1" t="s">
        <v>5</v>
      </c>
      <c r="I42" s="22">
        <f>+I41*I40</f>
        <v>0.33</v>
      </c>
    </row>
    <row r="43" spans="8:10" x14ac:dyDescent="0.2">
      <c r="H43" s="1" t="s">
        <v>6</v>
      </c>
      <c r="I43" s="1">
        <f>+(I42-I28)*I38</f>
        <v>247</v>
      </c>
    </row>
  </sheetData>
  <pageMargins left="0.75" right="0.75" top="1" bottom="1" header="0.5" footer="0.5"/>
  <pageSetup paperSize="9" orientation="portrait" horizontalDpi="4294967292" verticalDpi="4294967292"/>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I2:M129"/>
  <sheetViews>
    <sheetView showGridLines="0" tabSelected="1" topLeftCell="A75" zoomScale="145" zoomScaleNormal="145" zoomScalePageLayoutView="145" workbookViewId="0">
      <selection activeCell="L116" sqref="L116"/>
    </sheetView>
  </sheetViews>
  <sheetFormatPr defaultColWidth="10.875" defaultRowHeight="12.75" x14ac:dyDescent="0.2"/>
  <cols>
    <col min="1" max="9" width="10.875" style="1"/>
    <col min="10" max="10" width="18" style="1" bestFit="1" customWidth="1"/>
    <col min="11" max="16384" width="10.875" style="1"/>
  </cols>
  <sheetData>
    <row r="2" spans="9:13" x14ac:dyDescent="0.2">
      <c r="L2" s="40" t="s">
        <v>69</v>
      </c>
      <c r="M2" s="40" t="s">
        <v>107</v>
      </c>
    </row>
    <row r="3" spans="9:13" x14ac:dyDescent="0.2">
      <c r="I3" s="75" t="s">
        <v>18</v>
      </c>
      <c r="J3" s="1" t="s">
        <v>2</v>
      </c>
      <c r="L3" s="1">
        <v>1000000</v>
      </c>
      <c r="M3" s="1">
        <v>50</v>
      </c>
    </row>
    <row r="4" spans="9:13" x14ac:dyDescent="0.2">
      <c r="I4" s="75"/>
      <c r="J4" s="1" t="s">
        <v>61</v>
      </c>
      <c r="L4" s="26">
        <v>600000</v>
      </c>
      <c r="M4" s="26">
        <v>30</v>
      </c>
    </row>
    <row r="5" spans="9:13" x14ac:dyDescent="0.2">
      <c r="I5" s="75"/>
      <c r="J5" s="1" t="s">
        <v>62</v>
      </c>
      <c r="L5" s="1">
        <f>+L3-L4</f>
        <v>400000</v>
      </c>
      <c r="M5" s="1">
        <f>+M3-M4</f>
        <v>20</v>
      </c>
    </row>
    <row r="6" spans="9:13" x14ac:dyDescent="0.2">
      <c r="I6" s="75"/>
      <c r="J6" s="1" t="s">
        <v>24</v>
      </c>
      <c r="L6" s="26">
        <v>320000</v>
      </c>
      <c r="M6" s="26">
        <v>16</v>
      </c>
    </row>
    <row r="7" spans="9:13" x14ac:dyDescent="0.2">
      <c r="I7" s="75"/>
      <c r="J7" s="1" t="s">
        <v>3</v>
      </c>
      <c r="L7" s="1">
        <f>+L5-L6</f>
        <v>80000</v>
      </c>
      <c r="M7" s="1">
        <f>+M5-M6</f>
        <v>4</v>
      </c>
    </row>
    <row r="8" spans="9:13" x14ac:dyDescent="0.2">
      <c r="I8" s="75"/>
      <c r="J8" s="1" t="s">
        <v>106</v>
      </c>
      <c r="K8" s="8">
        <v>0.4</v>
      </c>
      <c r="L8" s="26">
        <f>+L7*K8</f>
        <v>32000</v>
      </c>
      <c r="M8" s="26">
        <v>1.6</v>
      </c>
    </row>
    <row r="9" spans="9:13" x14ac:dyDescent="0.2">
      <c r="I9" s="75"/>
      <c r="J9" s="1" t="s">
        <v>102</v>
      </c>
      <c r="L9" s="1">
        <f>+L7-L8</f>
        <v>48000</v>
      </c>
      <c r="M9" s="1">
        <f>+M7-M8</f>
        <v>2.4</v>
      </c>
    </row>
    <row r="10" spans="9:13" x14ac:dyDescent="0.2">
      <c r="I10" s="75"/>
    </row>
    <row r="11" spans="9:13" x14ac:dyDescent="0.2">
      <c r="I11" s="75"/>
      <c r="J11" s="1" t="s">
        <v>108</v>
      </c>
      <c r="K11" s="13">
        <f>+L3/M3</f>
        <v>20000</v>
      </c>
    </row>
    <row r="12" spans="9:13" x14ac:dyDescent="0.2">
      <c r="I12" s="75"/>
    </row>
    <row r="13" spans="9:13" x14ac:dyDescent="0.2">
      <c r="I13" s="75"/>
      <c r="J13" s="1" t="s">
        <v>4</v>
      </c>
      <c r="K13" s="1">
        <v>500000</v>
      </c>
    </row>
    <row r="14" spans="9:13" x14ac:dyDescent="0.2">
      <c r="I14" s="75"/>
    </row>
    <row r="15" spans="9:13" x14ac:dyDescent="0.2">
      <c r="I15" s="75"/>
      <c r="J15" s="1" t="s">
        <v>0</v>
      </c>
      <c r="K15" s="8">
        <f>L7/L3</f>
        <v>0.08</v>
      </c>
    </row>
    <row r="16" spans="9:13" x14ac:dyDescent="0.2">
      <c r="I16" s="75"/>
      <c r="J16" s="1" t="s">
        <v>1</v>
      </c>
      <c r="K16" s="1">
        <f>+L3/K13</f>
        <v>2</v>
      </c>
    </row>
    <row r="17" spans="9:13" x14ac:dyDescent="0.2">
      <c r="I17" s="75"/>
      <c r="J17" s="1" t="s">
        <v>5</v>
      </c>
      <c r="K17" s="8">
        <f>+K16*K15</f>
        <v>0.16</v>
      </c>
    </row>
    <row r="22" spans="9:13" x14ac:dyDescent="0.2">
      <c r="I22" s="74" t="s">
        <v>19</v>
      </c>
      <c r="J22" s="2"/>
      <c r="K22" s="28"/>
      <c r="L22" s="41" t="s">
        <v>69</v>
      </c>
      <c r="M22" s="42" t="s">
        <v>107</v>
      </c>
    </row>
    <row r="23" spans="9:13" x14ac:dyDescent="0.2">
      <c r="I23" s="74"/>
      <c r="J23" s="3" t="s">
        <v>2</v>
      </c>
      <c r="K23" s="29"/>
      <c r="L23" s="29">
        <v>1000000</v>
      </c>
      <c r="M23" s="6">
        <f>L23/$K$31</f>
        <v>50</v>
      </c>
    </row>
    <row r="24" spans="9:13" x14ac:dyDescent="0.2">
      <c r="I24" s="74"/>
      <c r="J24" s="3" t="s">
        <v>61</v>
      </c>
      <c r="K24" s="29"/>
      <c r="L24" s="50">
        <v>590000</v>
      </c>
      <c r="M24" s="44">
        <f>L24/$K$31</f>
        <v>29.5</v>
      </c>
    </row>
    <row r="25" spans="9:13" x14ac:dyDescent="0.2">
      <c r="I25" s="74"/>
      <c r="J25" s="3" t="s">
        <v>62</v>
      </c>
      <c r="K25" s="29"/>
      <c r="L25" s="29">
        <f>+L23-L24</f>
        <v>410000</v>
      </c>
      <c r="M25" s="6">
        <f>+M23-M24</f>
        <v>20.5</v>
      </c>
    </row>
    <row r="26" spans="9:13" x14ac:dyDescent="0.2">
      <c r="I26" s="74"/>
      <c r="J26" s="3" t="s">
        <v>24</v>
      </c>
      <c r="K26" s="29"/>
      <c r="L26" s="43">
        <v>320000</v>
      </c>
      <c r="M26" s="44">
        <f>L26/$K$31</f>
        <v>16</v>
      </c>
    </row>
    <row r="27" spans="9:13" x14ac:dyDescent="0.2">
      <c r="I27" s="74"/>
      <c r="J27" s="3" t="s">
        <v>3</v>
      </c>
      <c r="K27" s="29"/>
      <c r="L27" s="29">
        <f>+L25-L26</f>
        <v>90000</v>
      </c>
      <c r="M27" s="6">
        <f>+M25-M26</f>
        <v>4.5</v>
      </c>
    </row>
    <row r="28" spans="9:13" x14ac:dyDescent="0.2">
      <c r="I28" s="74"/>
      <c r="J28" s="3" t="s">
        <v>106</v>
      </c>
      <c r="K28" s="30">
        <v>0.4</v>
      </c>
      <c r="L28" s="43">
        <f>+L27*K28</f>
        <v>36000</v>
      </c>
      <c r="M28" s="44">
        <f>L28/$K$31</f>
        <v>1.8</v>
      </c>
    </row>
    <row r="29" spans="9:13" x14ac:dyDescent="0.2">
      <c r="I29" s="74"/>
      <c r="J29" s="3" t="s">
        <v>102</v>
      </c>
      <c r="K29" s="29"/>
      <c r="L29" s="29">
        <f>+L27-L28</f>
        <v>54000</v>
      </c>
      <c r="M29" s="6">
        <f>+M27-M28</f>
        <v>2.7</v>
      </c>
    </row>
    <row r="30" spans="9:13" x14ac:dyDescent="0.2">
      <c r="I30" s="74"/>
      <c r="J30" s="3"/>
      <c r="K30" s="29"/>
      <c r="L30" s="29"/>
      <c r="M30" s="6"/>
    </row>
    <row r="31" spans="9:13" x14ac:dyDescent="0.2">
      <c r="I31" s="74"/>
      <c r="J31" s="3" t="s">
        <v>108</v>
      </c>
      <c r="K31" s="45">
        <v>20000</v>
      </c>
      <c r="L31" s="29"/>
      <c r="M31" s="6"/>
    </row>
    <row r="32" spans="9:13" x14ac:dyDescent="0.2">
      <c r="I32" s="74"/>
      <c r="J32" s="3"/>
      <c r="K32" s="29"/>
      <c r="L32" s="29"/>
      <c r="M32" s="6"/>
    </row>
    <row r="33" spans="9:13" x14ac:dyDescent="0.2">
      <c r="I33" s="74"/>
      <c r="J33" s="3" t="s">
        <v>4</v>
      </c>
      <c r="K33" s="29">
        <v>500000</v>
      </c>
      <c r="L33" s="29"/>
      <c r="M33" s="6"/>
    </row>
    <row r="34" spans="9:13" x14ac:dyDescent="0.2">
      <c r="I34" s="74"/>
      <c r="J34" s="3"/>
      <c r="K34" s="29"/>
      <c r="L34" s="29"/>
      <c r="M34" s="6"/>
    </row>
    <row r="35" spans="9:13" x14ac:dyDescent="0.2">
      <c r="I35" s="74"/>
      <c r="J35" s="3" t="s">
        <v>0</v>
      </c>
      <c r="K35" s="30">
        <f>L27/L23</f>
        <v>0.09</v>
      </c>
      <c r="L35" s="46" t="str">
        <f>IF(K35&gt;$K$15,"Aumenta",IF(K35=$K$15,"Mantém","Diminui"))</f>
        <v>Aumenta</v>
      </c>
      <c r="M35" s="6"/>
    </row>
    <row r="36" spans="9:13" x14ac:dyDescent="0.2">
      <c r="I36" s="74"/>
      <c r="J36" s="3" t="s">
        <v>1</v>
      </c>
      <c r="K36" s="29">
        <f>+L23/K33</f>
        <v>2</v>
      </c>
      <c r="L36" s="46" t="str">
        <f>IF(K36&gt;$K$16,"Aumenta",IF(K36=$K$16,"Mantém","Diminui"))</f>
        <v>Mantém</v>
      </c>
      <c r="M36" s="6"/>
    </row>
    <row r="37" spans="9:13" x14ac:dyDescent="0.2">
      <c r="I37" s="74"/>
      <c r="J37" s="4" t="s">
        <v>5</v>
      </c>
      <c r="K37" s="47">
        <f>+K36*K35</f>
        <v>0.18</v>
      </c>
      <c r="L37" s="48" t="str">
        <f>IF(K37&gt;$K$17,"Aumenta",IF(K37=$K$17,"Mantém","Diminui"))</f>
        <v>Aumenta</v>
      </c>
      <c r="M37" s="7"/>
    </row>
    <row r="41" spans="9:13" x14ac:dyDescent="0.2">
      <c r="I41" s="74" t="s">
        <v>20</v>
      </c>
      <c r="J41" s="2"/>
      <c r="K41" s="28"/>
      <c r="L41" s="41" t="s">
        <v>69</v>
      </c>
      <c r="M41" s="42" t="s">
        <v>107</v>
      </c>
    </row>
    <row r="42" spans="9:13" x14ac:dyDescent="0.2">
      <c r="I42" s="74"/>
      <c r="J42" s="3" t="s">
        <v>2</v>
      </c>
      <c r="K42" s="29"/>
      <c r="L42" s="29">
        <v>1000000</v>
      </c>
      <c r="M42" s="6">
        <f>L42/$K$31</f>
        <v>50</v>
      </c>
    </row>
    <row r="43" spans="9:13" x14ac:dyDescent="0.2">
      <c r="I43" s="74"/>
      <c r="J43" s="3" t="s">
        <v>61</v>
      </c>
      <c r="K43" s="29"/>
      <c r="L43" s="43">
        <v>600000</v>
      </c>
      <c r="M43" s="44">
        <f>L43/$K$31</f>
        <v>30</v>
      </c>
    </row>
    <row r="44" spans="9:13" x14ac:dyDescent="0.2">
      <c r="I44" s="74"/>
      <c r="J44" s="3" t="s">
        <v>62</v>
      </c>
      <c r="K44" s="29"/>
      <c r="L44" s="29">
        <f>+L42-L43</f>
        <v>400000</v>
      </c>
      <c r="M44" s="6">
        <f>+M42-M43</f>
        <v>20</v>
      </c>
    </row>
    <row r="45" spans="9:13" x14ac:dyDescent="0.2">
      <c r="I45" s="74"/>
      <c r="J45" s="3" t="s">
        <v>24</v>
      </c>
      <c r="K45" s="29"/>
      <c r="L45" s="43">
        <v>320000</v>
      </c>
      <c r="M45" s="44">
        <f>L45/$K$31</f>
        <v>16</v>
      </c>
    </row>
    <row r="46" spans="9:13" x14ac:dyDescent="0.2">
      <c r="I46" s="74"/>
      <c r="J46" s="3" t="s">
        <v>3</v>
      </c>
      <c r="K46" s="29"/>
      <c r="L46" s="29">
        <f>+L44-L45</f>
        <v>80000</v>
      </c>
      <c r="M46" s="6">
        <f>+M44-M45</f>
        <v>4</v>
      </c>
    </row>
    <row r="47" spans="9:13" x14ac:dyDescent="0.2">
      <c r="I47" s="74"/>
      <c r="J47" s="3" t="s">
        <v>106</v>
      </c>
      <c r="K47" s="30">
        <v>0.4</v>
      </c>
      <c r="L47" s="43">
        <f>+L46*K47</f>
        <v>32000</v>
      </c>
      <c r="M47" s="44">
        <f>L47/$K$31</f>
        <v>1.6</v>
      </c>
    </row>
    <row r="48" spans="9:13" x14ac:dyDescent="0.2">
      <c r="I48" s="74"/>
      <c r="J48" s="3" t="s">
        <v>102</v>
      </c>
      <c r="K48" s="29"/>
      <c r="L48" s="29">
        <f>+L46-L47</f>
        <v>48000</v>
      </c>
      <c r="M48" s="6">
        <f>+M46-M47</f>
        <v>2.4</v>
      </c>
    </row>
    <row r="49" spans="9:13" x14ac:dyDescent="0.2">
      <c r="I49" s="74"/>
      <c r="J49" s="3"/>
      <c r="K49" s="29"/>
      <c r="L49" s="29"/>
      <c r="M49" s="6"/>
    </row>
    <row r="50" spans="9:13" x14ac:dyDescent="0.2">
      <c r="I50" s="74"/>
      <c r="J50" s="3" t="s">
        <v>108</v>
      </c>
      <c r="K50" s="45">
        <v>20000</v>
      </c>
      <c r="L50" s="29"/>
      <c r="M50" s="6"/>
    </row>
    <row r="51" spans="9:13" x14ac:dyDescent="0.2">
      <c r="I51" s="74"/>
      <c r="J51" s="3"/>
      <c r="K51" s="29"/>
      <c r="L51" s="29"/>
      <c r="M51" s="6"/>
    </row>
    <row r="52" spans="9:13" x14ac:dyDescent="0.2">
      <c r="I52" s="74"/>
      <c r="J52" s="3" t="s">
        <v>4</v>
      </c>
      <c r="K52" s="49">
        <v>400000</v>
      </c>
      <c r="L52" s="29"/>
      <c r="M52" s="6"/>
    </row>
    <row r="53" spans="9:13" x14ac:dyDescent="0.2">
      <c r="I53" s="74"/>
      <c r="J53" s="3"/>
      <c r="K53" s="29"/>
      <c r="L53" s="29"/>
      <c r="M53" s="6"/>
    </row>
    <row r="54" spans="9:13" x14ac:dyDescent="0.2">
      <c r="I54" s="74"/>
      <c r="J54" s="3" t="s">
        <v>0</v>
      </c>
      <c r="K54" s="30">
        <f>L46/L42</f>
        <v>0.08</v>
      </c>
      <c r="L54" s="46" t="str">
        <f>IF(K54&gt;$K$15,"Aumenta",IF(K54=$K$15,"Mantém","Diminui"))</f>
        <v>Mantém</v>
      </c>
      <c r="M54" s="6"/>
    </row>
    <row r="55" spans="9:13" x14ac:dyDescent="0.2">
      <c r="I55" s="74"/>
      <c r="J55" s="3" t="s">
        <v>1</v>
      </c>
      <c r="K55" s="29">
        <f>+L42/K52</f>
        <v>2.5</v>
      </c>
      <c r="L55" s="46" t="str">
        <f>IF(K55&gt;$K$16,"Aumenta",IF(K55=$K$16,"Mantém","Diminui"))</f>
        <v>Aumenta</v>
      </c>
      <c r="M55" s="6"/>
    </row>
    <row r="56" spans="9:13" x14ac:dyDescent="0.2">
      <c r="I56" s="74"/>
      <c r="J56" s="4" t="s">
        <v>5</v>
      </c>
      <c r="K56" s="47">
        <f>+K55*K54</f>
        <v>0.2</v>
      </c>
      <c r="L56" s="48" t="str">
        <f>IF(K56&gt;$K$17,"Aumenta",IF(K56=$K$17,"Mantém","Diminui"))</f>
        <v>Aumenta</v>
      </c>
      <c r="M56" s="7"/>
    </row>
    <row r="59" spans="9:13" x14ac:dyDescent="0.2">
      <c r="I59" s="74" t="s">
        <v>21</v>
      </c>
      <c r="J59" s="51"/>
      <c r="K59" s="52"/>
      <c r="L59" s="53" t="s">
        <v>69</v>
      </c>
      <c r="M59" s="54" t="s">
        <v>107</v>
      </c>
    </row>
    <row r="60" spans="9:13" x14ac:dyDescent="0.2">
      <c r="I60" s="74"/>
      <c r="J60" s="55" t="s">
        <v>2</v>
      </c>
      <c r="K60" s="56"/>
      <c r="L60" s="49">
        <f>+K68*M60</f>
        <v>1100000</v>
      </c>
      <c r="M60" s="57">
        <v>50</v>
      </c>
    </row>
    <row r="61" spans="9:13" x14ac:dyDescent="0.2">
      <c r="I61" s="74"/>
      <c r="J61" s="55" t="s">
        <v>61</v>
      </c>
      <c r="K61" s="56"/>
      <c r="L61" s="50">
        <f>+K68*M61</f>
        <v>660000</v>
      </c>
      <c r="M61" s="59">
        <v>30</v>
      </c>
    </row>
    <row r="62" spans="9:13" x14ac:dyDescent="0.2">
      <c r="I62" s="74"/>
      <c r="J62" s="55" t="s">
        <v>62</v>
      </c>
      <c r="K62" s="56"/>
      <c r="L62" s="56">
        <f>+L60-L61</f>
        <v>440000</v>
      </c>
      <c r="M62" s="57">
        <f>+M60-M61</f>
        <v>20</v>
      </c>
    </row>
    <row r="63" spans="9:13" x14ac:dyDescent="0.2">
      <c r="I63" s="74"/>
      <c r="J63" s="55" t="s">
        <v>24</v>
      </c>
      <c r="K63" s="56"/>
      <c r="L63" s="58">
        <v>320000</v>
      </c>
      <c r="M63" s="59">
        <f>L63/$K$31</f>
        <v>16</v>
      </c>
    </row>
    <row r="64" spans="9:13" x14ac:dyDescent="0.2">
      <c r="I64" s="74"/>
      <c r="J64" s="55" t="s">
        <v>3</v>
      </c>
      <c r="K64" s="56"/>
      <c r="L64" s="56">
        <f>+L62-L63</f>
        <v>120000</v>
      </c>
      <c r="M64" s="57">
        <f>+M62-M63</f>
        <v>4</v>
      </c>
    </row>
    <row r="65" spans="9:13" x14ac:dyDescent="0.2">
      <c r="I65" s="74"/>
      <c r="J65" s="55" t="s">
        <v>106</v>
      </c>
      <c r="K65" s="60">
        <v>0.4</v>
      </c>
      <c r="L65" s="58">
        <f>+L64*K65</f>
        <v>48000</v>
      </c>
      <c r="M65" s="59">
        <f>L65/$K$31</f>
        <v>2.4</v>
      </c>
    </row>
    <row r="66" spans="9:13" x14ac:dyDescent="0.2">
      <c r="I66" s="74"/>
      <c r="J66" s="55" t="s">
        <v>102</v>
      </c>
      <c r="K66" s="56"/>
      <c r="L66" s="56">
        <f>+L64-L65</f>
        <v>72000</v>
      </c>
      <c r="M66" s="57">
        <f>+M64-M65</f>
        <v>1.6</v>
      </c>
    </row>
    <row r="67" spans="9:13" x14ac:dyDescent="0.2">
      <c r="I67" s="74"/>
      <c r="J67" s="55"/>
      <c r="K67" s="56"/>
      <c r="L67" s="56"/>
      <c r="M67" s="57"/>
    </row>
    <row r="68" spans="9:13" x14ac:dyDescent="0.2">
      <c r="I68" s="74"/>
      <c r="J68" s="55" t="s">
        <v>108</v>
      </c>
      <c r="K68" s="66">
        <f>20000*1.1</f>
        <v>22000</v>
      </c>
      <c r="L68" s="56"/>
      <c r="M68" s="57"/>
    </row>
    <row r="69" spans="9:13" x14ac:dyDescent="0.2">
      <c r="I69" s="74"/>
      <c r="J69" s="55"/>
      <c r="K69" s="56"/>
      <c r="L69" s="56"/>
      <c r="M69" s="57"/>
    </row>
    <row r="70" spans="9:13" x14ac:dyDescent="0.2">
      <c r="I70" s="74"/>
      <c r="J70" s="55" t="s">
        <v>4</v>
      </c>
      <c r="K70" s="29">
        <v>500000</v>
      </c>
      <c r="L70" s="56"/>
      <c r="M70" s="57"/>
    </row>
    <row r="71" spans="9:13" x14ac:dyDescent="0.2">
      <c r="I71" s="74"/>
      <c r="J71" s="55"/>
      <c r="K71" s="56"/>
      <c r="L71" s="56"/>
      <c r="M71" s="57"/>
    </row>
    <row r="72" spans="9:13" x14ac:dyDescent="0.2">
      <c r="I72" s="74"/>
      <c r="J72" s="55" t="s">
        <v>0</v>
      </c>
      <c r="K72" s="67">
        <f>L64/L60</f>
        <v>0.10909090909090909</v>
      </c>
      <c r="L72" s="61" t="str">
        <f>IF(K72&gt;$K$15,"Aumenta",IF(K72=$K$15,"Mantém","Diminui"))</f>
        <v>Aumenta</v>
      </c>
      <c r="M72" s="57"/>
    </row>
    <row r="73" spans="9:13" x14ac:dyDescent="0.2">
      <c r="I73" s="74"/>
      <c r="J73" s="55" t="s">
        <v>1</v>
      </c>
      <c r="K73" s="56">
        <f>+L60/K70</f>
        <v>2.2000000000000002</v>
      </c>
      <c r="L73" s="61" t="str">
        <f>IF(K73&gt;$K$16,"Aumenta",IF(K73=$K$16,"Mantém","Diminui"))</f>
        <v>Aumenta</v>
      </c>
      <c r="M73" s="57"/>
    </row>
    <row r="74" spans="9:13" x14ac:dyDescent="0.2">
      <c r="I74" s="74"/>
      <c r="J74" s="62" t="s">
        <v>5</v>
      </c>
      <c r="K74" s="63">
        <f>+K73*K72</f>
        <v>0.24000000000000002</v>
      </c>
      <c r="L74" s="64" t="str">
        <f>IF(K74&gt;$K$17,"Aumenta",IF(K74=$K$17,"Mantém","Diminui"))</f>
        <v>Aumenta</v>
      </c>
      <c r="M74" s="65"/>
    </row>
    <row r="77" spans="9:13" x14ac:dyDescent="0.2">
      <c r="I77" s="74" t="s">
        <v>22</v>
      </c>
      <c r="J77" s="2"/>
      <c r="K77" s="28"/>
      <c r="L77" s="41" t="s">
        <v>69</v>
      </c>
      <c r="M77" s="42" t="s">
        <v>107</v>
      </c>
    </row>
    <row r="78" spans="9:13" x14ac:dyDescent="0.2">
      <c r="I78" s="74"/>
      <c r="J78" s="3" t="s">
        <v>2</v>
      </c>
      <c r="K78" s="29"/>
      <c r="L78" s="29">
        <v>1000000</v>
      </c>
      <c r="M78" s="6">
        <f>L78/$K$31</f>
        <v>50</v>
      </c>
    </row>
    <row r="79" spans="9:13" x14ac:dyDescent="0.2">
      <c r="I79" s="74"/>
      <c r="J79" s="3" t="s">
        <v>61</v>
      </c>
      <c r="K79" s="29"/>
      <c r="L79" s="50">
        <v>595000</v>
      </c>
      <c r="M79" s="44">
        <f>L79/$K$31</f>
        <v>29.75</v>
      </c>
    </row>
    <row r="80" spans="9:13" x14ac:dyDescent="0.2">
      <c r="I80" s="74"/>
      <c r="J80" s="3" t="s">
        <v>62</v>
      </c>
      <c r="K80" s="29"/>
      <c r="L80" s="29">
        <f>+L78-L79</f>
        <v>405000</v>
      </c>
      <c r="M80" s="6">
        <f>+M78-M79</f>
        <v>20.25</v>
      </c>
    </row>
    <row r="81" spans="9:13" x14ac:dyDescent="0.2">
      <c r="I81" s="74"/>
      <c r="J81" s="3" t="s">
        <v>24</v>
      </c>
      <c r="K81" s="29"/>
      <c r="L81" s="43">
        <v>320000</v>
      </c>
      <c r="M81" s="44">
        <f>L81/$K$31</f>
        <v>16</v>
      </c>
    </row>
    <row r="82" spans="9:13" x14ac:dyDescent="0.2">
      <c r="I82" s="74"/>
      <c r="J82" s="3" t="s">
        <v>3</v>
      </c>
      <c r="K82" s="29"/>
      <c r="L82" s="29">
        <f>+L80-L81</f>
        <v>85000</v>
      </c>
      <c r="M82" s="6">
        <f>+M80-M81</f>
        <v>4.25</v>
      </c>
    </row>
    <row r="83" spans="9:13" x14ac:dyDescent="0.2">
      <c r="I83" s="74"/>
      <c r="J83" s="3" t="s">
        <v>106</v>
      </c>
      <c r="K83" s="30">
        <v>0.4</v>
      </c>
      <c r="L83" s="43">
        <f>+L82*K83</f>
        <v>34000</v>
      </c>
      <c r="M83" s="44">
        <f>L83/$K$31</f>
        <v>1.7</v>
      </c>
    </row>
    <row r="84" spans="9:13" x14ac:dyDescent="0.2">
      <c r="I84" s="74"/>
      <c r="J84" s="3" t="s">
        <v>102</v>
      </c>
      <c r="K84" s="29"/>
      <c r="L84" s="29">
        <f>+L82-L83</f>
        <v>51000</v>
      </c>
      <c r="M84" s="6">
        <f>+M82-M83</f>
        <v>2.5499999999999998</v>
      </c>
    </row>
    <row r="85" spans="9:13" x14ac:dyDescent="0.2">
      <c r="I85" s="74"/>
      <c r="J85" s="3"/>
      <c r="K85" s="29"/>
      <c r="L85" s="29"/>
      <c r="M85" s="6"/>
    </row>
    <row r="86" spans="9:13" x14ac:dyDescent="0.2">
      <c r="I86" s="74"/>
      <c r="J86" s="3" t="s">
        <v>108</v>
      </c>
      <c r="K86" s="45">
        <v>20000</v>
      </c>
      <c r="L86" s="29"/>
      <c r="M86" s="6"/>
    </row>
    <row r="87" spans="9:13" x14ac:dyDescent="0.2">
      <c r="I87" s="74"/>
      <c r="J87" s="3"/>
      <c r="K87" s="29"/>
      <c r="L87" s="29"/>
      <c r="M87" s="6"/>
    </row>
    <row r="88" spans="9:13" x14ac:dyDescent="0.2">
      <c r="I88" s="74"/>
      <c r="J88" s="3" t="s">
        <v>4</v>
      </c>
      <c r="K88" s="49">
        <v>625000</v>
      </c>
      <c r="L88" s="29"/>
      <c r="M88" s="6"/>
    </row>
    <row r="89" spans="9:13" x14ac:dyDescent="0.2">
      <c r="I89" s="74"/>
      <c r="J89" s="3"/>
      <c r="K89" s="29"/>
      <c r="L89" s="29"/>
      <c r="M89" s="6"/>
    </row>
    <row r="90" spans="9:13" x14ac:dyDescent="0.2">
      <c r="I90" s="74"/>
      <c r="J90" s="3" t="s">
        <v>0</v>
      </c>
      <c r="K90" s="30">
        <f>L82/L78</f>
        <v>8.5000000000000006E-2</v>
      </c>
      <c r="L90" s="46" t="str">
        <f>IF(K90&gt;$K$15,"Aumenta",IF(K90=$K$15,"Mantém","Diminui"))</f>
        <v>Aumenta</v>
      </c>
      <c r="M90" s="6"/>
    </row>
    <row r="91" spans="9:13" x14ac:dyDescent="0.2">
      <c r="I91" s="74"/>
      <c r="J91" s="3" t="s">
        <v>1</v>
      </c>
      <c r="K91" s="29">
        <f>+L78/K88</f>
        <v>1.6</v>
      </c>
      <c r="L91" s="46" t="str">
        <f>IF(K91&gt;$K$16,"Aumenta",IF(K91=$K$16,"Mantém","Diminui"))</f>
        <v>Diminui</v>
      </c>
      <c r="M91" s="6"/>
    </row>
    <row r="92" spans="9:13" x14ac:dyDescent="0.2">
      <c r="I92" s="74"/>
      <c r="J92" s="4" t="s">
        <v>5</v>
      </c>
      <c r="K92" s="68">
        <f>+K91*K90</f>
        <v>0.13600000000000001</v>
      </c>
      <c r="L92" s="48" t="str">
        <f>IF(K92&gt;$K$17,"Aumenta",IF(K92=$K$17,"Mantém","Diminui"))</f>
        <v>Diminui</v>
      </c>
      <c r="M92" s="7"/>
    </row>
    <row r="96" spans="9:13" x14ac:dyDescent="0.2">
      <c r="I96" s="74" t="s">
        <v>109</v>
      </c>
      <c r="J96" s="2"/>
      <c r="K96" s="28"/>
      <c r="L96" s="41" t="s">
        <v>69</v>
      </c>
      <c r="M96" s="42" t="s">
        <v>107</v>
      </c>
    </row>
    <row r="97" spans="9:13" x14ac:dyDescent="0.2">
      <c r="I97" s="74"/>
      <c r="J97" s="3" t="s">
        <v>2</v>
      </c>
      <c r="K97" s="29"/>
      <c r="L97" s="29">
        <v>1000000</v>
      </c>
      <c r="M97" s="6">
        <f>L97/$K$31</f>
        <v>50</v>
      </c>
    </row>
    <row r="98" spans="9:13" x14ac:dyDescent="0.2">
      <c r="I98" s="74"/>
      <c r="J98" s="3" t="s">
        <v>61</v>
      </c>
      <c r="K98" s="29"/>
      <c r="L98" s="43">
        <v>600000</v>
      </c>
      <c r="M98" s="44">
        <f>L98/$K$31</f>
        <v>30</v>
      </c>
    </row>
    <row r="99" spans="9:13" x14ac:dyDescent="0.2">
      <c r="I99" s="74"/>
      <c r="J99" s="3" t="s">
        <v>62</v>
      </c>
      <c r="K99" s="29"/>
      <c r="L99" s="29">
        <f>+L97-L98</f>
        <v>400000</v>
      </c>
      <c r="M99" s="6">
        <f>+M97-M98</f>
        <v>20</v>
      </c>
    </row>
    <row r="100" spans="9:13" x14ac:dyDescent="0.2">
      <c r="I100" s="74"/>
      <c r="J100" s="3" t="s">
        <v>24</v>
      </c>
      <c r="K100" s="29"/>
      <c r="L100" s="43">
        <v>320000</v>
      </c>
      <c r="M100" s="44">
        <f>L100/$K$31</f>
        <v>16</v>
      </c>
    </row>
    <row r="101" spans="9:13" x14ac:dyDescent="0.2">
      <c r="I101" s="74"/>
      <c r="J101" s="3" t="s">
        <v>3</v>
      </c>
      <c r="K101" s="29"/>
      <c r="L101" s="29">
        <f>+L99-L100</f>
        <v>80000</v>
      </c>
      <c r="M101" s="6">
        <f>+M99-M100</f>
        <v>4</v>
      </c>
    </row>
    <row r="102" spans="9:13" x14ac:dyDescent="0.2">
      <c r="I102" s="74"/>
      <c r="J102" s="3" t="s">
        <v>106</v>
      </c>
      <c r="K102" s="30">
        <v>0.4</v>
      </c>
      <c r="L102" s="43">
        <f>+L101*K102</f>
        <v>32000</v>
      </c>
      <c r="M102" s="44">
        <f>L102/$K$31</f>
        <v>1.6</v>
      </c>
    </row>
    <row r="103" spans="9:13" x14ac:dyDescent="0.2">
      <c r="I103" s="74"/>
      <c r="J103" s="3" t="s">
        <v>102</v>
      </c>
      <c r="K103" s="29"/>
      <c r="L103" s="29">
        <f>+L101-L102</f>
        <v>48000</v>
      </c>
      <c r="M103" s="6">
        <f>+M101-M102</f>
        <v>2.4</v>
      </c>
    </row>
    <row r="104" spans="9:13" x14ac:dyDescent="0.2">
      <c r="I104" s="74"/>
      <c r="J104" s="3"/>
      <c r="K104" s="29"/>
      <c r="L104" s="29"/>
      <c r="M104" s="6"/>
    </row>
    <row r="105" spans="9:13" x14ac:dyDescent="0.2">
      <c r="I105" s="74"/>
      <c r="J105" s="3" t="s">
        <v>108</v>
      </c>
      <c r="K105" s="45">
        <v>20000</v>
      </c>
      <c r="L105" s="29"/>
      <c r="M105" s="6"/>
    </row>
    <row r="106" spans="9:13" x14ac:dyDescent="0.2">
      <c r="I106" s="74"/>
      <c r="J106" s="3"/>
      <c r="K106" s="29"/>
      <c r="L106" s="29"/>
      <c r="M106" s="6"/>
    </row>
    <row r="107" spans="9:13" x14ac:dyDescent="0.2">
      <c r="I107" s="74"/>
      <c r="J107" s="3" t="s">
        <v>4</v>
      </c>
      <c r="K107" s="49">
        <v>320000</v>
      </c>
      <c r="L107" s="29"/>
      <c r="M107" s="6"/>
    </row>
    <row r="108" spans="9:13" x14ac:dyDescent="0.2">
      <c r="I108" s="74"/>
      <c r="J108" s="3"/>
      <c r="K108" s="29"/>
      <c r="L108" s="29"/>
      <c r="M108" s="6"/>
    </row>
    <row r="109" spans="9:13" x14ac:dyDescent="0.2">
      <c r="I109" s="74"/>
      <c r="J109" s="3" t="s">
        <v>0</v>
      </c>
      <c r="K109" s="30">
        <f>L101/L97</f>
        <v>0.08</v>
      </c>
      <c r="L109" s="46" t="str">
        <f>IF(K109&gt;$K$15,"Aumenta",IF(K109=$K$15,"Mantém","Diminui"))</f>
        <v>Mantém</v>
      </c>
      <c r="M109" s="6"/>
    </row>
    <row r="110" spans="9:13" x14ac:dyDescent="0.2">
      <c r="I110" s="74"/>
      <c r="J110" s="3" t="s">
        <v>1</v>
      </c>
      <c r="K110" s="69">
        <f>+L97/K107</f>
        <v>3.125</v>
      </c>
      <c r="L110" s="46" t="str">
        <f>IF(K110&gt;$K$16,"Aumenta",IF(K110=$K$16,"Mantém","Diminui"))</f>
        <v>Aumenta</v>
      </c>
      <c r="M110" s="6"/>
    </row>
    <row r="111" spans="9:13" x14ac:dyDescent="0.2">
      <c r="I111" s="74"/>
      <c r="J111" s="4" t="s">
        <v>5</v>
      </c>
      <c r="K111" s="47">
        <f>+K110*K109</f>
        <v>0.25</v>
      </c>
      <c r="L111" s="48" t="str">
        <f>IF(K111&gt;$K$17,"Aumenta",IF(K111=$K$17,"Mantém","Diminui"))</f>
        <v>Aumenta</v>
      </c>
      <c r="M111" s="7"/>
    </row>
    <row r="114" spans="9:13" x14ac:dyDescent="0.2">
      <c r="I114" s="74" t="s">
        <v>110</v>
      </c>
      <c r="J114" s="2"/>
      <c r="K114" s="28"/>
      <c r="L114" s="41" t="s">
        <v>69</v>
      </c>
      <c r="M114" s="42" t="s">
        <v>107</v>
      </c>
    </row>
    <row r="115" spans="9:13" x14ac:dyDescent="0.2">
      <c r="I115" s="74"/>
      <c r="J115" s="3" t="s">
        <v>2</v>
      </c>
      <c r="K115" s="29"/>
      <c r="L115" s="29">
        <v>1000000</v>
      </c>
      <c r="M115" s="6">
        <f>L115/$K$31</f>
        <v>50</v>
      </c>
    </row>
    <row r="116" spans="9:13" x14ac:dyDescent="0.2">
      <c r="I116" s="74"/>
      <c r="J116" s="3" t="s">
        <v>61</v>
      </c>
      <c r="K116" s="29"/>
      <c r="L116" s="50">
        <v>620000</v>
      </c>
      <c r="M116" s="44">
        <f>L116/$K$31</f>
        <v>31</v>
      </c>
    </row>
    <row r="117" spans="9:13" x14ac:dyDescent="0.2">
      <c r="I117" s="74"/>
      <c r="J117" s="3" t="s">
        <v>62</v>
      </c>
      <c r="K117" s="29"/>
      <c r="L117" s="29">
        <f>+L115-L116</f>
        <v>380000</v>
      </c>
      <c r="M117" s="6">
        <f>+M115-M116</f>
        <v>19</v>
      </c>
    </row>
    <row r="118" spans="9:13" x14ac:dyDescent="0.2">
      <c r="I118" s="74"/>
      <c r="J118" s="3" t="s">
        <v>24</v>
      </c>
      <c r="K118" s="29"/>
      <c r="L118" s="43">
        <v>320000</v>
      </c>
      <c r="M118" s="44">
        <f>L118/$K$31</f>
        <v>16</v>
      </c>
    </row>
    <row r="119" spans="9:13" x14ac:dyDescent="0.2">
      <c r="I119" s="74"/>
      <c r="J119" s="3" t="s">
        <v>3</v>
      </c>
      <c r="K119" s="29"/>
      <c r="L119" s="29">
        <f>+L117-L118</f>
        <v>60000</v>
      </c>
      <c r="M119" s="6">
        <f>+M117-M118</f>
        <v>3</v>
      </c>
    </row>
    <row r="120" spans="9:13" x14ac:dyDescent="0.2">
      <c r="I120" s="74"/>
      <c r="J120" s="3" t="s">
        <v>106</v>
      </c>
      <c r="K120" s="30">
        <v>0.4</v>
      </c>
      <c r="L120" s="43">
        <f>+L119*K120</f>
        <v>24000</v>
      </c>
      <c r="M120" s="44">
        <f>L120/$K$31</f>
        <v>1.2</v>
      </c>
    </row>
    <row r="121" spans="9:13" x14ac:dyDescent="0.2">
      <c r="I121" s="74"/>
      <c r="J121" s="3" t="s">
        <v>102</v>
      </c>
      <c r="K121" s="29"/>
      <c r="L121" s="29">
        <f>+L119-L120</f>
        <v>36000</v>
      </c>
      <c r="M121" s="6">
        <f>+M119-M120</f>
        <v>1.8</v>
      </c>
    </row>
    <row r="122" spans="9:13" x14ac:dyDescent="0.2">
      <c r="I122" s="74"/>
      <c r="J122" s="3"/>
      <c r="K122" s="29"/>
      <c r="L122" s="29"/>
      <c r="M122" s="6"/>
    </row>
    <row r="123" spans="9:13" x14ac:dyDescent="0.2">
      <c r="I123" s="74"/>
      <c r="J123" s="3" t="s">
        <v>108</v>
      </c>
      <c r="K123" s="45">
        <v>20000</v>
      </c>
      <c r="L123" s="29"/>
      <c r="M123" s="6"/>
    </row>
    <row r="124" spans="9:13" x14ac:dyDescent="0.2">
      <c r="I124" s="74"/>
      <c r="J124" s="3"/>
      <c r="K124" s="29"/>
      <c r="L124" s="29"/>
      <c r="M124" s="6"/>
    </row>
    <row r="125" spans="9:13" x14ac:dyDescent="0.2">
      <c r="I125" s="74"/>
      <c r="J125" s="3" t="s">
        <v>4</v>
      </c>
      <c r="K125" s="49">
        <v>480000</v>
      </c>
      <c r="L125" s="29"/>
      <c r="M125" s="6"/>
    </row>
    <row r="126" spans="9:13" x14ac:dyDescent="0.2">
      <c r="I126" s="74"/>
      <c r="J126" s="3"/>
      <c r="K126" s="29"/>
      <c r="L126" s="29"/>
      <c r="M126" s="6"/>
    </row>
    <row r="127" spans="9:13" x14ac:dyDescent="0.2">
      <c r="I127" s="74"/>
      <c r="J127" s="3" t="s">
        <v>0</v>
      </c>
      <c r="K127" s="30">
        <f>L119/L115</f>
        <v>0.06</v>
      </c>
      <c r="L127" s="46" t="str">
        <f>IF(K127&gt;$K$15,"Aumenta",IF(K127=$K$15,"Mantém","Diminui"))</f>
        <v>Diminui</v>
      </c>
      <c r="M127" s="6"/>
    </row>
    <row r="128" spans="9:13" x14ac:dyDescent="0.2">
      <c r="I128" s="74"/>
      <c r="J128" s="3" t="s">
        <v>1</v>
      </c>
      <c r="K128" s="29">
        <f>+L115/K125</f>
        <v>2.0833333333333335</v>
      </c>
      <c r="L128" s="46" t="str">
        <f>IF(K128&gt;$K$16,"Aumenta",IF(K128=$K$16,"Mantém","Diminui"))</f>
        <v>Aumenta</v>
      </c>
      <c r="M128" s="6"/>
    </row>
    <row r="129" spans="9:13" x14ac:dyDescent="0.2">
      <c r="I129" s="74"/>
      <c r="J129" s="4" t="s">
        <v>5</v>
      </c>
      <c r="K129" s="68">
        <f>+K128*K127</f>
        <v>0.125</v>
      </c>
      <c r="L129" s="48" t="str">
        <f>IF(K129&gt;$K$17,"Aumenta",IF(K129=$K$17,"Mantém","Diminui"))</f>
        <v>Diminui</v>
      </c>
      <c r="M129" s="7"/>
    </row>
  </sheetData>
  <mergeCells count="7">
    <mergeCell ref="I114:I129"/>
    <mergeCell ref="I3:I17"/>
    <mergeCell ref="I22:I37"/>
    <mergeCell ref="I41:I56"/>
    <mergeCell ref="I59:I74"/>
    <mergeCell ref="I77:I92"/>
    <mergeCell ref="I96:I111"/>
  </mergeCells>
  <pageMargins left="0.75" right="0.75" top="1" bottom="1" header="0.5" footer="0.5"/>
  <pageSetup paperSize="9" orientation="portrait" horizontalDpi="4294967292" verticalDpi="4294967292"/>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J4:K16"/>
  <sheetViews>
    <sheetView showGridLines="0" zoomScale="258" zoomScaleNormal="125" zoomScalePageLayoutView="125" workbookViewId="0">
      <selection activeCell="K9" sqref="K9"/>
    </sheetView>
  </sheetViews>
  <sheetFormatPr defaultColWidth="10.875" defaultRowHeight="12.75" x14ac:dyDescent="0.2"/>
  <cols>
    <col min="1" max="9" width="10.875" style="1"/>
    <col min="10" max="10" width="12.375" style="1" bestFit="1" customWidth="1"/>
    <col min="11" max="16384" width="10.875" style="1"/>
  </cols>
  <sheetData>
    <row r="4" spans="10:11" x14ac:dyDescent="0.2">
      <c r="J4" s="2" t="s">
        <v>2</v>
      </c>
      <c r="K4" s="5">
        <v>2000000</v>
      </c>
    </row>
    <row r="5" spans="10:11" x14ac:dyDescent="0.2">
      <c r="J5" s="3" t="s">
        <v>3</v>
      </c>
      <c r="K5" s="6">
        <v>400000</v>
      </c>
    </row>
    <row r="6" spans="10:11" x14ac:dyDescent="0.2">
      <c r="J6" s="4" t="s">
        <v>4</v>
      </c>
      <c r="K6" s="7">
        <v>2200000</v>
      </c>
    </row>
    <row r="9" spans="10:11" x14ac:dyDescent="0.2">
      <c r="J9" s="1" t="s">
        <v>0</v>
      </c>
      <c r="K9" s="10">
        <f>+K5/K4</f>
        <v>0.2</v>
      </c>
    </row>
    <row r="10" spans="10:11" x14ac:dyDescent="0.2">
      <c r="J10" s="1" t="s">
        <v>1</v>
      </c>
      <c r="K10" s="11">
        <f>K4/K6</f>
        <v>0.90909090909090906</v>
      </c>
    </row>
    <row r="11" spans="10:11" x14ac:dyDescent="0.2">
      <c r="J11" s="1" t="s">
        <v>5</v>
      </c>
      <c r="K11" s="10">
        <f>+K10*K9</f>
        <v>0.18181818181818182</v>
      </c>
    </row>
    <row r="14" spans="10:11" x14ac:dyDescent="0.2">
      <c r="J14" s="1" t="s">
        <v>7</v>
      </c>
      <c r="K14" s="8">
        <v>0.16</v>
      </c>
    </row>
    <row r="16" spans="10:11" x14ac:dyDescent="0.2">
      <c r="J16" s="1" t="s">
        <v>6</v>
      </c>
      <c r="K16" s="1">
        <f>(K11-K14)*K6</f>
        <v>48000.000000000007</v>
      </c>
    </row>
  </sheetData>
  <pageMargins left="0.75" right="0.75" top="1" bottom="1" header="0.5" footer="0.5"/>
  <pageSetup paperSize="9" orientation="portrait" horizontalDpi="4294967292" verticalDpi="4294967292"/>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G4:I23"/>
  <sheetViews>
    <sheetView showGridLines="0" zoomScale="255" zoomScaleNormal="125" zoomScalePageLayoutView="125" workbookViewId="0">
      <selection activeCell="H3" sqref="H3"/>
    </sheetView>
  </sheetViews>
  <sheetFormatPr defaultColWidth="10.875" defaultRowHeight="12.75" x14ac:dyDescent="0.2"/>
  <cols>
    <col min="1" max="7" width="10.875" style="1"/>
    <col min="8" max="8" width="18.375" style="1" bestFit="1" customWidth="1"/>
    <col min="9" max="16384" width="10.875" style="1"/>
  </cols>
  <sheetData>
    <row r="4" spans="7:9" ht="12.95" x14ac:dyDescent="0.2">
      <c r="I4" s="12" t="s">
        <v>13</v>
      </c>
    </row>
    <row r="5" spans="7:9" x14ac:dyDescent="0.2">
      <c r="H5" s="1" t="s">
        <v>8</v>
      </c>
      <c r="I5" s="15">
        <v>0.5</v>
      </c>
    </row>
    <row r="6" spans="7:9" ht="12.95" x14ac:dyDescent="0.2">
      <c r="H6" s="1" t="s">
        <v>9</v>
      </c>
      <c r="I6" s="15">
        <v>2.8</v>
      </c>
    </row>
    <row r="7" spans="7:9" ht="12.95" x14ac:dyDescent="0.2">
      <c r="H7" s="1" t="s">
        <v>10</v>
      </c>
      <c r="I7" s="14">
        <v>16</v>
      </c>
    </row>
    <row r="8" spans="7:9" ht="12.95" x14ac:dyDescent="0.2">
      <c r="H8" s="1" t="s">
        <v>11</v>
      </c>
      <c r="I8" s="14">
        <v>4</v>
      </c>
    </row>
    <row r="9" spans="7:9" x14ac:dyDescent="0.2">
      <c r="H9" s="1" t="s">
        <v>12</v>
      </c>
      <c r="I9" s="15">
        <v>0.7</v>
      </c>
    </row>
    <row r="13" spans="7:9" x14ac:dyDescent="0.2">
      <c r="G13" s="1" t="s">
        <v>18</v>
      </c>
      <c r="H13" s="1" t="s">
        <v>14</v>
      </c>
      <c r="I13" s="13">
        <f>I6+I5+I8+I9</f>
        <v>8</v>
      </c>
    </row>
    <row r="15" spans="7:9" ht="12.95" x14ac:dyDescent="0.2">
      <c r="G15" s="1" t="s">
        <v>19</v>
      </c>
      <c r="H15" s="1" t="s">
        <v>15</v>
      </c>
      <c r="I15" s="1">
        <f>I6/I13</f>
        <v>0.35</v>
      </c>
    </row>
    <row r="17" spans="7:9" x14ac:dyDescent="0.2">
      <c r="G17" s="1" t="s">
        <v>20</v>
      </c>
      <c r="H17" s="1" t="s">
        <v>16</v>
      </c>
      <c r="I17" s="1">
        <f>1-I15</f>
        <v>0.65</v>
      </c>
    </row>
    <row r="19" spans="7:9" x14ac:dyDescent="0.2">
      <c r="G19" s="1" t="s">
        <v>21</v>
      </c>
      <c r="H19" s="1" t="s">
        <v>17</v>
      </c>
      <c r="I19" s="13">
        <f>SUM(I5:I9)</f>
        <v>24</v>
      </c>
    </row>
    <row r="21" spans="7:9" x14ac:dyDescent="0.2">
      <c r="G21" s="1" t="s">
        <v>22</v>
      </c>
      <c r="H21" s="1" t="s">
        <v>14</v>
      </c>
      <c r="I21" s="13">
        <f>I6+I5+I9</f>
        <v>4</v>
      </c>
    </row>
    <row r="23" spans="7:9" x14ac:dyDescent="0.2">
      <c r="H23" s="1" t="s">
        <v>15</v>
      </c>
      <c r="I23" s="1">
        <f>I6/I21</f>
        <v>0.7</v>
      </c>
    </row>
  </sheetData>
  <pageMargins left="0.75" right="0.75" top="1" bottom="1" header="0.5" footer="0.5"/>
  <pageSetup paperSize="9" orientation="portrait" horizontalDpi="4294967292" verticalDpi="4294967292"/>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H2:K26"/>
  <sheetViews>
    <sheetView showGridLines="0" zoomScale="263" zoomScaleNormal="160" zoomScalePageLayoutView="160" workbookViewId="0">
      <selection activeCell="H27" sqref="H27"/>
    </sheetView>
  </sheetViews>
  <sheetFormatPr defaultColWidth="10.875" defaultRowHeight="12.75" x14ac:dyDescent="0.2"/>
  <cols>
    <col min="1" max="7" width="10.875" style="1"/>
    <col min="8" max="8" width="17.125" style="1" bestFit="1" customWidth="1"/>
    <col min="9" max="16384" width="10.875" style="1"/>
  </cols>
  <sheetData>
    <row r="2" spans="8:11" ht="12.95" x14ac:dyDescent="0.2">
      <c r="H2" s="12" t="s">
        <v>2</v>
      </c>
      <c r="I2" s="12" t="s">
        <v>3</v>
      </c>
      <c r="J2" s="12" t="s">
        <v>4</v>
      </c>
      <c r="K2" s="12" t="s">
        <v>5</v>
      </c>
    </row>
    <row r="3" spans="8:11" ht="12.95" x14ac:dyDescent="0.2">
      <c r="H3" s="16">
        <v>4500000</v>
      </c>
      <c r="I3" s="16">
        <v>290000</v>
      </c>
      <c r="J3" s="16">
        <v>800000</v>
      </c>
      <c r="K3" s="16" t="s">
        <v>23</v>
      </c>
    </row>
    <row r="4" spans="8:11" ht="12.95" x14ac:dyDescent="0.2">
      <c r="H4" s="16">
        <v>4600000</v>
      </c>
      <c r="I4" s="16" t="s">
        <v>23</v>
      </c>
      <c r="J4" s="16">
        <v>800000</v>
      </c>
      <c r="K4" s="16" t="s">
        <v>23</v>
      </c>
    </row>
    <row r="5" spans="8:11" ht="12.95" x14ac:dyDescent="0.2">
      <c r="H5" s="16">
        <v>4700000</v>
      </c>
      <c r="I5" s="16" t="s">
        <v>23</v>
      </c>
      <c r="J5" s="16">
        <v>800000</v>
      </c>
      <c r="K5" s="16" t="s">
        <v>23</v>
      </c>
    </row>
    <row r="6" spans="8:11" ht="12.95" x14ac:dyDescent="0.2">
      <c r="H6" s="16">
        <v>4800000</v>
      </c>
      <c r="I6" s="16" t="s">
        <v>23</v>
      </c>
      <c r="J6" s="16">
        <v>800000</v>
      </c>
      <c r="K6" s="16" t="s">
        <v>23</v>
      </c>
    </row>
    <row r="7" spans="8:11" ht="12.95" x14ac:dyDescent="0.2">
      <c r="H7" s="16">
        <v>4900000</v>
      </c>
      <c r="I7" s="16" t="s">
        <v>23</v>
      </c>
      <c r="J7" s="16">
        <v>800000</v>
      </c>
      <c r="K7" s="16" t="s">
        <v>23</v>
      </c>
    </row>
    <row r="8" spans="8:11" ht="12.95" x14ac:dyDescent="0.2">
      <c r="H8" s="16">
        <v>5000000</v>
      </c>
      <c r="I8" s="16" t="s">
        <v>23</v>
      </c>
      <c r="J8" s="16">
        <v>800000</v>
      </c>
      <c r="K8" s="16" t="s">
        <v>23</v>
      </c>
    </row>
    <row r="10" spans="8:11" ht="12.95" x14ac:dyDescent="0.2">
      <c r="H10" s="1" t="s">
        <v>24</v>
      </c>
      <c r="I10" s="1">
        <v>160000</v>
      </c>
    </row>
    <row r="11" spans="8:11" ht="12.95" x14ac:dyDescent="0.2">
      <c r="H11" s="1" t="s">
        <v>25</v>
      </c>
      <c r="I11" s="8">
        <v>0.1</v>
      </c>
    </row>
    <row r="14" spans="8:11" ht="12.95" x14ac:dyDescent="0.2">
      <c r="H14" s="12" t="s">
        <v>2</v>
      </c>
      <c r="I14" s="12" t="s">
        <v>3</v>
      </c>
      <c r="J14" s="12" t="s">
        <v>4</v>
      </c>
      <c r="K14" s="12" t="s">
        <v>5</v>
      </c>
    </row>
    <row r="15" spans="8:11" ht="12.95" x14ac:dyDescent="0.2">
      <c r="H15" s="16">
        <v>4500000</v>
      </c>
      <c r="I15" s="16">
        <v>290000</v>
      </c>
      <c r="J15" s="16">
        <v>800000</v>
      </c>
      <c r="K15" s="19">
        <f>(I15/H15)*(H15/J15)</f>
        <v>0.36249999999999999</v>
      </c>
    </row>
    <row r="16" spans="8:11" ht="12.95" x14ac:dyDescent="0.2">
      <c r="H16" s="16">
        <v>4600000</v>
      </c>
      <c r="I16" s="16">
        <f>+$I$11*H16-$I$10</f>
        <v>300000</v>
      </c>
      <c r="J16" s="16">
        <v>800000</v>
      </c>
      <c r="K16" s="19">
        <f t="shared" ref="K16:K20" si="0">(I16/H16)*(H16/J16)</f>
        <v>0.375</v>
      </c>
    </row>
    <row r="17" spans="8:11" ht="12.95" x14ac:dyDescent="0.2">
      <c r="H17" s="16">
        <v>4700000</v>
      </c>
      <c r="I17" s="16">
        <f t="shared" ref="I17:I20" si="1">+$I$11*H17-$I$10</f>
        <v>310000</v>
      </c>
      <c r="J17" s="16">
        <v>800000</v>
      </c>
      <c r="K17" s="19">
        <f t="shared" si="0"/>
        <v>0.38750000000000001</v>
      </c>
    </row>
    <row r="18" spans="8:11" ht="12.95" x14ac:dyDescent="0.2">
      <c r="H18" s="16">
        <v>4800000</v>
      </c>
      <c r="I18" s="16">
        <f t="shared" si="1"/>
        <v>320000</v>
      </c>
      <c r="J18" s="16">
        <v>800000</v>
      </c>
      <c r="K18" s="19">
        <f t="shared" si="0"/>
        <v>0.4</v>
      </c>
    </row>
    <row r="19" spans="8:11" ht="12.95" x14ac:dyDescent="0.2">
      <c r="H19" s="16">
        <v>4900000</v>
      </c>
      <c r="I19" s="16">
        <f t="shared" si="1"/>
        <v>330000</v>
      </c>
      <c r="J19" s="16">
        <v>800000</v>
      </c>
      <c r="K19" s="19">
        <f t="shared" si="0"/>
        <v>0.41250000000000003</v>
      </c>
    </row>
    <row r="20" spans="8:11" ht="12.95" x14ac:dyDescent="0.2">
      <c r="H20" s="16">
        <v>5000000</v>
      </c>
      <c r="I20" s="16">
        <f t="shared" si="1"/>
        <v>340000</v>
      </c>
      <c r="J20" s="16">
        <v>800000</v>
      </c>
      <c r="K20" s="19">
        <f t="shared" si="0"/>
        <v>0.42500000000000004</v>
      </c>
    </row>
    <row r="22" spans="8:11" x14ac:dyDescent="0.2">
      <c r="H22" s="1" t="s">
        <v>26</v>
      </c>
      <c r="I22" s="1">
        <f>H20-H19</f>
        <v>100000</v>
      </c>
    </row>
    <row r="23" spans="8:11" ht="12.95" x14ac:dyDescent="0.2">
      <c r="H23" s="1" t="s">
        <v>25</v>
      </c>
      <c r="I23" s="8">
        <f>I11</f>
        <v>0.1</v>
      </c>
    </row>
    <row r="24" spans="8:11" x14ac:dyDescent="0.2">
      <c r="H24" s="1" t="s">
        <v>27</v>
      </c>
      <c r="I24" s="1">
        <f>+I23*I22</f>
        <v>10000</v>
      </c>
    </row>
    <row r="25" spans="8:11" ht="12.95" x14ac:dyDescent="0.2">
      <c r="H25" s="1" t="s">
        <v>4</v>
      </c>
      <c r="I25" s="1">
        <f>J3</f>
        <v>800000</v>
      </c>
    </row>
    <row r="26" spans="8:11" x14ac:dyDescent="0.2">
      <c r="H26" s="1" t="s">
        <v>28</v>
      </c>
      <c r="I26" s="10">
        <f>+I24/I25</f>
        <v>1.2500000000000001E-2</v>
      </c>
    </row>
  </sheetData>
  <pageMargins left="0.75" right="0.75" top="1" bottom="1" header="0.5" footer="0.5"/>
  <pageSetup paperSize="9" orientation="portrait" horizontalDpi="4294967292" verticalDpi="4294967292"/>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G2:N12"/>
  <sheetViews>
    <sheetView showGridLines="0" zoomScale="254" zoomScaleNormal="175" zoomScalePageLayoutView="175" workbookViewId="0">
      <selection activeCell="N7" sqref="N7"/>
    </sheetView>
  </sheetViews>
  <sheetFormatPr defaultColWidth="10.875" defaultRowHeight="12.75" x14ac:dyDescent="0.2"/>
  <cols>
    <col min="1" max="6" width="10.875" style="1"/>
    <col min="7" max="7" width="12.375" style="1" bestFit="1" customWidth="1"/>
    <col min="8" max="8" width="10.125" style="1" bestFit="1" customWidth="1"/>
    <col min="9" max="9" width="4.625" style="1" customWidth="1"/>
    <col min="10" max="16384" width="10.875" style="1"/>
  </cols>
  <sheetData>
    <row r="2" spans="7:14" x14ac:dyDescent="0.2">
      <c r="G2" s="2" t="s">
        <v>2</v>
      </c>
      <c r="H2" s="5">
        <v>8000000</v>
      </c>
      <c r="J2" s="2" t="s">
        <v>2</v>
      </c>
      <c r="K2" s="5">
        <f>+H2*(1+150%)</f>
        <v>20000000</v>
      </c>
      <c r="M2" s="2" t="s">
        <v>2</v>
      </c>
      <c r="N2" s="5">
        <f>+H2+2000000</f>
        <v>10000000</v>
      </c>
    </row>
    <row r="3" spans="7:14" x14ac:dyDescent="0.2">
      <c r="G3" s="3" t="s">
        <v>3</v>
      </c>
      <c r="H3" s="6">
        <v>800000</v>
      </c>
      <c r="J3" s="3" t="s">
        <v>3</v>
      </c>
      <c r="K3" s="6">
        <f>+H3*(1+400%)</f>
        <v>4000000</v>
      </c>
      <c r="M3" s="3" t="s">
        <v>3</v>
      </c>
      <c r="N3" s="6">
        <f>+H3+250000</f>
        <v>1050000</v>
      </c>
    </row>
    <row r="4" spans="7:14" x14ac:dyDescent="0.2">
      <c r="G4" s="4" t="s">
        <v>4</v>
      </c>
      <c r="H4" s="7">
        <v>3200000</v>
      </c>
      <c r="J4" s="4" t="s">
        <v>4</v>
      </c>
      <c r="K4" s="7">
        <v>3200000</v>
      </c>
      <c r="M4" s="4" t="s">
        <v>4</v>
      </c>
      <c r="N4" s="7">
        <f>+H4+800000</f>
        <v>4000000</v>
      </c>
    </row>
    <row r="7" spans="7:14" x14ac:dyDescent="0.2">
      <c r="G7" s="1" t="s">
        <v>0</v>
      </c>
      <c r="H7" s="8">
        <f>+H3/H2</f>
        <v>0.1</v>
      </c>
      <c r="J7" s="1" t="s">
        <v>0</v>
      </c>
      <c r="K7" s="8">
        <f>+K3/K2</f>
        <v>0.2</v>
      </c>
      <c r="M7" s="1" t="s">
        <v>0</v>
      </c>
      <c r="N7" s="20">
        <f>+N3/N2</f>
        <v>0.105</v>
      </c>
    </row>
    <row r="8" spans="7:14" x14ac:dyDescent="0.2">
      <c r="G8" s="1" t="s">
        <v>1</v>
      </c>
      <c r="H8" s="11">
        <f>H2/H4</f>
        <v>2.5</v>
      </c>
      <c r="J8" s="1" t="s">
        <v>1</v>
      </c>
      <c r="K8" s="11">
        <f>K2/K4</f>
        <v>6.25</v>
      </c>
      <c r="M8" s="1" t="s">
        <v>1</v>
      </c>
      <c r="N8" s="11">
        <f>N2/N4</f>
        <v>2.5</v>
      </c>
    </row>
    <row r="9" spans="7:14" x14ac:dyDescent="0.2">
      <c r="G9" s="1" t="s">
        <v>5</v>
      </c>
      <c r="H9" s="10">
        <f>+H8*H7</f>
        <v>0.25</v>
      </c>
      <c r="J9" s="1" t="s">
        <v>5</v>
      </c>
      <c r="K9" s="10">
        <f>+K8*K7</f>
        <v>1.25</v>
      </c>
      <c r="M9" s="1" t="s">
        <v>5</v>
      </c>
      <c r="N9" s="10">
        <f>+N8*N7</f>
        <v>0.26250000000000001</v>
      </c>
    </row>
    <row r="12" spans="7:14" x14ac:dyDescent="0.2">
      <c r="H12" s="8"/>
    </row>
  </sheetData>
  <pageMargins left="0.75" right="0.75" top="1" bottom="1" header="0.5" footer="0.5"/>
  <pageSetup paperSize="9" orientation="portrait" horizontalDpi="4294967292" verticalDpi="4294967292"/>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G3:I24"/>
  <sheetViews>
    <sheetView showGridLines="0" zoomScale="175" zoomScaleNormal="175" zoomScalePageLayoutView="175" workbookViewId="0">
      <selection activeCell="A25" sqref="A25"/>
    </sheetView>
  </sheetViews>
  <sheetFormatPr defaultColWidth="10.875" defaultRowHeight="12.75" x14ac:dyDescent="0.2"/>
  <cols>
    <col min="1" max="16384" width="10.875" style="1"/>
  </cols>
  <sheetData>
    <row r="3" spans="7:9" x14ac:dyDescent="0.2">
      <c r="H3" s="71" t="s">
        <v>31</v>
      </c>
      <c r="I3" s="71"/>
    </row>
    <row r="4" spans="7:9" ht="12.95" x14ac:dyDescent="0.2">
      <c r="H4" s="12" t="s">
        <v>29</v>
      </c>
      <c r="I4" s="12" t="s">
        <v>30</v>
      </c>
    </row>
    <row r="5" spans="7:9" ht="12.95" x14ac:dyDescent="0.2">
      <c r="G5" s="1" t="s">
        <v>2</v>
      </c>
      <c r="H5" s="1">
        <v>9000</v>
      </c>
      <c r="I5" s="1">
        <v>20000</v>
      </c>
    </row>
    <row r="6" spans="7:9" ht="12.95" x14ac:dyDescent="0.2">
      <c r="G6" s="1" t="s">
        <v>3</v>
      </c>
      <c r="H6" s="1">
        <v>630</v>
      </c>
      <c r="I6" s="1">
        <v>1800</v>
      </c>
    </row>
    <row r="7" spans="7:9" ht="12.95" x14ac:dyDescent="0.2">
      <c r="G7" s="1" t="s">
        <v>4</v>
      </c>
      <c r="H7" s="1">
        <v>3000</v>
      </c>
      <c r="I7" s="1">
        <v>10000</v>
      </c>
    </row>
    <row r="11" spans="7:9" ht="12.95" x14ac:dyDescent="0.2">
      <c r="G11" s="1" t="s">
        <v>0</v>
      </c>
      <c r="H11" s="22">
        <f>H6/H5</f>
        <v>7.0000000000000007E-2</v>
      </c>
      <c r="I11" s="22">
        <f>I6/I5</f>
        <v>0.09</v>
      </c>
    </row>
    <row r="12" spans="7:9" ht="12.95" x14ac:dyDescent="0.2">
      <c r="G12" s="1" t="s">
        <v>1</v>
      </c>
      <c r="H12" s="1">
        <f>H5/H7</f>
        <v>3</v>
      </c>
      <c r="I12" s="1">
        <f>I5/I7</f>
        <v>2</v>
      </c>
    </row>
    <row r="13" spans="7:9" ht="12.95" x14ac:dyDescent="0.2">
      <c r="G13" s="1" t="s">
        <v>5</v>
      </c>
      <c r="H13" s="22">
        <f>+H12*H11</f>
        <v>0.21000000000000002</v>
      </c>
      <c r="I13" s="22">
        <f>+I12*I11</f>
        <v>0.18</v>
      </c>
    </row>
    <row r="15" spans="7:9" ht="12.95" x14ac:dyDescent="0.2">
      <c r="G15" s="1" t="s">
        <v>32</v>
      </c>
      <c r="H15" s="8">
        <v>0.16</v>
      </c>
      <c r="I15" s="8">
        <v>0.16</v>
      </c>
    </row>
    <row r="17" spans="7:9" ht="12.95" x14ac:dyDescent="0.2">
      <c r="G17" s="1" t="s">
        <v>6</v>
      </c>
      <c r="H17" s="1">
        <f>+(H13-H15)*H7</f>
        <v>150.00000000000006</v>
      </c>
      <c r="I17" s="1">
        <f>+(I13-I15)*I7</f>
        <v>199.99999999999989</v>
      </c>
    </row>
    <row r="20" spans="7:9" x14ac:dyDescent="0.2">
      <c r="G20" s="1" t="s">
        <v>33</v>
      </c>
    </row>
    <row r="22" spans="7:9" ht="12.95" x14ac:dyDescent="0.2">
      <c r="G22" s="1" t="s">
        <v>6</v>
      </c>
      <c r="H22" s="22">
        <f>+(H13-H15)</f>
        <v>5.0000000000000017E-2</v>
      </c>
      <c r="I22" s="22">
        <f>+(I13-I15)</f>
        <v>1.999999999999999E-2</v>
      </c>
    </row>
    <row r="24" spans="7:9" x14ac:dyDescent="0.2">
      <c r="G24" s="1" t="s">
        <v>34</v>
      </c>
    </row>
  </sheetData>
  <mergeCells count="1">
    <mergeCell ref="H3:I3"/>
  </mergeCells>
  <pageMargins left="0.75" right="0.75" top="1" bottom="1" header="0.5" footer="0.5"/>
  <pageSetup paperSize="9" orientation="portrait" horizontalDpi="4294967292" verticalDpi="4294967292"/>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G2:J21"/>
  <sheetViews>
    <sheetView showGridLines="0" zoomScale="175" zoomScaleNormal="175" zoomScalePageLayoutView="175" workbookViewId="0">
      <selection activeCell="H20" sqref="H20"/>
    </sheetView>
  </sheetViews>
  <sheetFormatPr defaultColWidth="10.875" defaultRowHeight="12.75" x14ac:dyDescent="0.2"/>
  <cols>
    <col min="1" max="6" width="10.875" style="1"/>
    <col min="7" max="7" width="13.875" style="1" customWidth="1"/>
    <col min="8" max="16384" width="10.875" style="1"/>
  </cols>
  <sheetData>
    <row r="2" spans="7:10" x14ac:dyDescent="0.2">
      <c r="G2" s="9"/>
      <c r="H2" s="71" t="s">
        <v>40</v>
      </c>
      <c r="I2" s="71"/>
      <c r="J2" s="71"/>
    </row>
    <row r="3" spans="7:10" x14ac:dyDescent="0.2">
      <c r="G3" s="9"/>
      <c r="H3" s="12" t="s">
        <v>37</v>
      </c>
      <c r="I3" s="12" t="s">
        <v>38</v>
      </c>
      <c r="J3" s="12" t="s">
        <v>39</v>
      </c>
    </row>
    <row r="4" spans="7:10" x14ac:dyDescent="0.2">
      <c r="G4" s="1" t="s">
        <v>2</v>
      </c>
      <c r="H4" s="16">
        <v>400</v>
      </c>
      <c r="I4" s="16">
        <v>750</v>
      </c>
      <c r="J4" s="16">
        <v>600</v>
      </c>
    </row>
    <row r="5" spans="7:10" x14ac:dyDescent="0.2">
      <c r="G5" s="1" t="s">
        <v>3</v>
      </c>
      <c r="H5" s="16" t="s">
        <v>23</v>
      </c>
      <c r="I5" s="16">
        <v>45</v>
      </c>
      <c r="J5" s="16" t="s">
        <v>23</v>
      </c>
    </row>
    <row r="6" spans="7:10" x14ac:dyDescent="0.2">
      <c r="G6" s="1" t="s">
        <v>4</v>
      </c>
      <c r="H6" s="16">
        <v>160</v>
      </c>
      <c r="I6" s="16" t="s">
        <v>23</v>
      </c>
      <c r="J6" s="16">
        <v>150</v>
      </c>
    </row>
    <row r="7" spans="7:10" x14ac:dyDescent="0.2">
      <c r="G7" s="1" t="s">
        <v>5</v>
      </c>
      <c r="H7" s="17">
        <v>0.2</v>
      </c>
      <c r="I7" s="17">
        <v>0.18</v>
      </c>
      <c r="J7" s="17" t="s">
        <v>23</v>
      </c>
    </row>
    <row r="8" spans="7:10" x14ac:dyDescent="0.2">
      <c r="G8" s="1" t="s">
        <v>35</v>
      </c>
      <c r="H8" s="17">
        <v>0.15</v>
      </c>
      <c r="I8" s="17" t="s">
        <v>23</v>
      </c>
      <c r="J8" s="17">
        <v>0.12</v>
      </c>
    </row>
    <row r="9" spans="7:10" x14ac:dyDescent="0.2">
      <c r="G9" s="1" t="s">
        <v>36</v>
      </c>
      <c r="H9" s="16" t="s">
        <v>23</v>
      </c>
      <c r="I9" s="16">
        <v>50</v>
      </c>
      <c r="J9" s="16" t="s">
        <v>23</v>
      </c>
    </row>
    <row r="10" spans="7:10" x14ac:dyDescent="0.2">
      <c r="G10" s="1" t="s">
        <v>6</v>
      </c>
      <c r="H10" s="16" t="s">
        <v>23</v>
      </c>
      <c r="I10" s="16" t="s">
        <v>23</v>
      </c>
      <c r="J10" s="16">
        <v>6</v>
      </c>
    </row>
    <row r="13" spans="7:10" x14ac:dyDescent="0.2">
      <c r="G13" s="9"/>
      <c r="H13" s="71" t="s">
        <v>40</v>
      </c>
      <c r="I13" s="71"/>
      <c r="J13" s="71"/>
    </row>
    <row r="14" spans="7:10" x14ac:dyDescent="0.2">
      <c r="G14" s="9"/>
      <c r="H14" s="12" t="s">
        <v>37</v>
      </c>
      <c r="I14" s="12" t="s">
        <v>38</v>
      </c>
      <c r="J14" s="12" t="s">
        <v>39</v>
      </c>
    </row>
    <row r="15" spans="7:10" x14ac:dyDescent="0.2">
      <c r="G15" s="1" t="s">
        <v>2</v>
      </c>
      <c r="H15" s="16">
        <v>400</v>
      </c>
      <c r="I15" s="16">
        <v>750</v>
      </c>
      <c r="J15" s="16">
        <v>600</v>
      </c>
    </row>
    <row r="16" spans="7:10" x14ac:dyDescent="0.2">
      <c r="G16" s="1" t="s">
        <v>3</v>
      </c>
      <c r="H16" s="23">
        <f>H18*H17</f>
        <v>32</v>
      </c>
      <c r="I16" s="16">
        <v>45</v>
      </c>
      <c r="J16" s="23">
        <f>J18*J17</f>
        <v>24</v>
      </c>
    </row>
    <row r="17" spans="7:10" x14ac:dyDescent="0.2">
      <c r="G17" s="1" t="s">
        <v>4</v>
      </c>
      <c r="H17" s="16">
        <v>160</v>
      </c>
      <c r="I17" s="23">
        <f>I16/I18</f>
        <v>250</v>
      </c>
      <c r="J17" s="16">
        <v>150</v>
      </c>
    </row>
    <row r="18" spans="7:10" x14ac:dyDescent="0.2">
      <c r="G18" s="1" t="s">
        <v>5</v>
      </c>
      <c r="H18" s="17">
        <v>0.2</v>
      </c>
      <c r="I18" s="17">
        <v>0.18</v>
      </c>
      <c r="J18" s="24">
        <f>(J21/J17)+J19</f>
        <v>0.16</v>
      </c>
    </row>
    <row r="19" spans="7:10" x14ac:dyDescent="0.2">
      <c r="G19" s="1" t="s">
        <v>41</v>
      </c>
      <c r="H19" s="17">
        <v>0.15</v>
      </c>
      <c r="I19" s="24">
        <f>I20/I17</f>
        <v>0.2</v>
      </c>
      <c r="J19" s="17">
        <v>0.12</v>
      </c>
    </row>
    <row r="20" spans="7:10" x14ac:dyDescent="0.2">
      <c r="G20" s="1" t="s">
        <v>42</v>
      </c>
      <c r="H20" s="23">
        <f>H19*H17</f>
        <v>24</v>
      </c>
      <c r="I20" s="16">
        <v>50</v>
      </c>
      <c r="J20" s="23">
        <f>J19*J17</f>
        <v>18</v>
      </c>
    </row>
    <row r="21" spans="7:10" x14ac:dyDescent="0.2">
      <c r="G21" s="1" t="s">
        <v>6</v>
      </c>
      <c r="H21" s="23">
        <f>(H18-H19)*H17</f>
        <v>8.0000000000000036</v>
      </c>
      <c r="I21" s="23">
        <f>(I18-I19)*I17</f>
        <v>-5.0000000000000044</v>
      </c>
      <c r="J21" s="16">
        <v>6</v>
      </c>
    </row>
  </sheetData>
  <mergeCells count="2">
    <mergeCell ref="H2:J2"/>
    <mergeCell ref="H13:J13"/>
  </mergeCells>
  <pageMargins left="0.75" right="0.75" top="1" bottom="1" header="0.5" footer="0.5"/>
  <pageSetup paperSize="9" orientation="portrait" horizontalDpi="4294967292" verticalDpi="4294967292"/>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I3:L40"/>
  <sheetViews>
    <sheetView showGridLines="0" zoomScale="175" zoomScaleNormal="175" zoomScalePageLayoutView="175" workbookViewId="0">
      <selection activeCell="M19" sqref="M19"/>
    </sheetView>
  </sheetViews>
  <sheetFormatPr defaultColWidth="10.875" defaultRowHeight="12.75" x14ac:dyDescent="0.2"/>
  <cols>
    <col min="1" max="8" width="10.875" style="1"/>
    <col min="9" max="9" width="16.875" style="1" bestFit="1" customWidth="1"/>
    <col min="10" max="16384" width="10.875" style="1"/>
  </cols>
  <sheetData>
    <row r="3" spans="9:12" x14ac:dyDescent="0.2">
      <c r="J3" s="1" t="s">
        <v>43</v>
      </c>
      <c r="K3" s="1" t="s">
        <v>44</v>
      </c>
      <c r="L3" s="1" t="s">
        <v>45</v>
      </c>
    </row>
    <row r="4" spans="9:12" x14ac:dyDescent="0.2">
      <c r="I4" s="1" t="s">
        <v>2</v>
      </c>
      <c r="J4" s="16">
        <v>6000</v>
      </c>
      <c r="K4" s="16">
        <v>10000</v>
      </c>
      <c r="L4" s="16">
        <v>8000</v>
      </c>
    </row>
    <row r="5" spans="9:12" x14ac:dyDescent="0.2">
      <c r="I5" s="1" t="s">
        <v>4</v>
      </c>
      <c r="J5" s="16">
        <v>1500</v>
      </c>
      <c r="K5" s="16">
        <v>5000</v>
      </c>
      <c r="L5" s="16">
        <v>2000</v>
      </c>
    </row>
    <row r="6" spans="9:12" x14ac:dyDescent="0.2">
      <c r="I6" s="1" t="s">
        <v>3</v>
      </c>
      <c r="J6" s="16">
        <v>300</v>
      </c>
      <c r="K6" s="16">
        <v>900</v>
      </c>
      <c r="L6" s="16">
        <v>180</v>
      </c>
    </row>
    <row r="7" spans="9:12" x14ac:dyDescent="0.2">
      <c r="I7" s="1" t="s">
        <v>32</v>
      </c>
      <c r="J7" s="17">
        <v>0.15</v>
      </c>
      <c r="K7" s="17">
        <v>0.18</v>
      </c>
      <c r="L7" s="17">
        <v>0.12</v>
      </c>
    </row>
    <row r="8" spans="9:12" x14ac:dyDescent="0.2">
      <c r="J8" s="16"/>
      <c r="K8" s="16"/>
      <c r="L8" s="16"/>
    </row>
    <row r="9" spans="9:12" x14ac:dyDescent="0.2">
      <c r="I9" s="1" t="s">
        <v>0</v>
      </c>
      <c r="J9" s="25">
        <f>+J6/J4</f>
        <v>0.05</v>
      </c>
      <c r="K9" s="25">
        <f t="shared" ref="K9:L9" si="0">+K6/K4</f>
        <v>0.09</v>
      </c>
      <c r="L9" s="19">
        <f t="shared" si="0"/>
        <v>2.2499999999999999E-2</v>
      </c>
    </row>
    <row r="10" spans="9:12" x14ac:dyDescent="0.2">
      <c r="I10" s="1" t="s">
        <v>1</v>
      </c>
      <c r="J10" s="16">
        <f>+J4/J5</f>
        <v>4</v>
      </c>
      <c r="K10" s="16">
        <f t="shared" ref="K10:L10" si="1">+K4/K5</f>
        <v>2</v>
      </c>
      <c r="L10" s="16">
        <f t="shared" si="1"/>
        <v>4</v>
      </c>
    </row>
    <row r="11" spans="9:12" x14ac:dyDescent="0.2">
      <c r="I11" s="1" t="s">
        <v>5</v>
      </c>
      <c r="J11" s="17">
        <f>+J10*J9</f>
        <v>0.2</v>
      </c>
      <c r="K11" s="17">
        <f t="shared" ref="K11:L11" si="2">+K10*K9</f>
        <v>0.18</v>
      </c>
      <c r="L11" s="17">
        <f t="shared" si="2"/>
        <v>0.09</v>
      </c>
    </row>
    <row r="12" spans="9:12" x14ac:dyDescent="0.2">
      <c r="J12" s="16"/>
      <c r="K12" s="16"/>
      <c r="L12" s="16"/>
    </row>
    <row r="13" spans="9:12" x14ac:dyDescent="0.2">
      <c r="I13" s="1" t="s">
        <v>6</v>
      </c>
      <c r="J13" s="16">
        <f>+(J11-J7)*J5</f>
        <v>75.000000000000028</v>
      </c>
      <c r="K13" s="16">
        <f t="shared" ref="K13:L13" si="3">+(K11-K7)*K5</f>
        <v>0</v>
      </c>
      <c r="L13" s="16">
        <f t="shared" si="3"/>
        <v>-60</v>
      </c>
    </row>
    <row r="14" spans="9:12" x14ac:dyDescent="0.2">
      <c r="J14" s="16"/>
      <c r="K14" s="16"/>
      <c r="L14" s="16"/>
    </row>
    <row r="15" spans="9:12" x14ac:dyDescent="0.2">
      <c r="J15" s="16"/>
      <c r="K15" s="16"/>
      <c r="L15" s="16"/>
    </row>
    <row r="16" spans="9:12" x14ac:dyDescent="0.2">
      <c r="I16" s="1" t="s">
        <v>46</v>
      </c>
      <c r="J16" s="17">
        <v>0.17</v>
      </c>
      <c r="K16" s="17">
        <v>0.17</v>
      </c>
      <c r="L16" s="17">
        <v>0.17</v>
      </c>
    </row>
    <row r="17" spans="9:12" x14ac:dyDescent="0.2">
      <c r="J17" s="16"/>
      <c r="K17" s="16"/>
      <c r="L17" s="16"/>
    </row>
    <row r="18" spans="9:12" x14ac:dyDescent="0.2">
      <c r="I18" s="1" t="s">
        <v>47</v>
      </c>
      <c r="J18" s="16" t="str">
        <f>IF(J16-J11&lt;=0,"Rejeita","Aceita")</f>
        <v>Rejeita</v>
      </c>
      <c r="K18" s="16" t="str">
        <f t="shared" ref="K18:L18" si="4">IF(K16-K11&lt;=0,"Rejeita","Aceita")</f>
        <v>Rejeita</v>
      </c>
      <c r="L18" s="16" t="str">
        <f t="shared" si="4"/>
        <v>Aceita</v>
      </c>
    </row>
    <row r="20" spans="9:12" x14ac:dyDescent="0.2">
      <c r="I20" s="1" t="s">
        <v>48</v>
      </c>
      <c r="J20" s="17" t="str">
        <f>IF(J13&gt;0,"Aceita","Rejeita")</f>
        <v>Aceita</v>
      </c>
      <c r="K20" s="17" t="str">
        <f t="shared" ref="K20" si="5">IF(K13&gt;0,"Aceita","Rejeita")</f>
        <v>Rejeita</v>
      </c>
      <c r="L20" s="17" t="s">
        <v>111</v>
      </c>
    </row>
    <row r="24" spans="9:12" ht="12" customHeight="1" x14ac:dyDescent="0.2">
      <c r="I24" s="70" t="s">
        <v>49</v>
      </c>
      <c r="J24" s="70"/>
      <c r="K24" s="70"/>
      <c r="L24" s="70"/>
    </row>
    <row r="25" spans="9:12" x14ac:dyDescent="0.2">
      <c r="I25" s="70"/>
      <c r="J25" s="70"/>
      <c r="K25" s="70"/>
      <c r="L25" s="70"/>
    </row>
    <row r="26" spans="9:12" x14ac:dyDescent="0.2">
      <c r="I26" s="70"/>
      <c r="J26" s="70"/>
      <c r="K26" s="70"/>
      <c r="L26" s="70"/>
    </row>
    <row r="27" spans="9:12" x14ac:dyDescent="0.2">
      <c r="I27" s="70"/>
      <c r="J27" s="70"/>
      <c r="K27" s="70"/>
      <c r="L27" s="70"/>
    </row>
    <row r="28" spans="9:12" x14ac:dyDescent="0.2">
      <c r="I28" s="70"/>
      <c r="J28" s="70"/>
      <c r="K28" s="70"/>
      <c r="L28" s="70"/>
    </row>
    <row r="29" spans="9:12" x14ac:dyDescent="0.2">
      <c r="I29" s="70"/>
      <c r="J29" s="70"/>
      <c r="K29" s="70"/>
      <c r="L29" s="70"/>
    </row>
    <row r="30" spans="9:12" x14ac:dyDescent="0.2">
      <c r="I30" s="70"/>
      <c r="J30" s="70"/>
      <c r="K30" s="70"/>
      <c r="L30" s="70"/>
    </row>
    <row r="31" spans="9:12" x14ac:dyDescent="0.2">
      <c r="I31" s="70"/>
      <c r="J31" s="70"/>
      <c r="K31" s="70"/>
      <c r="L31" s="70"/>
    </row>
    <row r="32" spans="9:12" x14ac:dyDescent="0.2">
      <c r="I32" s="70"/>
      <c r="J32" s="70"/>
      <c r="K32" s="70"/>
      <c r="L32" s="70"/>
    </row>
    <row r="33" spans="9:12" x14ac:dyDescent="0.2">
      <c r="I33" s="70"/>
      <c r="J33" s="70"/>
      <c r="K33" s="70"/>
      <c r="L33" s="70"/>
    </row>
    <row r="34" spans="9:12" x14ac:dyDescent="0.2">
      <c r="I34" s="70"/>
      <c r="J34" s="70"/>
      <c r="K34" s="70"/>
      <c r="L34" s="70"/>
    </row>
    <row r="35" spans="9:12" x14ac:dyDescent="0.2">
      <c r="I35" s="70"/>
      <c r="J35" s="70"/>
      <c r="K35" s="70"/>
      <c r="L35" s="70"/>
    </row>
    <row r="36" spans="9:12" x14ac:dyDescent="0.2">
      <c r="I36" s="70"/>
      <c r="J36" s="70"/>
      <c r="K36" s="70"/>
      <c r="L36" s="70"/>
    </row>
    <row r="37" spans="9:12" x14ac:dyDescent="0.2">
      <c r="I37" s="70"/>
      <c r="J37" s="70"/>
      <c r="K37" s="70"/>
      <c r="L37" s="70"/>
    </row>
    <row r="38" spans="9:12" x14ac:dyDescent="0.2">
      <c r="I38" s="70"/>
      <c r="J38" s="70"/>
      <c r="K38" s="70"/>
      <c r="L38" s="70"/>
    </row>
    <row r="39" spans="9:12" x14ac:dyDescent="0.2">
      <c r="I39" s="70"/>
      <c r="J39" s="70"/>
      <c r="K39" s="70"/>
      <c r="L39" s="70"/>
    </row>
    <row r="40" spans="9:12" x14ac:dyDescent="0.2">
      <c r="I40" s="70"/>
      <c r="J40" s="70"/>
      <c r="K40" s="70"/>
      <c r="L40" s="70"/>
    </row>
  </sheetData>
  <mergeCells count="1">
    <mergeCell ref="I24:L40"/>
  </mergeCells>
  <pageMargins left="0.75" right="0.75" top="1" bottom="1" header="0.5" footer="0.5"/>
  <pageSetup paperSize="9" orientation="portrait" horizontalDpi="4294967292" verticalDpi="4294967292"/>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G2:J28"/>
  <sheetViews>
    <sheetView showGridLines="0" zoomScale="175" zoomScaleNormal="175" zoomScalePageLayoutView="175" workbookViewId="0">
      <selection activeCell="G4" sqref="G4:G6"/>
    </sheetView>
  </sheetViews>
  <sheetFormatPr defaultColWidth="10.875" defaultRowHeight="12.75" x14ac:dyDescent="0.2"/>
  <cols>
    <col min="1" max="6" width="10.875" style="1"/>
    <col min="7" max="7" width="27" style="1" bestFit="1" customWidth="1"/>
    <col min="8" max="9" width="10.875" style="16"/>
    <col min="10" max="16384" width="10.875" style="1"/>
  </cols>
  <sheetData>
    <row r="2" spans="7:10" x14ac:dyDescent="0.2">
      <c r="H2" s="71" t="s">
        <v>31</v>
      </c>
      <c r="I2" s="71"/>
    </row>
    <row r="3" spans="7:10" ht="12.95" x14ac:dyDescent="0.2">
      <c r="H3" s="12" t="s">
        <v>51</v>
      </c>
      <c r="I3" s="12" t="s">
        <v>52</v>
      </c>
    </row>
    <row r="4" spans="7:10" ht="12.95" x14ac:dyDescent="0.2">
      <c r="G4" s="1" t="s">
        <v>2</v>
      </c>
      <c r="H4" s="16">
        <v>1000</v>
      </c>
      <c r="I4" s="16">
        <v>1750</v>
      </c>
    </row>
    <row r="5" spans="7:10" ht="12.95" x14ac:dyDescent="0.2">
      <c r="G5" s="1" t="s">
        <v>4</v>
      </c>
      <c r="H5" s="16">
        <v>500</v>
      </c>
      <c r="I5" s="16">
        <v>500</v>
      </c>
    </row>
    <row r="6" spans="7:10" ht="12.95" x14ac:dyDescent="0.2">
      <c r="G6" s="1" t="s">
        <v>3</v>
      </c>
      <c r="H6" s="16">
        <v>90</v>
      </c>
      <c r="I6" s="16">
        <v>105</v>
      </c>
    </row>
    <row r="7" spans="7:10" x14ac:dyDescent="0.2">
      <c r="G7" s="1" t="s">
        <v>50</v>
      </c>
      <c r="H7" s="16">
        <v>250</v>
      </c>
      <c r="I7" s="16">
        <v>200</v>
      </c>
    </row>
    <row r="9" spans="7:10" ht="12.95" x14ac:dyDescent="0.2">
      <c r="G9" s="1" t="s">
        <v>0</v>
      </c>
      <c r="H9" s="25">
        <f>+H6/H4</f>
        <v>0.09</v>
      </c>
      <c r="I9" s="25">
        <f t="shared" ref="I9" si="0">+I6/I4</f>
        <v>0.06</v>
      </c>
    </row>
    <row r="10" spans="7:10" ht="12.95" x14ac:dyDescent="0.2">
      <c r="G10" s="1" t="s">
        <v>1</v>
      </c>
      <c r="H10" s="16">
        <f>+H4/H5</f>
        <v>2</v>
      </c>
      <c r="I10" s="16">
        <f t="shared" ref="I10" si="1">+I4/I5</f>
        <v>3.5</v>
      </c>
    </row>
    <row r="11" spans="7:10" ht="12.95" x14ac:dyDescent="0.2">
      <c r="G11" s="1" t="s">
        <v>5</v>
      </c>
      <c r="H11" s="17">
        <f>+H10*H9</f>
        <v>0.18</v>
      </c>
      <c r="I11" s="17">
        <f t="shared" ref="I11" si="2">+I10*I9</f>
        <v>0.21</v>
      </c>
    </row>
    <row r="14" spans="7:10" x14ac:dyDescent="0.2">
      <c r="G14" s="72" t="s">
        <v>53</v>
      </c>
      <c r="H14" s="72"/>
      <c r="I14" s="72"/>
      <c r="J14" s="72"/>
    </row>
    <row r="15" spans="7:10" x14ac:dyDescent="0.2">
      <c r="G15" s="72"/>
      <c r="H15" s="72"/>
      <c r="I15" s="72"/>
      <c r="J15" s="72"/>
    </row>
    <row r="16" spans="7:10" x14ac:dyDescent="0.2">
      <c r="G16" s="72"/>
      <c r="H16" s="72"/>
      <c r="I16" s="72"/>
      <c r="J16" s="72"/>
    </row>
    <row r="17" spans="7:10" x14ac:dyDescent="0.2">
      <c r="G17" s="72"/>
      <c r="H17" s="72"/>
      <c r="I17" s="72"/>
      <c r="J17" s="72"/>
    </row>
    <row r="18" spans="7:10" x14ac:dyDescent="0.2">
      <c r="G18" s="72"/>
      <c r="H18" s="72"/>
      <c r="I18" s="72"/>
      <c r="J18" s="72"/>
    </row>
    <row r="19" spans="7:10" x14ac:dyDescent="0.2">
      <c r="G19" s="72"/>
      <c r="H19" s="72"/>
      <c r="I19" s="72"/>
      <c r="J19" s="72"/>
    </row>
    <row r="20" spans="7:10" x14ac:dyDescent="0.2">
      <c r="G20" s="72"/>
      <c r="H20" s="72"/>
      <c r="I20" s="72"/>
      <c r="J20" s="72"/>
    </row>
    <row r="21" spans="7:10" x14ac:dyDescent="0.2">
      <c r="G21" s="72"/>
      <c r="H21" s="72"/>
      <c r="I21" s="72"/>
      <c r="J21" s="72"/>
    </row>
    <row r="22" spans="7:10" x14ac:dyDescent="0.2">
      <c r="G22" s="72"/>
      <c r="H22" s="72"/>
      <c r="I22" s="72"/>
      <c r="J22" s="72"/>
    </row>
    <row r="23" spans="7:10" x14ac:dyDescent="0.2">
      <c r="G23" s="72"/>
      <c r="H23" s="72"/>
      <c r="I23" s="72"/>
      <c r="J23" s="72"/>
    </row>
    <row r="24" spans="7:10" x14ac:dyDescent="0.2">
      <c r="G24" s="72"/>
      <c r="H24" s="72"/>
      <c r="I24" s="72"/>
      <c r="J24" s="72"/>
    </row>
    <row r="25" spans="7:10" x14ac:dyDescent="0.2">
      <c r="G25" s="72"/>
      <c r="H25" s="72"/>
      <c r="I25" s="72"/>
      <c r="J25" s="72"/>
    </row>
    <row r="26" spans="7:10" x14ac:dyDescent="0.2">
      <c r="G26" s="72"/>
      <c r="H26" s="72"/>
      <c r="I26" s="72"/>
      <c r="J26" s="72"/>
    </row>
    <row r="27" spans="7:10" x14ac:dyDescent="0.2">
      <c r="G27" s="72"/>
      <c r="H27" s="72"/>
      <c r="I27" s="72"/>
      <c r="J27" s="72"/>
    </row>
    <row r="28" spans="7:10" x14ac:dyDescent="0.2">
      <c r="G28" s="72"/>
      <c r="H28" s="72"/>
      <c r="I28" s="72"/>
      <c r="J28" s="72"/>
    </row>
  </sheetData>
  <mergeCells count="2">
    <mergeCell ref="H2:I2"/>
    <mergeCell ref="G14:J28"/>
  </mergeCells>
  <pageMargins left="0.75" right="0.75" top="1" bottom="1" header="0.5" footer="0.5"/>
  <pageSetup paperSize="9" orientation="portrait" horizontalDpi="4294967292" verticalDpi="4294967292"/>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16</vt:i4>
      </vt:variant>
    </vt:vector>
  </HeadingPairs>
  <TitlesOfParts>
    <vt:vector size="16" baseType="lpstr">
      <vt:lpstr>11.1</vt:lpstr>
      <vt:lpstr>11.2</vt:lpstr>
      <vt:lpstr>11.3</vt:lpstr>
      <vt:lpstr>11.5</vt:lpstr>
      <vt:lpstr>11.6</vt:lpstr>
      <vt:lpstr>11.7</vt:lpstr>
      <vt:lpstr>11.8</vt:lpstr>
      <vt:lpstr>11.9</vt:lpstr>
      <vt:lpstr>11.10</vt:lpstr>
      <vt:lpstr>11.12</vt:lpstr>
      <vt:lpstr>11.13</vt:lpstr>
      <vt:lpstr>11.14</vt:lpstr>
      <vt:lpstr>11.15</vt:lpstr>
      <vt:lpstr>11.16</vt:lpstr>
      <vt:lpstr>11.18</vt:lpstr>
      <vt:lpstr>11.20</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Bitti , Eugenio</dc:creator>
  <cp:lastModifiedBy>Eugenio Jose Silva Bitti</cp:lastModifiedBy>
  <dcterms:created xsi:type="dcterms:W3CDTF">2015-03-20T03:57:59Z</dcterms:created>
  <dcterms:modified xsi:type="dcterms:W3CDTF">2018-06-26T17:08:30Z</dcterms:modified>
</cp:coreProperties>
</file>