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.user-PC\Dropbox\acadêmicos\graduação\2o semestre 2016 - roni\CONTABILIDADE EMPRESARIAL - MAN\"/>
    </mc:Choice>
  </mc:AlternateContent>
  <bookViews>
    <workbookView xWindow="0" yWindow="0" windowWidth="12000" windowHeight="5010"/>
  </bookViews>
  <sheets>
    <sheet name="BEBIDAS REDON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B67" i="1"/>
  <c r="C32" i="1"/>
  <c r="C33" i="1" s="1"/>
  <c r="D64" i="1"/>
  <c r="B64" i="1"/>
  <c r="D30" i="1"/>
  <c r="D60" i="1"/>
  <c r="D59" i="1"/>
  <c r="B60" i="1"/>
  <c r="B59" i="1"/>
  <c r="D57" i="1"/>
  <c r="F57" i="1" s="1"/>
  <c r="D56" i="1"/>
  <c r="D51" i="1"/>
  <c r="D43" i="1"/>
  <c r="D42" i="1"/>
  <c r="D41" i="1"/>
  <c r="D38" i="1"/>
  <c r="D37" i="1"/>
  <c r="D48" i="1" l="1"/>
  <c r="G48" i="1" s="1"/>
  <c r="F38" i="1"/>
  <c r="F48" i="1" s="1"/>
  <c r="G41" i="1"/>
  <c r="F41" i="1"/>
  <c r="F44" i="1" s="1"/>
  <c r="E56" i="1"/>
  <c r="G56" i="1" s="1"/>
  <c r="F56" i="1"/>
  <c r="E59" i="1"/>
  <c r="G59" i="1"/>
  <c r="F59" i="1"/>
  <c r="G64" i="1"/>
  <c r="G65" i="1" s="1"/>
  <c r="G75" i="1" s="1"/>
  <c r="E42" i="1"/>
  <c r="E51" i="1" s="1"/>
  <c r="E64" i="1" s="1"/>
  <c r="G42" i="1"/>
  <c r="G51" i="1" s="1"/>
  <c r="F42" i="1"/>
  <c r="F51" i="1" s="1"/>
  <c r="E60" i="1"/>
  <c r="G60" i="1" s="1"/>
  <c r="F60" i="1"/>
  <c r="E37" i="1"/>
  <c r="G37" i="1"/>
  <c r="F37" i="1"/>
  <c r="G43" i="1"/>
  <c r="G52" i="1" s="1"/>
  <c r="F43" i="1"/>
  <c r="F52" i="1" s="1"/>
  <c r="E47" i="1"/>
  <c r="D52" i="1"/>
  <c r="E43" i="1"/>
  <c r="E52" i="1" s="1"/>
  <c r="D65" i="1"/>
  <c r="D75" i="1" s="1"/>
  <c r="D58" i="1"/>
  <c r="D61" i="1" s="1"/>
  <c r="D62" i="1" s="1"/>
  <c r="D63" i="1" s="1"/>
  <c r="E57" i="1"/>
  <c r="E38" i="1"/>
  <c r="D67" i="1"/>
  <c r="D47" i="1"/>
  <c r="D49" i="1" s="1"/>
  <c r="D71" i="1" s="1"/>
  <c r="D53" i="1"/>
  <c r="D74" i="1" s="1"/>
  <c r="D39" i="1"/>
  <c r="D44" i="1"/>
  <c r="D76" i="1" l="1"/>
  <c r="G67" i="1"/>
  <c r="G76" i="1" s="1"/>
  <c r="F67" i="1"/>
  <c r="F76" i="1" s="1"/>
  <c r="F86" i="1"/>
  <c r="G86" i="1"/>
  <c r="F47" i="1"/>
  <c r="F49" i="1" s="1"/>
  <c r="F39" i="1"/>
  <c r="G44" i="1"/>
  <c r="E48" i="1"/>
  <c r="E49" i="1" s="1"/>
  <c r="E71" i="1" s="1"/>
  <c r="G38" i="1"/>
  <c r="G39" i="1" s="1"/>
  <c r="E39" i="1"/>
  <c r="G47" i="1"/>
  <c r="G49" i="1" s="1"/>
  <c r="G71" i="1" s="1"/>
  <c r="F53" i="1"/>
  <c r="F74" i="1" s="1"/>
  <c r="F64" i="1"/>
  <c r="F58" i="1"/>
  <c r="F61" i="1" s="1"/>
  <c r="E58" i="1"/>
  <c r="E61" i="1" s="1"/>
  <c r="E62" i="1" s="1"/>
  <c r="E63" i="1" s="1"/>
  <c r="G57" i="1"/>
  <c r="G53" i="1"/>
  <c r="G58" i="1"/>
  <c r="G61" i="1" s="1"/>
  <c r="G62" i="1" s="1"/>
  <c r="G63" i="1" s="1"/>
  <c r="G66" i="1" s="1"/>
  <c r="G68" i="1" s="1"/>
  <c r="E70" i="1"/>
  <c r="E72" i="1" s="1"/>
  <c r="E65" i="1"/>
  <c r="E66" i="1" s="1"/>
  <c r="E68" i="1" s="1"/>
  <c r="E67" i="1"/>
  <c r="E76" i="1" s="1"/>
  <c r="E53" i="1"/>
  <c r="E73" i="1" s="1"/>
  <c r="E86" i="1"/>
  <c r="E44" i="1"/>
  <c r="D73" i="1"/>
  <c r="D77" i="1" s="1"/>
  <c r="D70" i="1"/>
  <c r="D72" i="1" s="1"/>
  <c r="D66" i="1"/>
  <c r="D68" i="1" s="1"/>
  <c r="F65" i="1" l="1"/>
  <c r="F75" i="1"/>
  <c r="G70" i="1"/>
  <c r="G72" i="1" s="1"/>
  <c r="G74" i="1"/>
  <c r="G73" i="1"/>
  <c r="F62" i="1"/>
  <c r="F63" i="1"/>
  <c r="F73" i="1"/>
  <c r="F77" i="1" s="1"/>
  <c r="E75" i="1"/>
  <c r="F71" i="1"/>
  <c r="E74" i="1"/>
  <c r="E77" i="1"/>
  <c r="E78" i="1" s="1"/>
  <c r="E80" i="1" s="1"/>
  <c r="D78" i="1"/>
  <c r="D80" i="1" s="1"/>
  <c r="D82" i="1" s="1"/>
  <c r="D83" i="1" s="1"/>
  <c r="F66" i="1" l="1"/>
  <c r="F68" i="1" s="1"/>
  <c r="F70" i="1"/>
  <c r="F72" i="1" s="1"/>
  <c r="F78" i="1" s="1"/>
  <c r="F80" i="1" s="1"/>
  <c r="G77" i="1"/>
  <c r="G78" i="1" s="1"/>
  <c r="G80" i="1" s="1"/>
  <c r="E89" i="1"/>
  <c r="E82" i="1"/>
  <c r="E83" i="1" s="1"/>
  <c r="E85" i="1" s="1"/>
  <c r="E87" i="1" s="1"/>
  <c r="G89" i="1" l="1"/>
  <c r="G82" i="1"/>
  <c r="G83" i="1" s="1"/>
  <c r="F89" i="1"/>
  <c r="F82" i="1"/>
  <c r="F83" i="1" s="1"/>
  <c r="F85" i="1" s="1"/>
  <c r="F87" i="1" s="1"/>
  <c r="G85" i="1" l="1"/>
  <c r="G87" i="1" s="1"/>
</calcChain>
</file>

<file path=xl/comments1.xml><?xml version="1.0" encoding="utf-8"?>
<comments xmlns="http://schemas.openxmlformats.org/spreadsheetml/2006/main">
  <authors>
    <author>user</author>
  </authors>
  <commentList>
    <comment ref="E35" authorId="0" shapeId="0">
      <text>
        <r>
          <rPr>
            <sz val="9"/>
            <color indexed="81"/>
            <rFont val="Segoe UI"/>
            <family val="2"/>
          </rPr>
          <t>Captação de $4.000 junto a terceiros (com o mesmo custo praticado em 2007) e distribuição de lucros aos sócios = $4.000
Aumento do risco para o sócio por causa do aumento do endividamento, portanto o CO passa de 25% aa para 26% aa</t>
        </r>
      </text>
    </comment>
    <comment ref="F35" authorId="0" shapeId="0">
      <text>
        <r>
          <rPr>
            <sz val="9"/>
            <color indexed="81"/>
            <rFont val="Segoe UI"/>
            <family val="2"/>
          </rPr>
          <t xml:space="preserve">Terceirização da frota (aluguel)
Valor da frota vendida - $5.000
Pagamento de dívidas - $2.000
Distribuição de lucros aos sócios - $3.000
Aumento de custo com a frota (diferença entre o custo do aluguel e o custo do carro próprio) em $800
* os veículos são utilizados na comercialização das bebidas
</t>
        </r>
      </text>
    </comment>
    <comment ref="G35" authorId="0" shapeId="0">
      <text>
        <r>
          <rPr>
            <sz val="9"/>
            <color indexed="81"/>
            <rFont val="Segoe UI"/>
            <family val="2"/>
          </rPr>
          <t>Utilização de medidas de incentivo para a minimização das necessidades de capital de giro
Redução do volume de contas a receber
Redução do volume de estoques
Aumento do volume de contas a paqar
* tudo isso sem afetar as vendas e as margens de lucro
Efeito - REDUÇÃO DO CAPITAL DE GIRO EM $2.000
40% desse valor - quitação de dívidas
60% desse valor - dividendos aos sócios</t>
        </r>
      </text>
    </comment>
    <comment ref="B61" authorId="0" shapeId="0">
      <text>
        <r>
          <rPr>
            <b/>
            <sz val="9"/>
            <color indexed="81"/>
            <rFont val="Segoe UI"/>
            <family val="2"/>
          </rPr>
          <t xml:space="preserve">Lucro operacional bruto (antes do IR/CSSLL)
</t>
        </r>
      </text>
    </comment>
    <comment ref="B63" authorId="0" shapeId="0">
      <text>
        <r>
          <rPr>
            <b/>
            <sz val="9"/>
            <color indexed="81"/>
            <rFont val="Segoe UI"/>
            <family val="2"/>
          </rPr>
          <t xml:space="preserve">Lucro operacional líquido (depois do IR/CSSLL)
</t>
        </r>
      </text>
    </comment>
  </commentList>
</comments>
</file>

<file path=xl/sharedStrings.xml><?xml version="1.0" encoding="utf-8"?>
<sst xmlns="http://schemas.openxmlformats.org/spreadsheetml/2006/main" count="94" uniqueCount="69">
  <si>
    <t>BALANÇOS PATRIMONIAIS</t>
  </si>
  <si>
    <t>DRE – 2007</t>
  </si>
  <si>
    <t>ATIVO</t>
  </si>
  <si>
    <t>Receita bruta de vendas</t>
  </si>
  <si>
    <t>Disponibilidades</t>
  </si>
  <si>
    <t>(-) Tributos e deduções da receita</t>
  </si>
  <si>
    <t>Contas a receber</t>
  </si>
  <si>
    <t>(=) Receita líquida de vendas</t>
  </si>
  <si>
    <t>Estoques</t>
  </si>
  <si>
    <t>(-) Custos dos produtos vendidos</t>
  </si>
  <si>
    <t>Imobilizado</t>
  </si>
  <si>
    <t>(=) Lucro bruto</t>
  </si>
  <si>
    <t>TOTAL DO ATIVO</t>
  </si>
  <si>
    <t>(-) Despesas comerciais</t>
  </si>
  <si>
    <t>(-) Despesas administrativas</t>
  </si>
  <si>
    <t>PASSIVO + PL</t>
  </si>
  <si>
    <t>(-) Despesas financeiras</t>
  </si>
  <si>
    <t>Contas a pagar</t>
  </si>
  <si>
    <t>(=) Lucro antes do IR/CSSL</t>
  </si>
  <si>
    <t>Tributos a pagar</t>
  </si>
  <si>
    <t>(-) IR/CSSL - 40%</t>
  </si>
  <si>
    <t>Financiamentos</t>
  </si>
  <si>
    <t>(=) Lucro líquido</t>
  </si>
  <si>
    <t>Patrimômio líquido</t>
  </si>
  <si>
    <t>TOTAL DO PASS+PL</t>
  </si>
  <si>
    <t>ATIVOS</t>
  </si>
  <si>
    <t>méd 07</t>
  </si>
  <si>
    <t>de giro</t>
  </si>
  <si>
    <t>fixos</t>
  </si>
  <si>
    <t>TOTAIS</t>
  </si>
  <si>
    <t>PASSIVOS + PL</t>
  </si>
  <si>
    <t>operacionais</t>
  </si>
  <si>
    <t>onerosos</t>
  </si>
  <si>
    <t>PL</t>
  </si>
  <si>
    <t>CAPITAL INVESTIDO</t>
  </si>
  <si>
    <t>em giro</t>
  </si>
  <si>
    <t>FONTES DE CAPITAL</t>
  </si>
  <si>
    <t>terceiros</t>
  </si>
  <si>
    <t>sócios</t>
  </si>
  <si>
    <t>DRE</t>
  </si>
  <si>
    <t>ano 07</t>
  </si>
  <si>
    <t>Receita líquida de venda</t>
  </si>
  <si>
    <t>(-) CPV</t>
  </si>
  <si>
    <t>(=) EBIT</t>
  </si>
  <si>
    <t>(-) IR/CSSLL</t>
  </si>
  <si>
    <t>(=) NOPAT</t>
  </si>
  <si>
    <t>(+) Benefício fiscal da dívida</t>
  </si>
  <si>
    <t>(=) LUCRO LÍQUIDO</t>
  </si>
  <si>
    <t>(-) Custo de oportunidade</t>
  </si>
  <si>
    <t xml:space="preserve">(=) EVA® </t>
  </si>
  <si>
    <t>(=) EVA®</t>
  </si>
  <si>
    <t>Margem operacional</t>
  </si>
  <si>
    <t>Giro do investimento</t>
  </si>
  <si>
    <t>ROI</t>
  </si>
  <si>
    <t>Wi</t>
  </si>
  <si>
    <t>We</t>
  </si>
  <si>
    <t>Ki</t>
  </si>
  <si>
    <t>Ke</t>
  </si>
  <si>
    <t>WACC</t>
  </si>
  <si>
    <t xml:space="preserve">MVA® </t>
  </si>
  <si>
    <t>Valor da empresa</t>
  </si>
  <si>
    <t>Valor do PL</t>
  </si>
  <si>
    <t>SIT INIC</t>
  </si>
  <si>
    <t>DEC FIN</t>
  </si>
  <si>
    <t>Variação no valor do PL</t>
  </si>
  <si>
    <t>Dividendos recebidos pelos sócios</t>
  </si>
  <si>
    <t>VARIAÇÃO NA RIQUEZA DOS SÓCIOS</t>
  </si>
  <si>
    <t>DEC INV</t>
  </si>
  <si>
    <t>DEC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</si>
</sst>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left" vertical="center" wrapText="1"/>
    </xf>
    <xf numFmtId="3" fontId="0" fillId="4" borderId="16" xfId="0" applyNumberFormat="1" applyFill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left" vertical="center" wrapText="1"/>
    </xf>
    <xf numFmtId="3" fontId="2" fillId="3" borderId="18" xfId="0" applyNumberFormat="1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left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3" fontId="2" fillId="3" borderId="15" xfId="0" applyNumberFormat="1" applyFont="1" applyFill="1" applyBorder="1" applyAlignment="1">
      <alignment horizontal="left" vertical="center" wrapText="1"/>
    </xf>
    <xf numFmtId="3" fontId="2" fillId="3" borderId="16" xfId="0" applyNumberFormat="1" applyFont="1" applyFill="1" applyBorder="1" applyAlignment="1">
      <alignment horizontal="center" vertical="center" wrapText="1"/>
    </xf>
    <xf numFmtId="3" fontId="2" fillId="4" borderId="15" xfId="0" applyNumberFormat="1" applyFont="1" applyFill="1" applyBorder="1" applyAlignment="1">
      <alignment horizontal="left" vertical="center" wrapText="1"/>
    </xf>
    <xf numFmtId="3" fontId="2" fillId="4" borderId="16" xfId="0" applyNumberFormat="1" applyFont="1" applyFill="1" applyBorder="1" applyAlignment="1">
      <alignment horizontal="center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165" fontId="0" fillId="4" borderId="16" xfId="0" applyNumberFormat="1" applyFill="1" applyBorder="1" applyAlignment="1">
      <alignment horizontal="center" vertical="center" wrapText="1"/>
    </xf>
    <xf numFmtId="3" fontId="0" fillId="4" borderId="13" xfId="0" applyNumberFormat="1" applyFill="1" applyBorder="1" applyAlignment="1">
      <alignment horizontal="left" vertical="center" wrapText="1"/>
    </xf>
    <xf numFmtId="164" fontId="0" fillId="4" borderId="14" xfId="1" applyNumberFormat="1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horizontal="left" vertical="center" wrapText="1"/>
    </xf>
    <xf numFmtId="164" fontId="2" fillId="4" borderId="18" xfId="1" applyNumberFormat="1" applyFont="1" applyFill="1" applyBorder="1" applyAlignment="1">
      <alignment horizontal="center" vertical="center" wrapText="1"/>
    </xf>
    <xf numFmtId="164" fontId="0" fillId="5" borderId="16" xfId="1" applyNumberFormat="1" applyFont="1" applyFill="1" applyBorder="1" applyAlignment="1">
      <alignment horizontal="center" vertical="center" wrapText="1"/>
    </xf>
    <xf numFmtId="3" fontId="2" fillId="5" borderId="17" xfId="0" applyNumberFormat="1" applyFont="1" applyFill="1" applyBorder="1" applyAlignment="1">
      <alignment horizontal="left" vertical="center" wrapText="1"/>
    </xf>
    <xf numFmtId="164" fontId="2" fillId="5" borderId="18" xfId="1" applyNumberFormat="1" applyFont="1" applyFill="1" applyBorder="1" applyAlignment="1">
      <alignment horizontal="center" vertical="center" wrapText="1"/>
    </xf>
    <xf numFmtId="3" fontId="2" fillId="3" borderId="19" xfId="0" applyNumberFormat="1" applyFont="1" applyFill="1" applyBorder="1" applyAlignment="1">
      <alignment horizontal="left" vertical="center" wrapText="1"/>
    </xf>
    <xf numFmtId="3" fontId="2" fillId="3" borderId="20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left" vertical="center" wrapText="1"/>
    </xf>
    <xf numFmtId="3" fontId="0" fillId="3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89"/>
  <sheetViews>
    <sheetView tabSelected="1" workbookViewId="0">
      <selection activeCell="C5" sqref="C5:D10"/>
    </sheetView>
  </sheetViews>
  <sheetFormatPr defaultRowHeight="15" x14ac:dyDescent="0.25"/>
  <cols>
    <col min="1" max="1" width="2" style="1" customWidth="1"/>
    <col min="2" max="2" width="27.5703125" style="1" customWidth="1"/>
    <col min="3" max="4" width="10.7109375" style="1" bestFit="1" customWidth="1"/>
    <col min="5" max="6" width="9.140625" style="1" customWidth="1"/>
    <col min="7" max="16384" width="9.140625" style="1"/>
  </cols>
  <sheetData>
    <row r="2" spans="2:4" ht="15.75" thickBot="1" x14ac:dyDescent="0.3">
      <c r="B2" s="2"/>
      <c r="C2" s="2"/>
      <c r="D2" s="2"/>
    </row>
    <row r="3" spans="2:4" ht="15.75" thickBot="1" x14ac:dyDescent="0.3">
      <c r="B3" s="47" t="s">
        <v>0</v>
      </c>
      <c r="C3" s="48"/>
      <c r="D3" s="49"/>
    </row>
    <row r="4" spans="2:4" ht="15.75" thickBot="1" x14ac:dyDescent="0.3">
      <c r="B4" s="3"/>
      <c r="C4" s="3"/>
      <c r="D4" s="3"/>
    </row>
    <row r="5" spans="2:4" x14ac:dyDescent="0.25">
      <c r="B5" s="4" t="s">
        <v>2</v>
      </c>
      <c r="C5" s="5">
        <v>39082</v>
      </c>
      <c r="D5" s="6">
        <v>39447</v>
      </c>
    </row>
    <row r="6" spans="2:4" x14ac:dyDescent="0.25">
      <c r="B6" s="9" t="s">
        <v>4</v>
      </c>
      <c r="C6" s="10">
        <v>600</v>
      </c>
      <c r="D6" s="11">
        <v>800</v>
      </c>
    </row>
    <row r="7" spans="2:4" x14ac:dyDescent="0.25">
      <c r="B7" s="9" t="s">
        <v>6</v>
      </c>
      <c r="C7" s="13">
        <v>3000</v>
      </c>
      <c r="D7" s="12">
        <v>4000</v>
      </c>
    </row>
    <row r="8" spans="2:4" x14ac:dyDescent="0.25">
      <c r="B8" s="9" t="s">
        <v>8</v>
      </c>
      <c r="C8" s="13">
        <v>2000</v>
      </c>
      <c r="D8" s="12">
        <v>5000</v>
      </c>
    </row>
    <row r="9" spans="2:4" x14ac:dyDescent="0.25">
      <c r="B9" s="9" t="s">
        <v>10</v>
      </c>
      <c r="C9" s="13">
        <v>14400</v>
      </c>
      <c r="D9" s="12">
        <v>20200</v>
      </c>
    </row>
    <row r="10" spans="2:4" ht="15.75" thickBot="1" x14ac:dyDescent="0.3">
      <c r="B10" s="14" t="s">
        <v>12</v>
      </c>
      <c r="C10" s="15">
        <v>20000</v>
      </c>
      <c r="D10" s="16">
        <v>30000</v>
      </c>
    </row>
    <row r="11" spans="2:4" ht="15.75" thickBot="1" x14ac:dyDescent="0.3">
      <c r="B11" s="3"/>
      <c r="C11" s="3"/>
      <c r="D11" s="3"/>
    </row>
    <row r="12" spans="2:4" x14ac:dyDescent="0.25">
      <c r="B12" s="4" t="s">
        <v>15</v>
      </c>
      <c r="C12" s="5">
        <v>39082</v>
      </c>
      <c r="D12" s="6">
        <v>39447</v>
      </c>
    </row>
    <row r="13" spans="2:4" x14ac:dyDescent="0.25">
      <c r="B13" s="9" t="s">
        <v>17</v>
      </c>
      <c r="C13" s="13">
        <v>2000</v>
      </c>
      <c r="D13" s="12">
        <v>4000</v>
      </c>
    </row>
    <row r="14" spans="2:4" x14ac:dyDescent="0.25">
      <c r="B14" s="9" t="s">
        <v>19</v>
      </c>
      <c r="C14" s="13">
        <v>1500</v>
      </c>
      <c r="D14" s="12">
        <v>2500</v>
      </c>
    </row>
    <row r="15" spans="2:4" x14ac:dyDescent="0.25">
      <c r="B15" s="9" t="s">
        <v>21</v>
      </c>
      <c r="C15" s="13">
        <v>7000</v>
      </c>
      <c r="D15" s="12">
        <v>9000</v>
      </c>
    </row>
    <row r="16" spans="2:4" x14ac:dyDescent="0.25">
      <c r="B16" s="9" t="s">
        <v>23</v>
      </c>
      <c r="C16" s="13">
        <v>9500</v>
      </c>
      <c r="D16" s="12">
        <v>14500</v>
      </c>
    </row>
    <row r="17" spans="2:4" ht="15.75" thickBot="1" x14ac:dyDescent="0.3">
      <c r="B17" s="14" t="s">
        <v>24</v>
      </c>
      <c r="C17" s="15">
        <v>20000</v>
      </c>
      <c r="D17" s="16">
        <v>30000</v>
      </c>
    </row>
    <row r="18" spans="2:4" ht="15.75" thickBot="1" x14ac:dyDescent="0.3"/>
    <row r="19" spans="2:4" ht="15.75" thickBot="1" x14ac:dyDescent="0.3">
      <c r="B19" s="50" t="s">
        <v>1</v>
      </c>
      <c r="C19" s="51"/>
    </row>
    <row r="20" spans="2:4" ht="15.75" thickBot="1" x14ac:dyDescent="0.3">
      <c r="B20" s="3"/>
      <c r="C20" s="3"/>
    </row>
    <row r="21" spans="2:4" x14ac:dyDescent="0.25">
      <c r="B21" s="7" t="s">
        <v>3</v>
      </c>
      <c r="C21" s="8">
        <v>125000</v>
      </c>
    </row>
    <row r="22" spans="2:4" ht="25.5" x14ac:dyDescent="0.25">
      <c r="B22" s="9" t="s">
        <v>5</v>
      </c>
      <c r="C22" s="12">
        <v>-25000</v>
      </c>
    </row>
    <row r="23" spans="2:4" x14ac:dyDescent="0.25">
      <c r="B23" s="9" t="s">
        <v>7</v>
      </c>
      <c r="C23" s="12">
        <v>100000</v>
      </c>
    </row>
    <row r="24" spans="2:4" x14ac:dyDescent="0.25">
      <c r="B24" s="9" t="s">
        <v>9</v>
      </c>
      <c r="C24" s="12">
        <v>-70000</v>
      </c>
    </row>
    <row r="25" spans="2:4" x14ac:dyDescent="0.25">
      <c r="B25" s="9" t="s">
        <v>11</v>
      </c>
      <c r="C25" s="12">
        <v>30000</v>
      </c>
    </row>
    <row r="26" spans="2:4" x14ac:dyDescent="0.25">
      <c r="B26" s="9" t="s">
        <v>13</v>
      </c>
      <c r="C26" s="12">
        <v>-19000</v>
      </c>
    </row>
    <row r="27" spans="2:4" x14ac:dyDescent="0.25">
      <c r="B27" s="9" t="s">
        <v>14</v>
      </c>
      <c r="C27" s="12">
        <v>-4900</v>
      </c>
    </row>
    <row r="28" spans="2:4" x14ac:dyDescent="0.25">
      <c r="B28" s="9" t="s">
        <v>16</v>
      </c>
      <c r="C28" s="12">
        <v>-1600</v>
      </c>
    </row>
    <row r="29" spans="2:4" x14ac:dyDescent="0.25">
      <c r="B29" s="9" t="s">
        <v>18</v>
      </c>
      <c r="C29" s="12">
        <v>4500</v>
      </c>
    </row>
    <row r="30" spans="2:4" x14ac:dyDescent="0.25">
      <c r="B30" s="9" t="s">
        <v>20</v>
      </c>
      <c r="C30" s="12">
        <v>-1800</v>
      </c>
      <c r="D30" s="31">
        <f>-C30/C29</f>
        <v>0.4</v>
      </c>
    </row>
    <row r="31" spans="2:4" ht="15.75" thickBot="1" x14ac:dyDescent="0.3">
      <c r="B31" s="17" t="s">
        <v>22</v>
      </c>
      <c r="C31" s="18">
        <v>2700</v>
      </c>
    </row>
    <row r="32" spans="2:4" x14ac:dyDescent="0.25">
      <c r="B32" s="32" t="s">
        <v>48</v>
      </c>
      <c r="C32" s="33">
        <f>-25%*AVERAGE(C16:D16)</f>
        <v>-3000</v>
      </c>
    </row>
    <row r="33" spans="2:7" x14ac:dyDescent="0.25">
      <c r="B33" s="34" t="s">
        <v>49</v>
      </c>
      <c r="C33" s="35">
        <f>SUM(C31:C32)</f>
        <v>-300</v>
      </c>
    </row>
    <row r="35" spans="2:7" x14ac:dyDescent="0.25">
      <c r="D35" s="46" t="s">
        <v>62</v>
      </c>
      <c r="E35" s="46" t="s">
        <v>63</v>
      </c>
      <c r="F35" s="46" t="s">
        <v>67</v>
      </c>
      <c r="G35" s="46" t="s">
        <v>68</v>
      </c>
    </row>
    <row r="36" spans="2:7" x14ac:dyDescent="0.25">
      <c r="B36" s="19" t="s">
        <v>25</v>
      </c>
      <c r="C36" s="20"/>
      <c r="D36" s="20" t="s">
        <v>26</v>
      </c>
      <c r="E36" s="20" t="s">
        <v>26</v>
      </c>
      <c r="F36" s="20" t="s">
        <v>26</v>
      </c>
      <c r="G36" s="20" t="s">
        <v>26</v>
      </c>
    </row>
    <row r="37" spans="2:7" x14ac:dyDescent="0.25">
      <c r="B37" s="21" t="s">
        <v>27</v>
      </c>
      <c r="C37" s="22"/>
      <c r="D37" s="22">
        <f>SUM(C6:D8)/2</f>
        <v>7700</v>
      </c>
      <c r="E37" s="22">
        <f>D37</f>
        <v>7700</v>
      </c>
      <c r="F37" s="22">
        <f>D37</f>
        <v>7700</v>
      </c>
      <c r="G37" s="22">
        <f>D37-1500</f>
        <v>6200</v>
      </c>
    </row>
    <row r="38" spans="2:7" x14ac:dyDescent="0.25">
      <c r="B38" s="21" t="s">
        <v>28</v>
      </c>
      <c r="C38" s="22"/>
      <c r="D38" s="22">
        <f>AVERAGE(C9:D9)</f>
        <v>17300</v>
      </c>
      <c r="E38" s="22">
        <f>D38</f>
        <v>17300</v>
      </c>
      <c r="F38" s="22">
        <f>D38-5000</f>
        <v>12300</v>
      </c>
      <c r="G38" s="22">
        <f>E38-5000</f>
        <v>12300</v>
      </c>
    </row>
    <row r="39" spans="2:7" x14ac:dyDescent="0.25">
      <c r="B39" s="27" t="s">
        <v>29</v>
      </c>
      <c r="C39" s="28"/>
      <c r="D39" s="28">
        <f>SUM(D37:D38)</f>
        <v>25000</v>
      </c>
      <c r="E39" s="28">
        <f>SUM(E37:E38)</f>
        <v>25000</v>
      </c>
      <c r="F39" s="28">
        <f>SUM(F37:F38)</f>
        <v>20000</v>
      </c>
      <c r="G39" s="28">
        <f>SUM(G37:G38)</f>
        <v>18500</v>
      </c>
    </row>
    <row r="40" spans="2:7" x14ac:dyDescent="0.25">
      <c r="B40" s="19" t="s">
        <v>30</v>
      </c>
      <c r="C40" s="20"/>
      <c r="D40" s="20" t="s">
        <v>26</v>
      </c>
      <c r="E40" s="20" t="s">
        <v>26</v>
      </c>
      <c r="F40" s="20" t="s">
        <v>26</v>
      </c>
      <c r="G40" s="20" t="s">
        <v>26</v>
      </c>
    </row>
    <row r="41" spans="2:7" x14ac:dyDescent="0.25">
      <c r="B41" s="21" t="s">
        <v>31</v>
      </c>
      <c r="C41" s="22"/>
      <c r="D41" s="22">
        <f>SUM(C13:D14)/2</f>
        <v>5000</v>
      </c>
      <c r="E41" s="22">
        <f>D41</f>
        <v>5000</v>
      </c>
      <c r="F41" s="22">
        <f>D41</f>
        <v>5000</v>
      </c>
      <c r="G41" s="22">
        <f>D41+500</f>
        <v>5500</v>
      </c>
    </row>
    <row r="42" spans="2:7" x14ac:dyDescent="0.25">
      <c r="B42" s="25" t="s">
        <v>32</v>
      </c>
      <c r="C42" s="26"/>
      <c r="D42" s="26">
        <f>AVERAGE(C15:D15)</f>
        <v>8000</v>
      </c>
      <c r="E42" s="26">
        <f>D42+2000</f>
        <v>10000</v>
      </c>
      <c r="F42" s="26">
        <f>D42-2000</f>
        <v>6000</v>
      </c>
      <c r="G42" s="26">
        <f>D42-2000*40%</f>
        <v>7200</v>
      </c>
    </row>
    <row r="43" spans="2:7" x14ac:dyDescent="0.25">
      <c r="B43" s="25" t="s">
        <v>33</v>
      </c>
      <c r="C43" s="26"/>
      <c r="D43" s="26">
        <f>AVERAGE(C16:D16)</f>
        <v>12000</v>
      </c>
      <c r="E43" s="26">
        <f>D43-2000</f>
        <v>10000</v>
      </c>
      <c r="F43" s="26">
        <f>D43-3000</f>
        <v>9000</v>
      </c>
      <c r="G43" s="26">
        <f>D43-2000*60%</f>
        <v>10800</v>
      </c>
    </row>
    <row r="44" spans="2:7" x14ac:dyDescent="0.25">
      <c r="B44" s="23" t="s">
        <v>29</v>
      </c>
      <c r="C44" s="24"/>
      <c r="D44" s="24">
        <f>SUM(D41:D43)</f>
        <v>25000</v>
      </c>
      <c r="E44" s="24">
        <f>SUM(E41:E43)</f>
        <v>25000</v>
      </c>
      <c r="F44" s="24">
        <f>SUM(F41:F43)</f>
        <v>20000</v>
      </c>
      <c r="G44" s="24">
        <f>SUM(G41:G43)</f>
        <v>23500</v>
      </c>
    </row>
    <row r="46" spans="2:7" x14ac:dyDescent="0.25">
      <c r="B46" s="19" t="s">
        <v>34</v>
      </c>
      <c r="C46" s="20"/>
      <c r="D46" s="20" t="s">
        <v>26</v>
      </c>
      <c r="E46" s="20" t="s">
        <v>26</v>
      </c>
      <c r="F46" s="20" t="s">
        <v>26</v>
      </c>
      <c r="G46" s="20" t="s">
        <v>26</v>
      </c>
    </row>
    <row r="47" spans="2:7" x14ac:dyDescent="0.25">
      <c r="B47" s="21" t="s">
        <v>35</v>
      </c>
      <c r="C47" s="22"/>
      <c r="D47" s="22">
        <f>D37-D41</f>
        <v>2700</v>
      </c>
      <c r="E47" s="22">
        <f>E37-E41</f>
        <v>2700</v>
      </c>
      <c r="F47" s="22">
        <f>F37-F41</f>
        <v>2700</v>
      </c>
      <c r="G47" s="22">
        <f>G37-G41</f>
        <v>700</v>
      </c>
    </row>
    <row r="48" spans="2:7" x14ac:dyDescent="0.25">
      <c r="B48" s="21" t="s">
        <v>28</v>
      </c>
      <c r="C48" s="22"/>
      <c r="D48" s="22">
        <f>D38</f>
        <v>17300</v>
      </c>
      <c r="E48" s="22">
        <f>E38</f>
        <v>17300</v>
      </c>
      <c r="F48" s="22">
        <f>F38</f>
        <v>12300</v>
      </c>
      <c r="G48" s="22">
        <f>D48</f>
        <v>17300</v>
      </c>
    </row>
    <row r="49" spans="2:7" x14ac:dyDescent="0.25">
      <c r="B49" s="23" t="s">
        <v>29</v>
      </c>
      <c r="C49" s="24"/>
      <c r="D49" s="24">
        <f>SUM(D47:D48)</f>
        <v>20000</v>
      </c>
      <c r="E49" s="24">
        <f>SUM(E47:E48)</f>
        <v>20000</v>
      </c>
      <c r="F49" s="24">
        <f>SUM(F47:F48)</f>
        <v>15000</v>
      </c>
      <c r="G49" s="24">
        <f>SUM(G47:G48)</f>
        <v>18000</v>
      </c>
    </row>
    <row r="50" spans="2:7" x14ac:dyDescent="0.25">
      <c r="B50" s="19" t="s">
        <v>36</v>
      </c>
      <c r="C50" s="20"/>
      <c r="D50" s="20" t="s">
        <v>26</v>
      </c>
      <c r="E50" s="20" t="s">
        <v>26</v>
      </c>
      <c r="F50" s="20" t="s">
        <v>26</v>
      </c>
      <c r="G50" s="20" t="s">
        <v>26</v>
      </c>
    </row>
    <row r="51" spans="2:7" x14ac:dyDescent="0.25">
      <c r="B51" s="25" t="s">
        <v>37</v>
      </c>
      <c r="C51" s="26"/>
      <c r="D51" s="26">
        <f>D42</f>
        <v>8000</v>
      </c>
      <c r="E51" s="26">
        <f>E42</f>
        <v>10000</v>
      </c>
      <c r="F51" s="26">
        <f>F42</f>
        <v>6000</v>
      </c>
      <c r="G51" s="26">
        <f>G42</f>
        <v>7200</v>
      </c>
    </row>
    <row r="52" spans="2:7" x14ac:dyDescent="0.25">
      <c r="B52" s="25" t="s">
        <v>38</v>
      </c>
      <c r="C52" s="26"/>
      <c r="D52" s="26">
        <f>D43</f>
        <v>12000</v>
      </c>
      <c r="E52" s="26">
        <f>E43</f>
        <v>10000</v>
      </c>
      <c r="F52" s="26">
        <f>F43</f>
        <v>9000</v>
      </c>
      <c r="G52" s="26">
        <f>G43</f>
        <v>10800</v>
      </c>
    </row>
    <row r="53" spans="2:7" x14ac:dyDescent="0.25">
      <c r="B53" s="23" t="s">
        <v>29</v>
      </c>
      <c r="C53" s="24"/>
      <c r="D53" s="24">
        <f>SUM(D51:D52)</f>
        <v>20000</v>
      </c>
      <c r="E53" s="24">
        <f>SUM(E51:E52)</f>
        <v>20000</v>
      </c>
      <c r="F53" s="24">
        <f>SUM(F51:F52)</f>
        <v>15000</v>
      </c>
      <c r="G53" s="24">
        <f>SUM(G51:G52)</f>
        <v>18000</v>
      </c>
    </row>
    <row r="55" spans="2:7" x14ac:dyDescent="0.25">
      <c r="B55" s="19" t="s">
        <v>39</v>
      </c>
      <c r="C55" s="20"/>
      <c r="D55" s="20" t="s">
        <v>40</v>
      </c>
      <c r="E55" s="20" t="s">
        <v>40</v>
      </c>
      <c r="F55" s="20" t="s">
        <v>40</v>
      </c>
      <c r="G55" s="20" t="s">
        <v>40</v>
      </c>
    </row>
    <row r="56" spans="2:7" x14ac:dyDescent="0.25">
      <c r="B56" s="29" t="s">
        <v>41</v>
      </c>
      <c r="C56" s="30"/>
      <c r="D56" s="30">
        <f>C23</f>
        <v>100000</v>
      </c>
      <c r="E56" s="30">
        <f>D56</f>
        <v>100000</v>
      </c>
      <c r="F56" s="30">
        <f>D56</f>
        <v>100000</v>
      </c>
      <c r="G56" s="30">
        <f>E56</f>
        <v>100000</v>
      </c>
    </row>
    <row r="57" spans="2:7" x14ac:dyDescent="0.25">
      <c r="B57" s="21" t="s">
        <v>42</v>
      </c>
      <c r="C57" s="22"/>
      <c r="D57" s="22">
        <f>C24</f>
        <v>-70000</v>
      </c>
      <c r="E57" s="22">
        <f>D57</f>
        <v>-70000</v>
      </c>
      <c r="F57" s="22">
        <f>D57</f>
        <v>-70000</v>
      </c>
      <c r="G57" s="22">
        <f>E57</f>
        <v>-70000</v>
      </c>
    </row>
    <row r="58" spans="2:7" x14ac:dyDescent="0.25">
      <c r="B58" s="29" t="s">
        <v>11</v>
      </c>
      <c r="C58" s="30"/>
      <c r="D58" s="30">
        <f>SUM(D56:D57)</f>
        <v>30000</v>
      </c>
      <c r="E58" s="30">
        <f>SUM(E56:E57)</f>
        <v>30000</v>
      </c>
      <c r="F58" s="30">
        <f>SUM(F56:F57)</f>
        <v>30000</v>
      </c>
      <c r="G58" s="30">
        <f>SUM(G56:G57)</f>
        <v>30000</v>
      </c>
    </row>
    <row r="59" spans="2:7" x14ac:dyDescent="0.25">
      <c r="B59" s="21" t="str">
        <f>B26</f>
        <v>(-) Despesas comerciais</v>
      </c>
      <c r="C59" s="22"/>
      <c r="D59" s="22">
        <f>C26</f>
        <v>-19000</v>
      </c>
      <c r="E59" s="22">
        <f t="shared" ref="E59:E60" si="0">D59</f>
        <v>-19000</v>
      </c>
      <c r="F59" s="22">
        <f>D59-800</f>
        <v>-19800</v>
      </c>
      <c r="G59" s="22">
        <f>D59</f>
        <v>-19000</v>
      </c>
    </row>
    <row r="60" spans="2:7" x14ac:dyDescent="0.25">
      <c r="B60" s="21" t="str">
        <f>B27</f>
        <v>(-) Despesas administrativas</v>
      </c>
      <c r="C60" s="22"/>
      <c r="D60" s="22">
        <f>C27</f>
        <v>-4900</v>
      </c>
      <c r="E60" s="22">
        <f t="shared" si="0"/>
        <v>-4900</v>
      </c>
      <c r="F60" s="22">
        <f>D60</f>
        <v>-4900</v>
      </c>
      <c r="G60" s="22">
        <f>E60</f>
        <v>-4900</v>
      </c>
    </row>
    <row r="61" spans="2:7" x14ac:dyDescent="0.25">
      <c r="B61" s="29" t="s">
        <v>43</v>
      </c>
      <c r="C61" s="30"/>
      <c r="D61" s="30">
        <f>SUM(D58:D60)</f>
        <v>6100</v>
      </c>
      <c r="E61" s="30">
        <f>SUM(E58:E60)</f>
        <v>6100</v>
      </c>
      <c r="F61" s="30">
        <f>SUM(F58:F60)</f>
        <v>5300</v>
      </c>
      <c r="G61" s="30">
        <f>SUM(G58:G60)</f>
        <v>6100</v>
      </c>
    </row>
    <row r="62" spans="2:7" x14ac:dyDescent="0.25">
      <c r="B62" s="21" t="s">
        <v>44</v>
      </c>
      <c r="C62" s="22"/>
      <c r="D62" s="22">
        <f>-D61*$D$30</f>
        <v>-2440</v>
      </c>
      <c r="E62" s="22">
        <f>-E61*$D$30</f>
        <v>-2440</v>
      </c>
      <c r="F62" s="22">
        <f>-F61*$D$30</f>
        <v>-2120</v>
      </c>
      <c r="G62" s="22">
        <f>-G61*$D$30</f>
        <v>-2440</v>
      </c>
    </row>
    <row r="63" spans="2:7" x14ac:dyDescent="0.25">
      <c r="B63" s="29" t="s">
        <v>45</v>
      </c>
      <c r="C63" s="30"/>
      <c r="D63" s="30">
        <f>SUM(D61:D62)</f>
        <v>3660</v>
      </c>
      <c r="E63" s="30">
        <f>SUM(E61:E62)</f>
        <v>3660</v>
      </c>
      <c r="F63" s="30">
        <f>SUM(F61:F62)</f>
        <v>3180</v>
      </c>
      <c r="G63" s="30">
        <f>SUM(G61:G62)</f>
        <v>3660</v>
      </c>
    </row>
    <row r="64" spans="2:7" x14ac:dyDescent="0.25">
      <c r="B64" s="25" t="str">
        <f>B28</f>
        <v>(-) Despesas financeiras</v>
      </c>
      <c r="C64" s="26"/>
      <c r="D64" s="26">
        <f>C28</f>
        <v>-1600</v>
      </c>
      <c r="E64" s="26">
        <f>D64/D51*E51</f>
        <v>-2000</v>
      </c>
      <c r="F64" s="26">
        <f>D64/D51*F51</f>
        <v>-1200</v>
      </c>
      <c r="G64" s="26">
        <f>D64/D51*G51</f>
        <v>-1440</v>
      </c>
    </row>
    <row r="65" spans="2:7" x14ac:dyDescent="0.25">
      <c r="B65" s="25" t="s">
        <v>46</v>
      </c>
      <c r="C65" s="26"/>
      <c r="D65" s="26">
        <f>-D64*$D$30</f>
        <v>640</v>
      </c>
      <c r="E65" s="26">
        <f>-E64*$D$30</f>
        <v>800</v>
      </c>
      <c r="F65" s="26">
        <f>-F64*$D$30</f>
        <v>480</v>
      </c>
      <c r="G65" s="26">
        <f>-G64*$D$30</f>
        <v>576</v>
      </c>
    </row>
    <row r="66" spans="2:7" x14ac:dyDescent="0.25">
      <c r="B66" s="27" t="s">
        <v>47</v>
      </c>
      <c r="C66" s="28"/>
      <c r="D66" s="28">
        <f>SUM(D63:D65)</f>
        <v>2700</v>
      </c>
      <c r="E66" s="28">
        <f>SUM(E63:E65)</f>
        <v>2460</v>
      </c>
      <c r="F66" s="28">
        <f>SUM(F63:F65)</f>
        <v>2460</v>
      </c>
      <c r="G66" s="28">
        <f>SUM(G63:G65)</f>
        <v>2796</v>
      </c>
    </row>
    <row r="67" spans="2:7" x14ac:dyDescent="0.25">
      <c r="B67" s="25" t="str">
        <f>B32</f>
        <v>(-) Custo de oportunidade</v>
      </c>
      <c r="C67" s="26"/>
      <c r="D67" s="26">
        <f>C32</f>
        <v>-3000</v>
      </c>
      <c r="E67" s="26">
        <f>-E52*26%</f>
        <v>-2600</v>
      </c>
      <c r="F67" s="26">
        <f>D67/D52*F52</f>
        <v>-2250</v>
      </c>
      <c r="G67" s="26">
        <f>D67/D52*G52</f>
        <v>-2700</v>
      </c>
    </row>
    <row r="68" spans="2:7" x14ac:dyDescent="0.25">
      <c r="B68" s="23" t="s">
        <v>50</v>
      </c>
      <c r="C68" s="24"/>
      <c r="D68" s="24">
        <f>SUM(D66:D67)</f>
        <v>-300</v>
      </c>
      <c r="E68" s="24">
        <f>SUM(E66:E67)</f>
        <v>-140</v>
      </c>
      <c r="F68" s="24">
        <f>SUM(F66:F67)</f>
        <v>210</v>
      </c>
      <c r="G68" s="24">
        <f>SUM(G66:G67)</f>
        <v>96</v>
      </c>
    </row>
    <row r="70" spans="2:7" x14ac:dyDescent="0.25">
      <c r="B70" s="37" t="s">
        <v>51</v>
      </c>
      <c r="C70" s="38"/>
      <c r="D70" s="38">
        <f>D63/D56</f>
        <v>3.6600000000000001E-2</v>
      </c>
      <c r="E70" s="38">
        <f>E63/E56</f>
        <v>3.6600000000000001E-2</v>
      </c>
      <c r="F70" s="38">
        <f>F63/F56</f>
        <v>3.1800000000000002E-2</v>
      </c>
      <c r="G70" s="38">
        <f>G63/G56</f>
        <v>3.6600000000000001E-2</v>
      </c>
    </row>
    <row r="71" spans="2:7" x14ac:dyDescent="0.25">
      <c r="B71" s="21" t="s">
        <v>52</v>
      </c>
      <c r="C71" s="36"/>
      <c r="D71" s="36">
        <f>D56/D49</f>
        <v>5</v>
      </c>
      <c r="E71" s="36">
        <f>E56/E49</f>
        <v>5</v>
      </c>
      <c r="F71" s="36">
        <f>F56/F49</f>
        <v>6.666666666666667</v>
      </c>
      <c r="G71" s="36">
        <f>G56/G49</f>
        <v>5.5555555555555554</v>
      </c>
    </row>
    <row r="72" spans="2:7" x14ac:dyDescent="0.25">
      <c r="B72" s="39" t="s">
        <v>53</v>
      </c>
      <c r="C72" s="40"/>
      <c r="D72" s="40">
        <f>D70*D71</f>
        <v>0.183</v>
      </c>
      <c r="E72" s="40">
        <f>E70*E71</f>
        <v>0.183</v>
      </c>
      <c r="F72" s="40">
        <f>F70*F71</f>
        <v>0.21200000000000002</v>
      </c>
      <c r="G72" s="40">
        <f>G70*G71</f>
        <v>0.20333333333333334</v>
      </c>
    </row>
    <row r="73" spans="2:7" x14ac:dyDescent="0.25">
      <c r="B73" s="25" t="s">
        <v>54</v>
      </c>
      <c r="C73" s="41"/>
      <c r="D73" s="41">
        <f>D51/D53</f>
        <v>0.4</v>
      </c>
      <c r="E73" s="41">
        <f>E51/E53</f>
        <v>0.5</v>
      </c>
      <c r="F73" s="41">
        <f>F51/F53</f>
        <v>0.4</v>
      </c>
      <c r="G73" s="41">
        <f>G51/G53</f>
        <v>0.4</v>
      </c>
    </row>
    <row r="74" spans="2:7" x14ac:dyDescent="0.25">
      <c r="B74" s="25" t="s">
        <v>55</v>
      </c>
      <c r="C74" s="41"/>
      <c r="D74" s="41">
        <f>D52/D53</f>
        <v>0.6</v>
      </c>
      <c r="E74" s="41">
        <f>E52/E53</f>
        <v>0.5</v>
      </c>
      <c r="F74" s="41">
        <f>F52/F53</f>
        <v>0.6</v>
      </c>
      <c r="G74" s="41">
        <f>G52/G53</f>
        <v>0.6</v>
      </c>
    </row>
    <row r="75" spans="2:7" x14ac:dyDescent="0.25">
      <c r="B75" s="25" t="s">
        <v>56</v>
      </c>
      <c r="C75" s="41"/>
      <c r="D75" s="41">
        <f>-SUM(D64:D65)/D51</f>
        <v>0.12</v>
      </c>
      <c r="E75" s="41">
        <f>-SUM(E64:E65)/E51</f>
        <v>0.12</v>
      </c>
      <c r="F75" s="41">
        <f>-SUM(F64:F65)/F51</f>
        <v>0.12</v>
      </c>
      <c r="G75" s="41">
        <f>-SUM(G64:G65)/G51</f>
        <v>0.12</v>
      </c>
    </row>
    <row r="76" spans="2:7" x14ac:dyDescent="0.25">
      <c r="B76" s="25" t="s">
        <v>57</v>
      </c>
      <c r="C76" s="41"/>
      <c r="D76" s="41">
        <f>-D67/D52</f>
        <v>0.25</v>
      </c>
      <c r="E76" s="41">
        <f>-E67/E52</f>
        <v>0.26</v>
      </c>
      <c r="F76" s="41">
        <f>-F67/F52</f>
        <v>0.25</v>
      </c>
      <c r="G76" s="41">
        <f>-G67/G52</f>
        <v>0.25</v>
      </c>
    </row>
    <row r="77" spans="2:7" x14ac:dyDescent="0.25">
      <c r="B77" s="42" t="s">
        <v>58</v>
      </c>
      <c r="C77" s="43"/>
      <c r="D77" s="43">
        <f>D73*D75+D74*D76</f>
        <v>0.19800000000000001</v>
      </c>
      <c r="E77" s="43">
        <f>E73*E75+E74*E76</f>
        <v>0.19</v>
      </c>
      <c r="F77" s="43">
        <f>F73*F75+F74*F76</f>
        <v>0.19800000000000001</v>
      </c>
      <c r="G77" s="43">
        <f>G73*G75+G74*G76</f>
        <v>0.19800000000000001</v>
      </c>
    </row>
    <row r="78" spans="2:7" x14ac:dyDescent="0.25">
      <c r="B78" s="23" t="s">
        <v>50</v>
      </c>
      <c r="C78" s="24"/>
      <c r="D78" s="24">
        <f>(D72-D77)*D49</f>
        <v>-300.00000000000028</v>
      </c>
      <c r="E78" s="24">
        <f>(E72-E77)*E49</f>
        <v>-140.00000000000011</v>
      </c>
      <c r="F78" s="24">
        <f>(F72-F77)*F49</f>
        <v>210.0000000000002</v>
      </c>
      <c r="G78" s="24">
        <f>(G72-G77)*G49</f>
        <v>95.999999999999915</v>
      </c>
    </row>
    <row r="80" spans="2:7" x14ac:dyDescent="0.25">
      <c r="B80" s="44" t="s">
        <v>59</v>
      </c>
      <c r="C80" s="45"/>
      <c r="D80" s="45">
        <f>D78/D77</f>
        <v>-1515.1515151515166</v>
      </c>
      <c r="E80" s="45">
        <f>E78/E77</f>
        <v>-736.84210526315849</v>
      </c>
      <c r="F80" s="45">
        <f>F78/F77</f>
        <v>1060.6060606060616</v>
      </c>
      <c r="G80" s="45">
        <f>G78/G77</f>
        <v>484.84848484848442</v>
      </c>
    </row>
    <row r="82" spans="2:7" x14ac:dyDescent="0.25">
      <c r="B82" s="44" t="s">
        <v>60</v>
      </c>
      <c r="C82" s="45"/>
      <c r="D82" s="45">
        <f>D49+D80</f>
        <v>18484.848484848484</v>
      </c>
      <c r="E82" s="45">
        <f>E49+E80</f>
        <v>19263.15789473684</v>
      </c>
      <c r="F82" s="45">
        <f>F49+F80</f>
        <v>16060.606060606062</v>
      </c>
      <c r="G82" s="45">
        <f>G49+G80</f>
        <v>18484.848484848484</v>
      </c>
    </row>
    <row r="83" spans="2:7" x14ac:dyDescent="0.25">
      <c r="B83" s="44" t="s">
        <v>61</v>
      </c>
      <c r="C83" s="45"/>
      <c r="D83" s="45">
        <f>D82-D51</f>
        <v>10484.848484848484</v>
      </c>
      <c r="E83" s="45">
        <f>E82-E51</f>
        <v>9263.1578947368398</v>
      </c>
      <c r="F83" s="45">
        <f>F82-F51</f>
        <v>10060.606060606062</v>
      </c>
      <c r="G83" s="45">
        <f>G82-G51</f>
        <v>11284.848484848484</v>
      </c>
    </row>
    <row r="85" spans="2:7" x14ac:dyDescent="0.25">
      <c r="B85" s="54" t="s">
        <v>64</v>
      </c>
      <c r="C85" s="54"/>
      <c r="D85" s="54"/>
      <c r="E85" s="55">
        <f>E83-D83</f>
        <v>-1221.6905901116443</v>
      </c>
      <c r="F85" s="55">
        <f>F83-D83</f>
        <v>-424.2424242424222</v>
      </c>
      <c r="G85" s="55">
        <f>G83-D83</f>
        <v>800</v>
      </c>
    </row>
    <row r="86" spans="2:7" x14ac:dyDescent="0.25">
      <c r="B86" s="54" t="s">
        <v>65</v>
      </c>
      <c r="C86" s="54"/>
      <c r="D86" s="54"/>
      <c r="E86" s="55">
        <f>D52-E52</f>
        <v>2000</v>
      </c>
      <c r="F86" s="55">
        <f>D52-F52</f>
        <v>3000</v>
      </c>
      <c r="G86" s="55">
        <f>D52-G52</f>
        <v>1200</v>
      </c>
    </row>
    <row r="87" spans="2:7" x14ac:dyDescent="0.25">
      <c r="B87" s="52" t="s">
        <v>66</v>
      </c>
      <c r="C87" s="52"/>
      <c r="D87" s="52"/>
      <c r="E87" s="53">
        <f>SUM(E85:E86)</f>
        <v>778.30940988835573</v>
      </c>
      <c r="F87" s="53">
        <f>SUM(F85:F86)</f>
        <v>2575.7575757575778</v>
      </c>
      <c r="G87" s="53">
        <f>SUM(G85:G86)</f>
        <v>2000</v>
      </c>
    </row>
    <row r="89" spans="2:7" x14ac:dyDescent="0.25">
      <c r="B89" s="52" t="s">
        <v>66</v>
      </c>
      <c r="C89" s="52"/>
      <c r="D89" s="52"/>
      <c r="E89" s="53">
        <f>E80-D80</f>
        <v>778.30940988835812</v>
      </c>
      <c r="F89" s="53">
        <f>F80-D80</f>
        <v>2575.7575757575783</v>
      </c>
      <c r="G89" s="53">
        <f>G80-D80</f>
        <v>2000.0000000000009</v>
      </c>
    </row>
  </sheetData>
  <mergeCells count="6">
    <mergeCell ref="B89:D89"/>
    <mergeCell ref="B3:D3"/>
    <mergeCell ref="B19:C19"/>
    <mergeCell ref="B86:D86"/>
    <mergeCell ref="B85:D85"/>
    <mergeCell ref="B87:D87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BEBIDAS REDONDA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2016-10-20T16:10:12Z</dcterms:created>
  <dcterms:modified xsi:type="dcterms:W3CDTF">2016-10-21T17:49:25Z</dcterms:modified>
</cp:coreProperties>
</file>