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0_ncr:8100000_{42AB19D8-3971-43B8-95A8-5D1FE1960E41}" xr6:coauthVersionLast="33" xr6:coauthVersionMax="33" xr10:uidLastSave="{00000000-0000-0000-0000-000000000000}"/>
  <bookViews>
    <workbookView xWindow="0" yWindow="0" windowWidth="19200" windowHeight="8820" activeTab="3" xr2:uid="{00000000-000D-0000-FFFF-FFFF00000000}"/>
  </bookViews>
  <sheets>
    <sheet name="DEMONSTRAÇÕES" sheetId="1" r:id="rId1"/>
    <sheet name="LANÇAMENTOS" sheetId="4" r:id="rId2"/>
    <sheet name="RAZONETES" sheetId="5" r:id="rId3"/>
    <sheet name="DFC" sheetId="3" r:id="rId4"/>
    <sheet name="Plan2" sheetId="2" r:id="rId5"/>
  </sheets>
  <calcPr calcId="162913"/>
</workbook>
</file>

<file path=xl/calcChain.xml><?xml version="1.0" encoding="utf-8"?>
<calcChain xmlns="http://schemas.openxmlformats.org/spreadsheetml/2006/main">
  <c r="B8" i="5" l="1"/>
  <c r="G14" i="5" l="1"/>
  <c r="B14" i="5"/>
  <c r="F5" i="5"/>
  <c r="J6" i="5"/>
  <c r="K46" i="5"/>
  <c r="J46" i="5" s="1"/>
  <c r="G41" i="5"/>
  <c r="G32" i="5"/>
  <c r="C32" i="5"/>
  <c r="G24" i="5"/>
  <c r="K23" i="5"/>
  <c r="C23" i="5"/>
  <c r="J14" i="5"/>
  <c r="D17" i="4" l="1"/>
  <c r="D5" i="4"/>
  <c r="C45" i="1"/>
  <c r="C55" i="1" s="1"/>
  <c r="C41" i="1"/>
  <c r="C40" i="1"/>
  <c r="C39" i="1"/>
  <c r="C37" i="1"/>
  <c r="C33" i="1"/>
  <c r="C46" i="1" s="1"/>
  <c r="C32" i="1"/>
  <c r="C31" i="1"/>
  <c r="C29" i="1"/>
  <c r="C34" i="1" l="1"/>
  <c r="D7" i="4"/>
  <c r="D12" i="4" s="1"/>
  <c r="G17" i="1"/>
  <c r="G5" i="1"/>
  <c r="D20" i="1"/>
  <c r="C20" i="1"/>
  <c r="D10" i="1"/>
  <c r="C10" i="1"/>
  <c r="C28" i="1" s="1"/>
  <c r="C30" i="1" s="1"/>
  <c r="C54" i="1" l="1"/>
  <c r="C52" i="1"/>
  <c r="C58" i="1" s="1"/>
  <c r="C53" i="1"/>
  <c r="D13" i="4"/>
  <c r="D14" i="4" s="1"/>
  <c r="G7" i="1"/>
  <c r="G12" i="1" s="1"/>
  <c r="G13" i="1" s="1"/>
  <c r="G14" i="1" s="1"/>
  <c r="C36" i="1"/>
  <c r="D18" i="4" l="1"/>
  <c r="D20" i="4" s="1"/>
  <c r="G18" i="1"/>
  <c r="G20" i="1" s="1"/>
  <c r="C22" i="1"/>
  <c r="C26" i="1" s="1"/>
  <c r="C50" i="1"/>
  <c r="C38" i="1"/>
  <c r="C42" i="1" s="1"/>
  <c r="C43" i="1" l="1"/>
  <c r="C44" i="1" s="1"/>
  <c r="C49" i="1" l="1"/>
  <c r="C51" i="1" s="1"/>
  <c r="C60" i="1" s="1"/>
  <c r="C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Bruna Toloti de Oliveira</author>
  </authors>
  <commentList>
    <comment ref="D6" authorId="0" shapeId="0" xr:uid="{38CA9A43-2FFD-4086-82F3-61F90E9C60AF}">
      <text>
        <r>
          <rPr>
            <b/>
            <sz val="9"/>
            <color indexed="81"/>
            <rFont val="Tahoma"/>
            <family val="2"/>
          </rPr>
          <t>CMV=Estoque inicial+Compras+Frete Compras-ICMS Compras-Estoque final</t>
        </r>
      </text>
    </comment>
    <comment ref="D17" authorId="0" shapeId="0" xr:uid="{01BB3F9E-504C-4D36-89E7-CC09D4475293}">
      <text>
        <r>
          <rPr>
            <b/>
            <sz val="9"/>
            <color indexed="81"/>
            <rFont val="Tahoma"/>
            <family val="2"/>
          </rPr>
          <t>Capital+Reservas de Lucros do Segundo Semestre de 2016</t>
        </r>
      </text>
    </comment>
  </commentList>
</comments>
</file>

<file path=xl/sharedStrings.xml><?xml version="1.0" encoding="utf-8"?>
<sst xmlns="http://schemas.openxmlformats.org/spreadsheetml/2006/main" count="189" uniqueCount="118">
  <si>
    <t>CIA PELOTA - BALANÇO PATRIMONIAL</t>
  </si>
  <si>
    <t>ATIVO</t>
  </si>
  <si>
    <t>Disponibilidades</t>
  </si>
  <si>
    <t>Contas a receber de clientes</t>
  </si>
  <si>
    <t>Estoques de mercadorias</t>
  </si>
  <si>
    <t>ICMS a recuperar</t>
  </si>
  <si>
    <t>Veículos</t>
  </si>
  <si>
    <t>(-) Depreciação acumulada</t>
  </si>
  <si>
    <t>TOTAL DO ATIVO</t>
  </si>
  <si>
    <t>PASSIVO + PL</t>
  </si>
  <si>
    <t>Fornecedores a pagar</t>
  </si>
  <si>
    <t>Contas a pagar</t>
  </si>
  <si>
    <t>ICMS a pagar</t>
  </si>
  <si>
    <t>IR/CSSLL a pagar</t>
  </si>
  <si>
    <t>Empréstimos a pagar</t>
  </si>
  <si>
    <t>Capital social</t>
  </si>
  <si>
    <t>Reservas de lucros</t>
  </si>
  <si>
    <t>TOTAL DO PASSIVO+PL</t>
  </si>
  <si>
    <t>Dividendos a pagar</t>
  </si>
  <si>
    <t>DEMONSTRAÇÃO DO RESULTADO - 2º TRIM 2016</t>
  </si>
  <si>
    <t>Receita bruta de vendas</t>
  </si>
  <si>
    <t>(-) ICMS sobre venda</t>
  </si>
  <si>
    <t>(=) Receita líquida de venda</t>
  </si>
  <si>
    <t>(-) CMV</t>
  </si>
  <si>
    <t>(=) Lucro bruto</t>
  </si>
  <si>
    <t>(-) Despesas operacionais</t>
  </si>
  <si>
    <t>(-) Despesas com fretes</t>
  </si>
  <si>
    <t>(-) Despesa de depreciação</t>
  </si>
  <si>
    <t>(-) Despesas financeiras</t>
  </si>
  <si>
    <t>(=) LAIR/CSSLL</t>
  </si>
  <si>
    <t>(-) IR/CSSLL</t>
  </si>
  <si>
    <t>(=) LUCRO LÍQUIDO</t>
  </si>
  <si>
    <t>DMPL - 2º TRIM 2016</t>
  </si>
  <si>
    <t>Saldo inicial do PL</t>
  </si>
  <si>
    <t>(+/-) Resultado do exercício</t>
  </si>
  <si>
    <t>(-) Dividendos propostos</t>
  </si>
  <si>
    <t>Saldo final do PL</t>
  </si>
  <si>
    <t>ROE (% AO TRIMESTRE)</t>
  </si>
  <si>
    <t>Custo de oportunidade (% ao trim)</t>
  </si>
  <si>
    <t xml:space="preserve">EVA® </t>
  </si>
  <si>
    <t>Ativos totais médios</t>
  </si>
  <si>
    <t>Passivos operac médios</t>
  </si>
  <si>
    <t>Capital investido médio</t>
  </si>
  <si>
    <t>Empréstimos</t>
  </si>
  <si>
    <t>Dividendos</t>
  </si>
  <si>
    <t>PL</t>
  </si>
  <si>
    <t>TOTAL</t>
  </si>
  <si>
    <t>(=) EBIT</t>
  </si>
  <si>
    <t>(=) NOPAT</t>
  </si>
  <si>
    <t>(-) Despesas financeiras Líquidas</t>
  </si>
  <si>
    <t>(-) Custo de oportunidade</t>
  </si>
  <si>
    <t>(=) EVA®</t>
  </si>
  <si>
    <t>Margem operacional</t>
  </si>
  <si>
    <t>Giro do investimento</t>
  </si>
  <si>
    <t>ROI</t>
  </si>
  <si>
    <t>Peso da dívida</t>
  </si>
  <si>
    <t>Peso dos dividendos</t>
  </si>
  <si>
    <t>Peso do PL</t>
  </si>
  <si>
    <t>Custo da dívida</t>
  </si>
  <si>
    <t>Custo dos dividendos</t>
  </si>
  <si>
    <t>Custo de oportunidade</t>
  </si>
  <si>
    <t>CUSTO MÉDIO PONDERADO</t>
  </si>
  <si>
    <t>Clientes</t>
  </si>
  <si>
    <t>Estoques</t>
  </si>
  <si>
    <t>si</t>
  </si>
  <si>
    <t>1b</t>
  </si>
  <si>
    <t>1a</t>
  </si>
  <si>
    <t>3c</t>
  </si>
  <si>
    <t>2b</t>
  </si>
  <si>
    <t>3a</t>
  </si>
  <si>
    <t>2a</t>
  </si>
  <si>
    <t>5b</t>
  </si>
  <si>
    <t>Deprec. Acum.</t>
  </si>
  <si>
    <t>ICMS a Recup.</t>
  </si>
  <si>
    <t>f</t>
  </si>
  <si>
    <t>Forncedores a pg</t>
  </si>
  <si>
    <t>Contas a pg</t>
  </si>
  <si>
    <t>3d</t>
  </si>
  <si>
    <t>3b</t>
  </si>
  <si>
    <t>IR/CSLL a pagar</t>
  </si>
  <si>
    <t>Dividendos a pg</t>
  </si>
  <si>
    <t>5a</t>
  </si>
  <si>
    <t>Capital Social</t>
  </si>
  <si>
    <t>Reservas</t>
  </si>
  <si>
    <t>Resultado</t>
  </si>
  <si>
    <t>DRE - Terceiro Trimestre de 2016</t>
  </si>
  <si>
    <t>(-) Despesas com frete</t>
  </si>
  <si>
    <t>(-) Despesas Operacionais</t>
  </si>
  <si>
    <t>(-) Despesas com depreciações</t>
  </si>
  <si>
    <t>(-) Despesas Financeiras</t>
  </si>
  <si>
    <t>(=) Lucro antes do IR/CSLL</t>
  </si>
  <si>
    <t>(-) IR/CSLL</t>
  </si>
  <si>
    <t>(=) Lucro líquido</t>
  </si>
  <si>
    <t>DMPL - Terceiro Trimestre de 2016</t>
  </si>
  <si>
    <t>(+) Resultado do período</t>
  </si>
  <si>
    <t>(-) Lucros distribuídos aos sócios</t>
  </si>
  <si>
    <t>(=) Saldo final do PL</t>
  </si>
  <si>
    <t>DFC - Terceiro Trismestre de 2016</t>
  </si>
  <si>
    <t>FLUXO DE CAIXA DAS OPERAÇÕES</t>
  </si>
  <si>
    <t>Lucro líquido do período</t>
  </si>
  <si>
    <t>(+) Depreciação do período</t>
  </si>
  <si>
    <t>(+) Despesa financeira</t>
  </si>
  <si>
    <t>(=) Lucro com efeito no caixa das operações</t>
  </si>
  <si>
    <t>(+/-) Variação em contas a receber</t>
  </si>
  <si>
    <t>(+/-) Variação em estoques</t>
  </si>
  <si>
    <t>(+/-) Variação em fornecedores</t>
  </si>
  <si>
    <t>(+/-) Variação em contas a pagar</t>
  </si>
  <si>
    <t>(+/-) Variação em IR/CSLL a pagar</t>
  </si>
  <si>
    <t>(+/-) Variação em ICMS a recuperar</t>
  </si>
  <si>
    <t>(+/-) Variação em ICMS a pagar</t>
  </si>
  <si>
    <t>FLUXO DE CAIXA DE INVESTIMENTOS</t>
  </si>
  <si>
    <t>(+/-) Variações no imobilizado</t>
  </si>
  <si>
    <t>FLUXO DE CAIXA DE FINANCIAMENTOS</t>
  </si>
  <si>
    <t>(+/-) Variação em Empréstimos</t>
  </si>
  <si>
    <t>(+/-) Variação em dividendos a pagar</t>
  </si>
  <si>
    <t>FLUXO DE CAIXA LÍQUIDO</t>
  </si>
  <si>
    <t>Saldo inicial de caixa</t>
  </si>
  <si>
    <t>Saldo final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</si>
</sst>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#,##0_ ;[Red]\-#,##0\ 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0">
    <xf numFmtId="0" fontId="0" fillId="0" borderId="0" xfId="0"/>
    <xf numFmtId="0" fontId="0" fillId="5" borderId="0" xfId="0" applyFill="1"/>
    <xf numFmtId="0" fontId="2" fillId="4" borderId="4" xfId="0" applyFont="1" applyFill="1" applyBorder="1" applyAlignment="1">
      <alignment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3" fontId="1" fillId="6" borderId="7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3" fontId="1" fillId="9" borderId="5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3" fontId="2" fillId="10" borderId="0" xfId="0" applyNumberFormat="1" applyFont="1" applyFill="1" applyBorder="1" applyAlignment="1">
      <alignment horizontal="center" vertical="center" wrapText="1"/>
    </xf>
    <xf numFmtId="3" fontId="2" fillId="10" borderId="5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center" wrapText="1"/>
    </xf>
    <xf numFmtId="3" fontId="1" fillId="8" borderId="0" xfId="0" applyNumberFormat="1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vertical="center" wrapText="1"/>
    </xf>
    <xf numFmtId="3" fontId="1" fillId="11" borderId="0" xfId="0" applyNumberFormat="1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vertical="center" wrapText="1"/>
    </xf>
    <xf numFmtId="3" fontId="1" fillId="11" borderId="5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vertical="center" wrapText="1"/>
    </xf>
    <xf numFmtId="0" fontId="5" fillId="7" borderId="0" xfId="0" applyFont="1" applyFill="1"/>
    <xf numFmtId="165" fontId="5" fillId="7" borderId="0" xfId="1" applyNumberFormat="1" applyFont="1" applyFill="1" applyAlignment="1">
      <alignment horizontal="center"/>
    </xf>
    <xf numFmtId="0" fontId="5" fillId="5" borderId="0" xfId="0" applyFont="1" applyFill="1"/>
    <xf numFmtId="164" fontId="5" fillId="7" borderId="0" xfId="1" applyNumberFormat="1" applyFont="1" applyFill="1" applyAlignment="1">
      <alignment horizontal="center"/>
    </xf>
    <xf numFmtId="0" fontId="5" fillId="10" borderId="0" xfId="0" applyFont="1" applyFill="1"/>
    <xf numFmtId="0" fontId="4" fillId="8" borderId="0" xfId="0" applyFont="1" applyFill="1"/>
    <xf numFmtId="0" fontId="8" fillId="9" borderId="0" xfId="0" applyFont="1" applyFill="1" applyBorder="1" applyAlignment="1">
      <alignment vertical="center" wrapText="1"/>
    </xf>
    <xf numFmtId="3" fontId="8" fillId="9" borderId="0" xfId="0" applyNumberFormat="1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vertical="center" wrapText="1"/>
    </xf>
    <xf numFmtId="3" fontId="8" fillId="10" borderId="0" xfId="0" applyNumberFormat="1" applyFont="1" applyFill="1" applyBorder="1" applyAlignment="1">
      <alignment horizontal="center" vertical="center" wrapText="1"/>
    </xf>
    <xf numFmtId="0" fontId="9" fillId="10" borderId="0" xfId="0" applyFont="1" applyFill="1"/>
    <xf numFmtId="0" fontId="1" fillId="9" borderId="1" xfId="0" applyFont="1" applyFill="1" applyBorder="1" applyAlignment="1">
      <alignment horizontal="left" vertical="center" wrapText="1"/>
    </xf>
    <xf numFmtId="3" fontId="1" fillId="9" borderId="3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/>
    <xf numFmtId="3" fontId="10" fillId="12" borderId="7" xfId="0" applyNumberFormat="1" applyFont="1" applyFill="1" applyBorder="1" applyAlignment="1">
      <alignment horizontal="center"/>
    </xf>
    <xf numFmtId="164" fontId="2" fillId="9" borderId="0" xfId="1" applyNumberFormat="1" applyFont="1" applyFill="1" applyBorder="1" applyAlignment="1">
      <alignment horizontal="center" vertical="center" wrapText="1"/>
    </xf>
    <xf numFmtId="4" fontId="2" fillId="9" borderId="0" xfId="0" applyNumberFormat="1" applyFont="1" applyFill="1" applyBorder="1" applyAlignment="1">
      <alignment horizontal="center" vertical="center" wrapText="1"/>
    </xf>
    <xf numFmtId="10" fontId="1" fillId="11" borderId="0" xfId="1" applyNumberFormat="1" applyFont="1" applyFill="1" applyBorder="1" applyAlignment="1">
      <alignment horizontal="center" vertical="center" wrapText="1"/>
    </xf>
    <xf numFmtId="164" fontId="2" fillId="10" borderId="0" xfId="1" applyNumberFormat="1" applyFont="1" applyFill="1" applyBorder="1" applyAlignment="1">
      <alignment horizontal="center" vertical="center" wrapText="1"/>
    </xf>
    <xf numFmtId="10" fontId="1" fillId="8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5" borderId="0" xfId="0" applyNumberFormat="1" applyFill="1"/>
    <xf numFmtId="166" fontId="11" fillId="5" borderId="4" xfId="0" applyNumberFormat="1" applyFont="1" applyFill="1" applyBorder="1" applyAlignment="1">
      <alignment horizontal="left" vertical="center" wrapText="1"/>
    </xf>
    <xf numFmtId="166" fontId="11" fillId="5" borderId="0" xfId="0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horizontal="center" vertical="center" wrapText="1"/>
    </xf>
    <xf numFmtId="166" fontId="12" fillId="5" borderId="4" xfId="0" applyNumberFormat="1" applyFont="1" applyFill="1" applyBorder="1" applyAlignment="1">
      <alignment horizontal="left" vertical="center" wrapText="1"/>
    </xf>
    <xf numFmtId="166" fontId="12" fillId="5" borderId="0" xfId="0" applyNumberFormat="1" applyFont="1" applyFill="1" applyBorder="1" applyAlignment="1">
      <alignment horizontal="center" vertical="center" wrapText="1"/>
    </xf>
    <xf numFmtId="166" fontId="12" fillId="5" borderId="5" xfId="0" applyNumberFormat="1" applyFont="1" applyFill="1" applyBorder="1" applyAlignment="1">
      <alignment horizontal="center" vertical="center" wrapText="1"/>
    </xf>
    <xf numFmtId="166" fontId="11" fillId="5" borderId="6" xfId="0" applyNumberFormat="1" applyFont="1" applyFill="1" applyBorder="1" applyAlignment="1">
      <alignment horizontal="left" vertical="center" wrapText="1"/>
    </xf>
    <xf numFmtId="166" fontId="12" fillId="5" borderId="8" xfId="0" applyNumberFormat="1" applyFont="1" applyFill="1" applyBorder="1" applyAlignment="1">
      <alignment horizontal="center" vertical="center" wrapText="1"/>
    </xf>
    <xf numFmtId="166" fontId="11" fillId="5" borderId="7" xfId="0" applyNumberFormat="1" applyFont="1" applyFill="1" applyBorder="1" applyAlignment="1">
      <alignment horizontal="center" vertical="center" wrapText="1"/>
    </xf>
    <xf numFmtId="166" fontId="11" fillId="5" borderId="0" xfId="0" applyNumberFormat="1" applyFont="1" applyFill="1" applyBorder="1" applyAlignment="1">
      <alignment horizontal="left" vertical="center" wrapText="1"/>
    </xf>
    <xf numFmtId="166" fontId="12" fillId="5" borderId="0" xfId="0" applyNumberFormat="1" applyFont="1" applyFill="1" applyBorder="1" applyAlignment="1">
      <alignment horizontal="left" vertical="center" wrapText="1"/>
    </xf>
    <xf numFmtId="166" fontId="11" fillId="5" borderId="10" xfId="0" applyNumberFormat="1" applyFont="1" applyFill="1" applyBorder="1" applyAlignment="1">
      <alignment horizontal="left" vertical="center" wrapText="1"/>
    </xf>
    <xf numFmtId="166" fontId="11" fillId="5" borderId="9" xfId="0" applyNumberFormat="1" applyFont="1" applyFill="1" applyBorder="1" applyAlignment="1">
      <alignment horizontal="center" vertical="center" wrapText="1"/>
    </xf>
    <xf numFmtId="166" fontId="11" fillId="5" borderId="11" xfId="0" applyNumberFormat="1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left" vertical="center" wrapText="1"/>
    </xf>
    <xf numFmtId="166" fontId="13" fillId="5" borderId="2" xfId="0" applyNumberFormat="1" applyFont="1" applyFill="1" applyBorder="1" applyAlignment="1">
      <alignment horizontal="center" vertical="center" wrapText="1"/>
    </xf>
    <xf numFmtId="166" fontId="13" fillId="5" borderId="3" xfId="0" applyNumberFormat="1" applyFont="1" applyFill="1" applyBorder="1" applyAlignment="1">
      <alignment horizontal="center" vertical="center" wrapText="1"/>
    </xf>
    <xf numFmtId="166" fontId="13" fillId="5" borderId="6" xfId="0" applyNumberFormat="1" applyFont="1" applyFill="1" applyBorder="1" applyAlignment="1">
      <alignment horizontal="left" vertical="center" wrapText="1"/>
    </xf>
    <xf numFmtId="166" fontId="13" fillId="5" borderId="8" xfId="0" applyNumberFormat="1" applyFont="1" applyFill="1" applyBorder="1" applyAlignment="1">
      <alignment horizontal="center" vertical="center" wrapText="1"/>
    </xf>
    <xf numFmtId="166" fontId="13" fillId="5" borderId="7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13" fillId="5" borderId="0" xfId="0" applyNumberFormat="1" applyFont="1" applyFill="1" applyBorder="1" applyAlignment="1">
      <alignment horizontal="left" vertical="center" wrapText="1"/>
    </xf>
    <xf numFmtId="166" fontId="13" fillId="5" borderId="0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 vertical="center" wrapText="1"/>
    </xf>
    <xf numFmtId="166" fontId="11" fillId="5" borderId="2" xfId="0" applyNumberFormat="1" applyFont="1" applyFill="1" applyBorder="1" applyAlignment="1">
      <alignment horizontal="center" vertical="center" wrapText="1"/>
    </xf>
    <xf numFmtId="166" fontId="11" fillId="5" borderId="3" xfId="0" applyNumberFormat="1" applyFont="1" applyFill="1" applyBorder="1" applyAlignment="1">
      <alignment horizontal="center" vertical="center" wrapText="1"/>
    </xf>
    <xf numFmtId="166" fontId="12" fillId="5" borderId="4" xfId="0" applyNumberFormat="1" applyFont="1" applyFill="1" applyBorder="1" applyAlignment="1">
      <alignment horizontal="left" vertical="center" wrapText="1"/>
    </xf>
    <xf numFmtId="166" fontId="12" fillId="5" borderId="0" xfId="0" applyNumberFormat="1" applyFont="1" applyFill="1" applyBorder="1" applyAlignment="1">
      <alignment horizontal="left" vertical="center" wrapText="1"/>
    </xf>
    <xf numFmtId="166" fontId="12" fillId="5" borderId="4" xfId="0" applyNumberFormat="1" applyFont="1" applyFill="1" applyBorder="1" applyAlignment="1">
      <alignment horizontal="left" vertical="center"/>
    </xf>
    <xf numFmtId="166" fontId="12" fillId="5" borderId="0" xfId="0" applyNumberFormat="1" applyFont="1" applyFill="1" applyBorder="1" applyAlignment="1">
      <alignment horizontal="left" vertical="center"/>
    </xf>
    <xf numFmtId="166" fontId="11" fillId="5" borderId="10" xfId="0" applyNumberFormat="1" applyFont="1" applyFill="1" applyBorder="1" applyAlignment="1">
      <alignment horizontal="center" vertical="center" wrapText="1"/>
    </xf>
    <xf numFmtId="166" fontId="11" fillId="5" borderId="9" xfId="0" applyNumberFormat="1" applyFont="1" applyFill="1" applyBorder="1" applyAlignment="1">
      <alignment horizontal="center" vertical="center" wrapText="1"/>
    </xf>
    <xf numFmtId="166" fontId="11" fillId="5" borderId="11" xfId="0" applyNumberFormat="1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left" vertical="center" wrapText="1"/>
    </xf>
    <xf numFmtId="166" fontId="11" fillId="5" borderId="0" xfId="0" applyNumberFormat="1" applyFont="1" applyFill="1" applyBorder="1" applyAlignment="1">
      <alignment horizontal="left" vertical="center" wrapText="1"/>
    </xf>
    <xf numFmtId="166" fontId="11" fillId="5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0"/>
  <sheetViews>
    <sheetView zoomScale="80" zoomScaleNormal="80" workbookViewId="0">
      <selection activeCell="E9" sqref="E9"/>
    </sheetView>
  </sheetViews>
  <sheetFormatPr defaultRowHeight="15" x14ac:dyDescent="0.25"/>
  <cols>
    <col min="1" max="1" width="9.140625" style="1"/>
    <col min="2" max="2" width="38.7109375" style="1" customWidth="1"/>
    <col min="3" max="4" width="13.7109375" style="1" bestFit="1" customWidth="1"/>
    <col min="5" max="5" width="9.140625" style="1"/>
    <col min="6" max="6" width="42.5703125" style="1" customWidth="1"/>
    <col min="7" max="7" width="11.42578125" style="1" bestFit="1" customWidth="1"/>
    <col min="8" max="16384" width="9.140625" style="1"/>
  </cols>
  <sheetData>
    <row r="2" spans="2:7" ht="18.75" x14ac:dyDescent="0.25">
      <c r="B2" s="91" t="s">
        <v>0</v>
      </c>
      <c r="C2" s="92"/>
      <c r="D2" s="93"/>
      <c r="F2" s="94" t="s">
        <v>19</v>
      </c>
      <c r="G2" s="95"/>
    </row>
    <row r="3" spans="2:7" ht="18.75" x14ac:dyDescent="0.25">
      <c r="B3" s="7" t="s">
        <v>1</v>
      </c>
      <c r="C3" s="16">
        <v>42551</v>
      </c>
      <c r="D3" s="6">
        <v>42643</v>
      </c>
      <c r="F3" s="27" t="s">
        <v>20</v>
      </c>
      <c r="G3" s="28">
        <v>900000</v>
      </c>
    </row>
    <row r="4" spans="2:7" ht="18.75" x14ac:dyDescent="0.25">
      <c r="B4" s="18" t="s">
        <v>2</v>
      </c>
      <c r="C4" s="19">
        <v>35000</v>
      </c>
      <c r="D4" s="20">
        <v>132000</v>
      </c>
      <c r="E4" s="66"/>
      <c r="F4" s="29" t="s">
        <v>21</v>
      </c>
      <c r="G4" s="30">
        <v>-180000</v>
      </c>
    </row>
    <row r="5" spans="2:7" ht="18.75" x14ac:dyDescent="0.25">
      <c r="B5" s="18" t="s">
        <v>3</v>
      </c>
      <c r="C5" s="19">
        <v>127000</v>
      </c>
      <c r="D5" s="20">
        <v>300000</v>
      </c>
      <c r="E5" s="66"/>
      <c r="F5" s="21" t="s">
        <v>22</v>
      </c>
      <c r="G5" s="22">
        <f>SUM(G3:G4)</f>
        <v>720000</v>
      </c>
    </row>
    <row r="6" spans="2:7" ht="18.75" x14ac:dyDescent="0.25">
      <c r="B6" s="18" t="s">
        <v>4</v>
      </c>
      <c r="C6" s="19">
        <v>145000</v>
      </c>
      <c r="D6" s="20">
        <v>72500</v>
      </c>
      <c r="E6" s="66"/>
      <c r="F6" s="18" t="s">
        <v>23</v>
      </c>
      <c r="G6" s="20">
        <v>-602500</v>
      </c>
    </row>
    <row r="7" spans="2:7" ht="18.75" x14ac:dyDescent="0.25">
      <c r="B7" s="18" t="s">
        <v>5</v>
      </c>
      <c r="C7" s="19">
        <v>20000</v>
      </c>
      <c r="D7" s="20">
        <v>0</v>
      </c>
      <c r="E7" s="66"/>
      <c r="F7" s="23" t="s">
        <v>24</v>
      </c>
      <c r="G7" s="22">
        <f>SUM(G5:G6)</f>
        <v>117500</v>
      </c>
    </row>
    <row r="8" spans="2:7" ht="18.75" x14ac:dyDescent="0.25">
      <c r="B8" s="18" t="s">
        <v>6</v>
      </c>
      <c r="C8" s="19">
        <v>320000</v>
      </c>
      <c r="D8" s="20">
        <v>620000</v>
      </c>
      <c r="E8" s="66"/>
      <c r="F8" s="18" t="s">
        <v>26</v>
      </c>
      <c r="G8" s="20">
        <v>-30000</v>
      </c>
    </row>
    <row r="9" spans="2:7" ht="18.75" x14ac:dyDescent="0.25">
      <c r="B9" s="18" t="s">
        <v>7</v>
      </c>
      <c r="C9" s="19">
        <v>-7000</v>
      </c>
      <c r="D9" s="20">
        <v>-14500</v>
      </c>
      <c r="E9" s="66"/>
      <c r="F9" s="18" t="s">
        <v>25</v>
      </c>
      <c r="G9" s="20">
        <v>-50000</v>
      </c>
    </row>
    <row r="10" spans="2:7" ht="18.75" x14ac:dyDescent="0.25">
      <c r="B10" s="35" t="s">
        <v>8</v>
      </c>
      <c r="C10" s="34">
        <f>SUM(C4:C9)</f>
        <v>640000</v>
      </c>
      <c r="D10" s="36">
        <f>SUM(D4:D9)</f>
        <v>1110000</v>
      </c>
      <c r="E10" s="66"/>
      <c r="F10" s="18" t="s">
        <v>27</v>
      </c>
      <c r="G10" s="20">
        <v>-7500</v>
      </c>
    </row>
    <row r="11" spans="2:7" ht="18.75" x14ac:dyDescent="0.25">
      <c r="B11" s="7" t="s">
        <v>9</v>
      </c>
      <c r="C11" s="16">
        <v>42551</v>
      </c>
      <c r="D11" s="6">
        <v>42551</v>
      </c>
      <c r="E11" s="66"/>
      <c r="F11" s="24" t="s">
        <v>28</v>
      </c>
      <c r="G11" s="26">
        <v>-15000</v>
      </c>
    </row>
    <row r="12" spans="2:7" ht="18.75" x14ac:dyDescent="0.25">
      <c r="B12" s="18" t="s">
        <v>10</v>
      </c>
      <c r="C12" s="19">
        <v>50000</v>
      </c>
      <c r="D12" s="20">
        <v>650000</v>
      </c>
      <c r="E12" s="66"/>
      <c r="F12" s="8" t="s">
        <v>29</v>
      </c>
      <c r="G12" s="9">
        <f>SUM(G7:G11)</f>
        <v>15000</v>
      </c>
    </row>
    <row r="13" spans="2:7" ht="18.75" x14ac:dyDescent="0.25">
      <c r="B13" s="18" t="s">
        <v>11</v>
      </c>
      <c r="C13" s="19">
        <v>10000</v>
      </c>
      <c r="D13" s="20">
        <v>80000</v>
      </c>
      <c r="E13" s="66"/>
      <c r="F13" s="2" t="s">
        <v>30</v>
      </c>
      <c r="G13" s="3">
        <f>-G12*40%</f>
        <v>-6000</v>
      </c>
    </row>
    <row r="14" spans="2:7" ht="18.75" x14ac:dyDescent="0.25">
      <c r="B14" s="18" t="s">
        <v>12</v>
      </c>
      <c r="C14" s="19">
        <v>25000</v>
      </c>
      <c r="D14" s="20">
        <v>30000</v>
      </c>
      <c r="E14" s="66"/>
      <c r="F14" s="10" t="s">
        <v>31</v>
      </c>
      <c r="G14" s="11">
        <f>SUM(G12:G13)</f>
        <v>9000</v>
      </c>
    </row>
    <row r="15" spans="2:7" ht="18.75" x14ac:dyDescent="0.25">
      <c r="B15" s="18" t="s">
        <v>13</v>
      </c>
      <c r="C15" s="19">
        <v>20000</v>
      </c>
      <c r="D15" s="20">
        <v>6000</v>
      </c>
      <c r="E15" s="66"/>
    </row>
    <row r="16" spans="2:7" ht="18.75" x14ac:dyDescent="0.25">
      <c r="B16" s="24" t="s">
        <v>18</v>
      </c>
      <c r="C16" s="25">
        <v>0</v>
      </c>
      <c r="D16" s="26">
        <v>7200</v>
      </c>
      <c r="E16" s="66"/>
      <c r="F16" s="94" t="s">
        <v>32</v>
      </c>
      <c r="G16" s="95"/>
    </row>
    <row r="17" spans="2:7" ht="18.75" x14ac:dyDescent="0.25">
      <c r="B17" s="24" t="s">
        <v>14</v>
      </c>
      <c r="C17" s="25">
        <v>300000</v>
      </c>
      <c r="D17" s="26">
        <v>100000</v>
      </c>
      <c r="E17" s="66"/>
      <c r="F17" s="8" t="s">
        <v>33</v>
      </c>
      <c r="G17" s="9">
        <f>+SUM(C18:C19)</f>
        <v>235000</v>
      </c>
    </row>
    <row r="18" spans="2:7" ht="18.75" x14ac:dyDescent="0.25">
      <c r="B18" s="24" t="s">
        <v>15</v>
      </c>
      <c r="C18" s="25">
        <v>200000</v>
      </c>
      <c r="D18" s="26">
        <v>200000</v>
      </c>
      <c r="E18" s="66"/>
      <c r="F18" s="2" t="s">
        <v>34</v>
      </c>
      <c r="G18" s="3">
        <f>+G14</f>
        <v>9000</v>
      </c>
    </row>
    <row r="19" spans="2:7" ht="18.75" x14ac:dyDescent="0.25">
      <c r="B19" s="24" t="s">
        <v>16</v>
      </c>
      <c r="C19" s="25">
        <v>35000</v>
      </c>
      <c r="D19" s="26">
        <v>36800</v>
      </c>
      <c r="E19" s="66"/>
      <c r="F19" s="2" t="s">
        <v>35</v>
      </c>
      <c r="G19" s="3">
        <v>-7200</v>
      </c>
    </row>
    <row r="20" spans="2:7" ht="18.75" x14ac:dyDescent="0.25">
      <c r="B20" s="4" t="s">
        <v>17</v>
      </c>
      <c r="C20" s="17">
        <f>SUM(C12:C19)</f>
        <v>640000</v>
      </c>
      <c r="D20" s="5">
        <f>SUM(D12:D19)</f>
        <v>1110000</v>
      </c>
      <c r="F20" s="12" t="s">
        <v>36</v>
      </c>
      <c r="G20" s="13">
        <f>SUM(G17:G19)</f>
        <v>236800</v>
      </c>
    </row>
    <row r="22" spans="2:7" ht="18.75" x14ac:dyDescent="0.3">
      <c r="B22" s="38" t="s">
        <v>37</v>
      </c>
      <c r="C22" s="39">
        <f>+G14/(SUM(C18:D19)/2)</f>
        <v>3.8151759220008477E-2</v>
      </c>
    </row>
    <row r="23" spans="2:7" ht="18.75" x14ac:dyDescent="0.3">
      <c r="B23" s="40"/>
      <c r="C23" s="40"/>
    </row>
    <row r="24" spans="2:7" ht="18.75" x14ac:dyDescent="0.3">
      <c r="B24" s="38" t="s">
        <v>38</v>
      </c>
      <c r="C24" s="41">
        <v>0.06</v>
      </c>
    </row>
    <row r="25" spans="2:7" ht="18.75" x14ac:dyDescent="0.3">
      <c r="B25" s="40"/>
      <c r="C25" s="40"/>
    </row>
    <row r="26" spans="2:7" ht="18.75" x14ac:dyDescent="0.25">
      <c r="B26" s="14" t="s">
        <v>39</v>
      </c>
      <c r="C26" s="15">
        <f>+(C22-C24)*(SUM(C18:D19)/2)</f>
        <v>-5154</v>
      </c>
    </row>
    <row r="27" spans="2:7" ht="18.75" x14ac:dyDescent="0.3">
      <c r="B27" s="40"/>
      <c r="C27" s="40"/>
    </row>
    <row r="28" spans="2:7" ht="15.75" x14ac:dyDescent="0.25">
      <c r="B28" s="44" t="s">
        <v>40</v>
      </c>
      <c r="C28" s="45">
        <f>+AVERAGE(C10:D10)</f>
        <v>875000</v>
      </c>
    </row>
    <row r="29" spans="2:7" ht="15.75" x14ac:dyDescent="0.25">
      <c r="B29" s="44" t="s">
        <v>41</v>
      </c>
      <c r="C29" s="45">
        <f>-SUM(C12:D15)/2</f>
        <v>-435500</v>
      </c>
    </row>
    <row r="30" spans="2:7" ht="18.75" x14ac:dyDescent="0.25">
      <c r="B30" s="33" t="s">
        <v>42</v>
      </c>
      <c r="C30" s="34">
        <f>SUM(C28:C29)</f>
        <v>439500</v>
      </c>
    </row>
    <row r="31" spans="2:7" ht="15.75" x14ac:dyDescent="0.25">
      <c r="B31" s="46" t="s">
        <v>43</v>
      </c>
      <c r="C31" s="47">
        <f>+AVERAGE(C17:D17)</f>
        <v>200000</v>
      </c>
    </row>
    <row r="32" spans="2:7" ht="15.75" x14ac:dyDescent="0.25">
      <c r="B32" s="46" t="s">
        <v>44</v>
      </c>
      <c r="C32" s="47">
        <f>+AVERAGE(C16:D16)</f>
        <v>3600</v>
      </c>
    </row>
    <row r="33" spans="2:3" ht="15.75" x14ac:dyDescent="0.25">
      <c r="B33" s="48" t="s">
        <v>45</v>
      </c>
      <c r="C33" s="47">
        <f>+SUM(C18:D19)/2</f>
        <v>235900</v>
      </c>
    </row>
    <row r="34" spans="2:3" ht="18.75" x14ac:dyDescent="0.3">
      <c r="B34" s="43" t="s">
        <v>46</v>
      </c>
      <c r="C34" s="32">
        <f>SUM(C31:C33)</f>
        <v>439500</v>
      </c>
    </row>
    <row r="36" spans="2:3" ht="18.75" x14ac:dyDescent="0.25">
      <c r="B36" s="49" t="s">
        <v>22</v>
      </c>
      <c r="C36" s="50">
        <f>+G5</f>
        <v>720000</v>
      </c>
    </row>
    <row r="37" spans="2:3" ht="18.75" x14ac:dyDescent="0.25">
      <c r="B37" s="18" t="s">
        <v>23</v>
      </c>
      <c r="C37" s="20">
        <f>+G6</f>
        <v>-602500</v>
      </c>
    </row>
    <row r="38" spans="2:3" ht="18.75" x14ac:dyDescent="0.25">
      <c r="B38" s="23" t="s">
        <v>24</v>
      </c>
      <c r="C38" s="22">
        <f>SUM(C36:C37)</f>
        <v>117500</v>
      </c>
    </row>
    <row r="39" spans="2:3" ht="18.75" x14ac:dyDescent="0.25">
      <c r="B39" s="18" t="s">
        <v>26</v>
      </c>
      <c r="C39" s="20">
        <f>+G8</f>
        <v>-30000</v>
      </c>
    </row>
    <row r="40" spans="2:3" ht="18.75" x14ac:dyDescent="0.25">
      <c r="B40" s="18" t="s">
        <v>25</v>
      </c>
      <c r="C40" s="20">
        <f t="shared" ref="C40:C41" si="0">+G9</f>
        <v>-50000</v>
      </c>
    </row>
    <row r="41" spans="2:3" ht="18.75" x14ac:dyDescent="0.25">
      <c r="B41" s="18" t="s">
        <v>27</v>
      </c>
      <c r="C41" s="20">
        <f t="shared" si="0"/>
        <v>-7500</v>
      </c>
    </row>
    <row r="42" spans="2:3" ht="18.75" x14ac:dyDescent="0.25">
      <c r="B42" s="35" t="s">
        <v>47</v>
      </c>
      <c r="C42" s="36">
        <f>SUM(C38:C41)</f>
        <v>30000</v>
      </c>
    </row>
    <row r="43" spans="2:3" ht="18.75" x14ac:dyDescent="0.25">
      <c r="B43" s="18" t="s">
        <v>30</v>
      </c>
      <c r="C43" s="20">
        <f>-C42*40%</f>
        <v>-12000</v>
      </c>
    </row>
    <row r="44" spans="2:3" ht="18.75" x14ac:dyDescent="0.25">
      <c r="B44" s="35" t="s">
        <v>48</v>
      </c>
      <c r="C44" s="36">
        <f>SUM(C42:C43)</f>
        <v>18000</v>
      </c>
    </row>
    <row r="45" spans="2:3" ht="18.75" x14ac:dyDescent="0.25">
      <c r="B45" s="24" t="s">
        <v>49</v>
      </c>
      <c r="C45" s="26">
        <f>+G11*(1-40%)</f>
        <v>-9000</v>
      </c>
    </row>
    <row r="46" spans="2:3" ht="18.75" x14ac:dyDescent="0.25">
      <c r="B46" s="24" t="s">
        <v>50</v>
      </c>
      <c r="C46" s="26">
        <f>-C33*6%</f>
        <v>-14154</v>
      </c>
    </row>
    <row r="47" spans="2:3" ht="18.75" x14ac:dyDescent="0.3">
      <c r="B47" s="51" t="s">
        <v>51</v>
      </c>
      <c r="C47" s="52">
        <f>+SUM(C44:C46)</f>
        <v>-5154</v>
      </c>
    </row>
    <row r="49" spans="2:3" ht="18.75" x14ac:dyDescent="0.25">
      <c r="B49" s="31" t="s">
        <v>52</v>
      </c>
      <c r="C49" s="53">
        <f>+C44/C36</f>
        <v>2.5000000000000001E-2</v>
      </c>
    </row>
    <row r="50" spans="2:3" ht="18.75" x14ac:dyDescent="0.25">
      <c r="B50" s="31" t="s">
        <v>53</v>
      </c>
      <c r="C50" s="54">
        <f>+C36/C30</f>
        <v>1.6382252559726962</v>
      </c>
    </row>
    <row r="51" spans="2:3" ht="18.75" x14ac:dyDescent="0.25">
      <c r="B51" s="33" t="s">
        <v>54</v>
      </c>
      <c r="C51" s="55">
        <f>+C49*C50</f>
        <v>4.0955631399317405E-2</v>
      </c>
    </row>
    <row r="52" spans="2:3" ht="18.75" x14ac:dyDescent="0.25">
      <c r="B52" s="37" t="s">
        <v>55</v>
      </c>
      <c r="C52" s="56">
        <f>+C31/$C$34</f>
        <v>0.45506257110352671</v>
      </c>
    </row>
    <row r="53" spans="2:3" ht="18.75" x14ac:dyDescent="0.25">
      <c r="B53" s="37" t="s">
        <v>56</v>
      </c>
      <c r="C53" s="56">
        <f t="shared" ref="C53:C54" si="1">+C32/$C$34</f>
        <v>8.1911262798634813E-3</v>
      </c>
    </row>
    <row r="54" spans="2:3" ht="18.75" x14ac:dyDescent="0.25">
      <c r="B54" s="37" t="s">
        <v>57</v>
      </c>
      <c r="C54" s="56">
        <f t="shared" si="1"/>
        <v>0.53674630261660983</v>
      </c>
    </row>
    <row r="55" spans="2:3" ht="18.75" x14ac:dyDescent="0.25">
      <c r="B55" s="37" t="s">
        <v>58</v>
      </c>
      <c r="C55" s="56">
        <f>-C45/C31</f>
        <v>4.4999999999999998E-2</v>
      </c>
    </row>
    <row r="56" spans="2:3" ht="18.75" x14ac:dyDescent="0.25">
      <c r="B56" s="37" t="s">
        <v>59</v>
      </c>
      <c r="C56" s="56">
        <v>0</v>
      </c>
    </row>
    <row r="57" spans="2:3" ht="18.75" x14ac:dyDescent="0.3">
      <c r="B57" s="42" t="s">
        <v>60</v>
      </c>
      <c r="C57" s="56">
        <v>0.06</v>
      </c>
    </row>
    <row r="58" spans="2:3" ht="18.75" x14ac:dyDescent="0.3">
      <c r="B58" s="43" t="s">
        <v>61</v>
      </c>
      <c r="C58" s="57">
        <f>+C52*C55+C53*C56+C54*C57</f>
        <v>5.2682593856655288E-2</v>
      </c>
    </row>
    <row r="60" spans="2:3" ht="18.75" x14ac:dyDescent="0.3">
      <c r="B60" s="51" t="s">
        <v>51</v>
      </c>
      <c r="C60" s="52">
        <f>+(C51-C58)*C30</f>
        <v>-5154</v>
      </c>
    </row>
  </sheetData>
  <mergeCells count="3">
    <mergeCell ref="B2:D2"/>
    <mergeCell ref="F2:G2"/>
    <mergeCell ref="F16:G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20"/>
  <sheetViews>
    <sheetView zoomScale="80" zoomScaleNormal="80" workbookViewId="0"/>
  </sheetViews>
  <sheetFormatPr defaultRowHeight="15" x14ac:dyDescent="0.25"/>
  <cols>
    <col min="1" max="2" width="9.140625" style="1"/>
    <col min="3" max="3" width="42.5703125" style="1" customWidth="1"/>
    <col min="4" max="4" width="11.42578125" style="1" bestFit="1" customWidth="1"/>
    <col min="5" max="16384" width="9.140625" style="1"/>
  </cols>
  <sheetData>
    <row r="2" spans="3:4" ht="18.75" customHeight="1" x14ac:dyDescent="0.25">
      <c r="C2" s="94" t="s">
        <v>19</v>
      </c>
      <c r="D2" s="95"/>
    </row>
    <row r="3" spans="3:4" ht="18.75" x14ac:dyDescent="0.25">
      <c r="C3" s="27" t="s">
        <v>20</v>
      </c>
      <c r="D3" s="28">
        <v>900000</v>
      </c>
    </row>
    <row r="4" spans="3:4" ht="18.75" x14ac:dyDescent="0.25">
      <c r="C4" s="29" t="s">
        <v>21</v>
      </c>
      <c r="D4" s="30">
        <v>-180000</v>
      </c>
    </row>
    <row r="5" spans="3:4" ht="18.75" x14ac:dyDescent="0.25">
      <c r="C5" s="21" t="s">
        <v>22</v>
      </c>
      <c r="D5" s="22">
        <f>SUM(D3:D4)</f>
        <v>720000</v>
      </c>
    </row>
    <row r="6" spans="3:4" ht="18.75" x14ac:dyDescent="0.25">
      <c r="C6" s="18" t="s">
        <v>23</v>
      </c>
      <c r="D6" s="20">
        <v>-602500</v>
      </c>
    </row>
    <row r="7" spans="3:4" ht="18.75" x14ac:dyDescent="0.25">
      <c r="C7" s="23" t="s">
        <v>24</v>
      </c>
      <c r="D7" s="22">
        <f>SUM(D5:D6)</f>
        <v>117500</v>
      </c>
    </row>
    <row r="8" spans="3:4" ht="18.75" x14ac:dyDescent="0.25">
      <c r="C8" s="18" t="s">
        <v>26</v>
      </c>
      <c r="D8" s="20">
        <v>-30000</v>
      </c>
    </row>
    <row r="9" spans="3:4" ht="18.75" x14ac:dyDescent="0.25">
      <c r="C9" s="18" t="s">
        <v>25</v>
      </c>
      <c r="D9" s="20">
        <v>-50000</v>
      </c>
    </row>
    <row r="10" spans="3:4" ht="18.75" x14ac:dyDescent="0.25">
      <c r="C10" s="18" t="s">
        <v>27</v>
      </c>
      <c r="D10" s="20">
        <v>-7500</v>
      </c>
    </row>
    <row r="11" spans="3:4" ht="18.75" x14ac:dyDescent="0.25">
      <c r="C11" s="24" t="s">
        <v>28</v>
      </c>
      <c r="D11" s="26">
        <v>-15000</v>
      </c>
    </row>
    <row r="12" spans="3:4" ht="18.75" x14ac:dyDescent="0.25">
      <c r="C12" s="8" t="s">
        <v>29</v>
      </c>
      <c r="D12" s="9">
        <f>SUM(D7:D11)</f>
        <v>15000</v>
      </c>
    </row>
    <row r="13" spans="3:4" ht="18.75" x14ac:dyDescent="0.25">
      <c r="C13" s="2" t="s">
        <v>30</v>
      </c>
      <c r="D13" s="3">
        <f>-D12*40%</f>
        <v>-6000</v>
      </c>
    </row>
    <row r="14" spans="3:4" ht="18.75" x14ac:dyDescent="0.25">
      <c r="C14" s="10" t="s">
        <v>31</v>
      </c>
      <c r="D14" s="11">
        <f>SUM(D12:D13)</f>
        <v>9000</v>
      </c>
    </row>
    <row r="16" spans="3:4" ht="18.75" x14ac:dyDescent="0.25">
      <c r="C16" s="94" t="s">
        <v>32</v>
      </c>
      <c r="D16" s="95"/>
    </row>
    <row r="17" spans="3:4" ht="18.75" x14ac:dyDescent="0.25">
      <c r="C17" s="8" t="s">
        <v>33</v>
      </c>
      <c r="D17" s="9" t="e">
        <f>+SUM(#REF!)</f>
        <v>#REF!</v>
      </c>
    </row>
    <row r="18" spans="3:4" ht="18.75" x14ac:dyDescent="0.25">
      <c r="C18" s="2" t="s">
        <v>34</v>
      </c>
      <c r="D18" s="3">
        <f>+D14</f>
        <v>9000</v>
      </c>
    </row>
    <row r="19" spans="3:4" ht="18.75" x14ac:dyDescent="0.25">
      <c r="C19" s="2" t="s">
        <v>35</v>
      </c>
      <c r="D19" s="3">
        <v>-7200</v>
      </c>
    </row>
    <row r="20" spans="3:4" ht="18.75" x14ac:dyDescent="0.25">
      <c r="C20" s="12" t="s">
        <v>36</v>
      </c>
      <c r="D20" s="13" t="e">
        <f>SUM(D17:D19)</f>
        <v>#REF!</v>
      </c>
    </row>
  </sheetData>
  <mergeCells count="2">
    <mergeCell ref="C2:D2"/>
    <mergeCell ref="C16:D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2F02B-594C-455B-9124-2FCE6FAFBE1A}">
  <dimension ref="A2:L46"/>
  <sheetViews>
    <sheetView showGridLines="0" workbookViewId="0">
      <selection activeCell="O7" sqref="O7"/>
    </sheetView>
  </sheetViews>
  <sheetFormatPr defaultRowHeight="15" x14ac:dyDescent="0.25"/>
  <cols>
    <col min="1" max="1" width="3" style="58" customWidth="1"/>
    <col min="2" max="3" width="9.140625" style="58"/>
    <col min="4" max="5" width="3" style="58" customWidth="1"/>
    <col min="6" max="7" width="9.140625" style="58"/>
    <col min="8" max="9" width="3" style="58" customWidth="1"/>
    <col min="10" max="11" width="9.140625" style="58"/>
    <col min="12" max="12" width="3" style="58" customWidth="1"/>
    <col min="13" max="16384" width="9.140625" style="58"/>
  </cols>
  <sheetData>
    <row r="2" spans="1:12" x14ac:dyDescent="0.25">
      <c r="B2" s="96" t="s">
        <v>2</v>
      </c>
      <c r="C2" s="96"/>
      <c r="F2" s="96" t="s">
        <v>62</v>
      </c>
      <c r="G2" s="96"/>
      <c r="J2" s="96" t="s">
        <v>63</v>
      </c>
      <c r="K2" s="96"/>
    </row>
    <row r="3" spans="1:12" x14ac:dyDescent="0.25">
      <c r="A3" s="58" t="s">
        <v>64</v>
      </c>
      <c r="B3" s="58">
        <v>35000</v>
      </c>
      <c r="C3" s="59">
        <v>105000</v>
      </c>
      <c r="D3" s="58" t="s">
        <v>65</v>
      </c>
      <c r="E3" s="58" t="s">
        <v>64</v>
      </c>
      <c r="F3" s="58">
        <v>127000</v>
      </c>
      <c r="G3" s="59">
        <v>127000</v>
      </c>
      <c r="H3" s="58" t="s">
        <v>66</v>
      </c>
      <c r="I3" s="58" t="s">
        <v>64</v>
      </c>
      <c r="J3" s="58">
        <v>145000</v>
      </c>
      <c r="K3" s="59">
        <v>602500</v>
      </c>
      <c r="L3" s="58" t="s">
        <v>67</v>
      </c>
    </row>
    <row r="4" spans="1:12" x14ac:dyDescent="0.25">
      <c r="A4" s="58" t="s">
        <v>66</v>
      </c>
      <c r="B4" s="58">
        <v>127000</v>
      </c>
      <c r="C4" s="60">
        <v>10000</v>
      </c>
      <c r="D4" s="58" t="s">
        <v>68</v>
      </c>
      <c r="E4" s="58" t="s">
        <v>69</v>
      </c>
      <c r="F4" s="61">
        <v>300000</v>
      </c>
      <c r="G4" s="62"/>
      <c r="I4" s="58" t="s">
        <v>70</v>
      </c>
      <c r="J4" s="58">
        <v>520000</v>
      </c>
      <c r="K4" s="60"/>
    </row>
    <row r="5" spans="1:12" x14ac:dyDescent="0.25">
      <c r="A5" s="58" t="s">
        <v>69</v>
      </c>
      <c r="B5" s="58">
        <v>600000</v>
      </c>
      <c r="C5" s="60">
        <v>15000</v>
      </c>
      <c r="D5" s="58" t="s">
        <v>71</v>
      </c>
      <c r="F5" s="58">
        <f>SUM(F3:F4)-G3</f>
        <v>300000</v>
      </c>
      <c r="G5" s="60"/>
      <c r="I5" s="58" t="s">
        <v>68</v>
      </c>
      <c r="J5" s="61">
        <v>10000</v>
      </c>
      <c r="K5" s="62"/>
    </row>
    <row r="6" spans="1:12" x14ac:dyDescent="0.25">
      <c r="C6" s="60">
        <v>200000</v>
      </c>
      <c r="D6" s="58">
        <v>6</v>
      </c>
      <c r="G6" s="60"/>
      <c r="J6" s="58">
        <f>SUM(J3:J5)-K3</f>
        <v>72500</v>
      </c>
      <c r="K6" s="60"/>
    </row>
    <row r="7" spans="1:12" x14ac:dyDescent="0.25">
      <c r="B7" s="61"/>
      <c r="C7" s="62">
        <v>300000</v>
      </c>
      <c r="D7" s="58">
        <v>8</v>
      </c>
      <c r="G7" s="60"/>
      <c r="K7" s="60"/>
    </row>
    <row r="8" spans="1:12" x14ac:dyDescent="0.25">
      <c r="B8" s="58">
        <f>SUM(B3:B5)-SUM(C3:C7)</f>
        <v>132000</v>
      </c>
      <c r="C8" s="60"/>
      <c r="G8" s="60"/>
      <c r="K8" s="60"/>
    </row>
    <row r="9" spans="1:12" x14ac:dyDescent="0.25">
      <c r="C9" s="60"/>
      <c r="G9" s="60"/>
      <c r="K9" s="60"/>
    </row>
    <row r="11" spans="1:12" x14ac:dyDescent="0.25">
      <c r="B11" s="96" t="s">
        <v>6</v>
      </c>
      <c r="C11" s="96"/>
      <c r="F11" s="96" t="s">
        <v>72</v>
      </c>
      <c r="G11" s="96"/>
      <c r="J11" s="96" t="s">
        <v>73</v>
      </c>
      <c r="K11" s="96"/>
    </row>
    <row r="12" spans="1:12" x14ac:dyDescent="0.25">
      <c r="A12" s="58" t="s">
        <v>64</v>
      </c>
      <c r="B12" s="58">
        <v>320000</v>
      </c>
      <c r="C12" s="59"/>
      <c r="G12" s="59">
        <v>7000</v>
      </c>
      <c r="H12" s="58" t="s">
        <v>64</v>
      </c>
      <c r="I12" s="58" t="s">
        <v>64</v>
      </c>
      <c r="J12" s="58">
        <v>20000</v>
      </c>
      <c r="K12" s="59">
        <v>150000</v>
      </c>
      <c r="L12" s="58" t="s">
        <v>74</v>
      </c>
    </row>
    <row r="13" spans="1:12" x14ac:dyDescent="0.25">
      <c r="A13" s="58">
        <v>8</v>
      </c>
      <c r="B13" s="61">
        <v>300000</v>
      </c>
      <c r="C13" s="62"/>
      <c r="F13" s="61"/>
      <c r="G13" s="62">
        <v>7500</v>
      </c>
      <c r="H13" s="58">
        <v>7</v>
      </c>
      <c r="I13" s="58" t="s">
        <v>70</v>
      </c>
      <c r="J13" s="61">
        <v>130000</v>
      </c>
      <c r="K13" s="62"/>
    </row>
    <row r="14" spans="1:12" x14ac:dyDescent="0.25">
      <c r="B14" s="58">
        <f>SUM(B12:B13)-C12</f>
        <v>620000</v>
      </c>
      <c r="C14" s="60"/>
      <c r="G14" s="60">
        <f>SUM(G12:G13)</f>
        <v>14500</v>
      </c>
      <c r="J14" s="58">
        <f>SUM(J12:J13)-K12</f>
        <v>0</v>
      </c>
      <c r="K14" s="60"/>
    </row>
    <row r="15" spans="1:12" x14ac:dyDescent="0.25">
      <c r="C15" s="60"/>
      <c r="G15" s="60"/>
      <c r="K15" s="60"/>
    </row>
    <row r="16" spans="1:12" x14ac:dyDescent="0.25">
      <c r="C16" s="60"/>
      <c r="G16" s="60"/>
      <c r="K16" s="60"/>
    </row>
    <row r="17" spans="1:12" x14ac:dyDescent="0.25">
      <c r="C17" s="60"/>
      <c r="G17" s="60"/>
      <c r="K17" s="60"/>
    </row>
    <row r="18" spans="1:12" x14ac:dyDescent="0.25">
      <c r="C18" s="60"/>
      <c r="G18" s="60"/>
      <c r="K18" s="60"/>
    </row>
    <row r="20" spans="1:12" x14ac:dyDescent="0.25">
      <c r="B20" s="96" t="s">
        <v>75</v>
      </c>
      <c r="C20" s="96"/>
      <c r="F20" s="96" t="s">
        <v>76</v>
      </c>
      <c r="G20" s="96"/>
      <c r="J20" s="96" t="s">
        <v>12</v>
      </c>
      <c r="K20" s="96"/>
    </row>
    <row r="21" spans="1:12" x14ac:dyDescent="0.25">
      <c r="A21" s="58" t="s">
        <v>65</v>
      </c>
      <c r="B21" s="58">
        <v>50000</v>
      </c>
      <c r="C21" s="59">
        <v>50000</v>
      </c>
      <c r="D21" s="58" t="s">
        <v>64</v>
      </c>
      <c r="E21" s="58" t="s">
        <v>65</v>
      </c>
      <c r="F21" s="58">
        <v>10000</v>
      </c>
      <c r="G21" s="59">
        <v>10000</v>
      </c>
      <c r="H21" s="58" t="s">
        <v>64</v>
      </c>
      <c r="I21" s="58" t="s">
        <v>65</v>
      </c>
      <c r="J21" s="58">
        <v>25000</v>
      </c>
      <c r="K21" s="59">
        <v>25000</v>
      </c>
      <c r="L21" s="58" t="s">
        <v>64</v>
      </c>
    </row>
    <row r="22" spans="1:12" x14ac:dyDescent="0.25">
      <c r="B22" s="61"/>
      <c r="C22" s="62">
        <v>650000</v>
      </c>
      <c r="D22" s="58" t="s">
        <v>70</v>
      </c>
      <c r="G22" s="60">
        <v>30000</v>
      </c>
      <c r="H22" s="58" t="s">
        <v>77</v>
      </c>
      <c r="I22" s="58" t="s">
        <v>74</v>
      </c>
      <c r="J22" s="61">
        <v>150000</v>
      </c>
      <c r="K22" s="62">
        <v>180000</v>
      </c>
      <c r="L22" s="58" t="s">
        <v>78</v>
      </c>
    </row>
    <row r="23" spans="1:12" x14ac:dyDescent="0.25">
      <c r="C23" s="60">
        <f>SUM(C21:C22)-B21</f>
        <v>650000</v>
      </c>
      <c r="F23" s="61"/>
      <c r="G23" s="62">
        <v>50000</v>
      </c>
      <c r="H23" s="58">
        <v>4</v>
      </c>
      <c r="K23" s="60">
        <f>SUM(K21:K22)-SUM(J21:J22)</f>
        <v>30000</v>
      </c>
    </row>
    <row r="24" spans="1:12" x14ac:dyDescent="0.25">
      <c r="C24" s="60"/>
      <c r="G24" s="60">
        <f>SUM(G21:G23)-F21</f>
        <v>80000</v>
      </c>
      <c r="K24" s="60"/>
    </row>
    <row r="25" spans="1:12" x14ac:dyDescent="0.25">
      <c r="C25" s="60"/>
      <c r="G25" s="60"/>
      <c r="K25" s="60"/>
    </row>
    <row r="26" spans="1:12" x14ac:dyDescent="0.25">
      <c r="C26" s="60"/>
      <c r="G26" s="60"/>
      <c r="K26" s="60"/>
    </row>
    <row r="27" spans="1:12" x14ac:dyDescent="0.25">
      <c r="C27" s="60"/>
      <c r="G27" s="60"/>
      <c r="K27" s="60"/>
    </row>
    <row r="29" spans="1:12" x14ac:dyDescent="0.25">
      <c r="B29" s="96" t="s">
        <v>79</v>
      </c>
      <c r="C29" s="96"/>
      <c r="F29" s="96" t="s">
        <v>14</v>
      </c>
      <c r="G29" s="96"/>
      <c r="J29" s="96" t="s">
        <v>80</v>
      </c>
      <c r="K29" s="96"/>
    </row>
    <row r="30" spans="1:12" x14ac:dyDescent="0.25">
      <c r="A30" s="58" t="s">
        <v>65</v>
      </c>
      <c r="B30" s="58">
        <v>20000</v>
      </c>
      <c r="C30" s="59">
        <v>20000</v>
      </c>
      <c r="D30" s="58" t="s">
        <v>64</v>
      </c>
      <c r="E30" s="58" t="s">
        <v>71</v>
      </c>
      <c r="F30" s="58">
        <v>15000</v>
      </c>
      <c r="G30" s="59">
        <v>300000</v>
      </c>
      <c r="H30" s="58" t="s">
        <v>64</v>
      </c>
      <c r="J30" s="63"/>
      <c r="K30" s="64">
        <v>7200</v>
      </c>
      <c r="L30" s="58">
        <v>10</v>
      </c>
    </row>
    <row r="31" spans="1:12" x14ac:dyDescent="0.25">
      <c r="B31" s="61"/>
      <c r="C31" s="62">
        <v>6000</v>
      </c>
      <c r="D31" s="58">
        <v>9</v>
      </c>
      <c r="E31" s="58">
        <v>6</v>
      </c>
      <c r="F31" s="61">
        <v>200000</v>
      </c>
      <c r="G31" s="62">
        <v>15000</v>
      </c>
      <c r="H31" s="58" t="s">
        <v>81</v>
      </c>
      <c r="K31" s="60"/>
    </row>
    <row r="32" spans="1:12" x14ac:dyDescent="0.25">
      <c r="C32" s="60">
        <f>SUM(C30:C31)-B30</f>
        <v>6000</v>
      </c>
      <c r="G32" s="60">
        <f>SUM(G30:G31)-SUM(F30:F31)</f>
        <v>100000</v>
      </c>
      <c r="K32" s="60"/>
    </row>
    <row r="33" spans="2:12" x14ac:dyDescent="0.25">
      <c r="C33" s="60"/>
      <c r="G33" s="60"/>
      <c r="K33" s="60"/>
    </row>
    <row r="34" spans="2:12" x14ac:dyDescent="0.25">
      <c r="C34" s="60"/>
      <c r="G34" s="60"/>
      <c r="K34" s="60"/>
    </row>
    <row r="35" spans="2:12" x14ac:dyDescent="0.25">
      <c r="C35" s="60"/>
      <c r="G35" s="60"/>
      <c r="K35" s="60"/>
    </row>
    <row r="36" spans="2:12" x14ac:dyDescent="0.25">
      <c r="C36" s="60"/>
      <c r="G36" s="60"/>
      <c r="K36" s="60"/>
    </row>
    <row r="38" spans="2:12" x14ac:dyDescent="0.25">
      <c r="B38" s="96" t="s">
        <v>82</v>
      </c>
      <c r="C38" s="96"/>
      <c r="F38" s="96" t="s">
        <v>83</v>
      </c>
      <c r="G38" s="96"/>
      <c r="J38" s="96" t="s">
        <v>84</v>
      </c>
      <c r="K38" s="96"/>
    </row>
    <row r="39" spans="2:12" x14ac:dyDescent="0.25">
      <c r="B39" s="63"/>
      <c r="C39" s="64">
        <v>200000</v>
      </c>
      <c r="D39" s="58" t="s">
        <v>64</v>
      </c>
      <c r="E39" s="58">
        <v>10</v>
      </c>
      <c r="F39" s="58">
        <v>7200</v>
      </c>
      <c r="G39" s="59">
        <v>35000</v>
      </c>
      <c r="H39" s="58" t="s">
        <v>64</v>
      </c>
      <c r="I39" s="58" t="s">
        <v>78</v>
      </c>
      <c r="J39" s="58">
        <v>180000</v>
      </c>
      <c r="K39" s="59">
        <v>900000</v>
      </c>
      <c r="L39" s="58" t="s">
        <v>69</v>
      </c>
    </row>
    <row r="40" spans="2:12" x14ac:dyDescent="0.25">
      <c r="C40" s="60"/>
      <c r="F40" s="61"/>
      <c r="G40" s="62">
        <v>9000</v>
      </c>
      <c r="H40" s="58" t="s">
        <v>74</v>
      </c>
      <c r="I40" s="58" t="s">
        <v>67</v>
      </c>
      <c r="J40" s="58">
        <v>602500</v>
      </c>
      <c r="K40" s="60"/>
    </row>
    <row r="41" spans="2:12" x14ac:dyDescent="0.25">
      <c r="C41" s="60"/>
      <c r="G41" s="60">
        <f>SUM(G39:G40)-F39</f>
        <v>36800</v>
      </c>
      <c r="I41" s="58" t="s">
        <v>77</v>
      </c>
      <c r="J41" s="58">
        <v>30000</v>
      </c>
      <c r="K41" s="60"/>
    </row>
    <row r="42" spans="2:12" x14ac:dyDescent="0.25">
      <c r="C42" s="60"/>
      <c r="G42" s="60"/>
      <c r="I42" s="58">
        <v>4</v>
      </c>
      <c r="J42" s="58">
        <v>50000</v>
      </c>
      <c r="K42" s="60"/>
    </row>
    <row r="43" spans="2:12" x14ac:dyDescent="0.25">
      <c r="C43" s="60"/>
      <c r="G43" s="60"/>
      <c r="I43" s="58" t="s">
        <v>81</v>
      </c>
      <c r="J43" s="58">
        <v>15000</v>
      </c>
      <c r="K43" s="60"/>
    </row>
    <row r="44" spans="2:12" x14ac:dyDescent="0.25">
      <c r="C44" s="60"/>
      <c r="G44" s="60"/>
      <c r="I44" s="58">
        <v>7</v>
      </c>
      <c r="J44" s="58">
        <v>7500</v>
      </c>
      <c r="K44" s="60"/>
    </row>
    <row r="45" spans="2:12" x14ac:dyDescent="0.25">
      <c r="C45" s="60"/>
      <c r="G45" s="60"/>
      <c r="I45" s="58">
        <v>9</v>
      </c>
      <c r="J45" s="61">
        <v>6000</v>
      </c>
      <c r="K45" s="62"/>
    </row>
    <row r="46" spans="2:12" x14ac:dyDescent="0.25">
      <c r="I46" s="58" t="s">
        <v>74</v>
      </c>
      <c r="J46" s="65">
        <f>K46</f>
        <v>9000</v>
      </c>
      <c r="K46" s="60">
        <f>K39-SUM(J39:J45)</f>
        <v>9000</v>
      </c>
    </row>
  </sheetData>
  <mergeCells count="15">
    <mergeCell ref="B38:C38"/>
    <mergeCell ref="F38:G38"/>
    <mergeCell ref="J38:K38"/>
    <mergeCell ref="B20:C20"/>
    <mergeCell ref="F20:G20"/>
    <mergeCell ref="J20:K20"/>
    <mergeCell ref="B29:C29"/>
    <mergeCell ref="F29:G29"/>
    <mergeCell ref="J29:K29"/>
    <mergeCell ref="B2:C2"/>
    <mergeCell ref="F2:G2"/>
    <mergeCell ref="J2:K2"/>
    <mergeCell ref="B11:C11"/>
    <mergeCell ref="F11:G11"/>
    <mergeCell ref="J11:K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49"/>
  <sheetViews>
    <sheetView showGridLines="0" tabSelected="1" workbookViewId="0">
      <selection activeCell="H12" sqref="H12"/>
    </sheetView>
  </sheetViews>
  <sheetFormatPr defaultRowHeight="15" x14ac:dyDescent="0.25"/>
  <cols>
    <col min="1" max="1" width="3.42578125" customWidth="1"/>
    <col min="2" max="2" width="40.140625" bestFit="1" customWidth="1"/>
  </cols>
  <sheetData>
    <row r="2" spans="2:4" x14ac:dyDescent="0.25">
      <c r="B2" s="104" t="s">
        <v>85</v>
      </c>
      <c r="C2" s="105"/>
      <c r="D2" s="106"/>
    </row>
    <row r="3" spans="2:4" x14ac:dyDescent="0.25">
      <c r="B3" s="67" t="s">
        <v>20</v>
      </c>
      <c r="C3" s="68"/>
      <c r="D3" s="69">
        <v>900000</v>
      </c>
    </row>
    <row r="4" spans="2:4" x14ac:dyDescent="0.25">
      <c r="B4" s="70" t="s">
        <v>21</v>
      </c>
      <c r="C4" s="71"/>
      <c r="D4" s="72">
        <v>-180000</v>
      </c>
    </row>
    <row r="5" spans="2:4" x14ac:dyDescent="0.25">
      <c r="B5" s="67" t="s">
        <v>22</v>
      </c>
      <c r="C5" s="68"/>
      <c r="D5" s="69">
        <v>720000</v>
      </c>
    </row>
    <row r="6" spans="2:4" x14ac:dyDescent="0.25">
      <c r="B6" s="70" t="s">
        <v>23</v>
      </c>
      <c r="C6" s="71"/>
      <c r="D6" s="72">
        <v>-602500</v>
      </c>
    </row>
    <row r="7" spans="2:4" x14ac:dyDescent="0.25">
      <c r="B7" s="67" t="s">
        <v>24</v>
      </c>
      <c r="C7" s="68"/>
      <c r="D7" s="69">
        <v>117500</v>
      </c>
    </row>
    <row r="8" spans="2:4" x14ac:dyDescent="0.25">
      <c r="B8" s="70" t="s">
        <v>86</v>
      </c>
      <c r="C8" s="71"/>
      <c r="D8" s="72">
        <v>-30000</v>
      </c>
    </row>
    <row r="9" spans="2:4" x14ac:dyDescent="0.25">
      <c r="B9" s="100" t="s">
        <v>87</v>
      </c>
      <c r="C9" s="101"/>
      <c r="D9" s="72">
        <v>-50000</v>
      </c>
    </row>
    <row r="10" spans="2:4" x14ac:dyDescent="0.25">
      <c r="B10" s="100" t="s">
        <v>88</v>
      </c>
      <c r="C10" s="101"/>
      <c r="D10" s="72">
        <v>-7500</v>
      </c>
    </row>
    <row r="11" spans="2:4" x14ac:dyDescent="0.25">
      <c r="B11" s="100" t="s">
        <v>89</v>
      </c>
      <c r="C11" s="101"/>
      <c r="D11" s="72">
        <v>-15000</v>
      </c>
    </row>
    <row r="12" spans="2:4" x14ac:dyDescent="0.25">
      <c r="B12" s="67" t="s">
        <v>90</v>
      </c>
      <c r="C12" s="68"/>
      <c r="D12" s="69">
        <v>15000</v>
      </c>
    </row>
    <row r="13" spans="2:4" x14ac:dyDescent="0.25">
      <c r="B13" s="70" t="s">
        <v>91</v>
      </c>
      <c r="C13" s="71"/>
      <c r="D13" s="72">
        <v>-6000</v>
      </c>
    </row>
    <row r="14" spans="2:4" x14ac:dyDescent="0.25">
      <c r="B14" s="73" t="s">
        <v>92</v>
      </c>
      <c r="C14" s="74"/>
      <c r="D14" s="75">
        <v>9000</v>
      </c>
    </row>
    <row r="16" spans="2:4" x14ac:dyDescent="0.25">
      <c r="B16" s="97" t="s">
        <v>93</v>
      </c>
      <c r="C16" s="98"/>
      <c r="D16" s="99"/>
    </row>
    <row r="17" spans="2:4" x14ac:dyDescent="0.25">
      <c r="B17" s="67" t="s">
        <v>33</v>
      </c>
      <c r="C17" s="68"/>
      <c r="D17" s="69">
        <v>235000</v>
      </c>
    </row>
    <row r="18" spans="2:4" x14ac:dyDescent="0.25">
      <c r="B18" s="70" t="s">
        <v>94</v>
      </c>
      <c r="C18" s="71"/>
      <c r="D18" s="72">
        <v>9000</v>
      </c>
    </row>
    <row r="19" spans="2:4" x14ac:dyDescent="0.25">
      <c r="B19" s="102" t="s">
        <v>95</v>
      </c>
      <c r="C19" s="103"/>
      <c r="D19" s="72">
        <v>-7200</v>
      </c>
    </row>
    <row r="20" spans="2:4" x14ac:dyDescent="0.25">
      <c r="B20" s="73" t="s">
        <v>96</v>
      </c>
      <c r="C20" s="74"/>
      <c r="D20" s="75">
        <v>236800</v>
      </c>
    </row>
    <row r="22" spans="2:4" x14ac:dyDescent="0.25">
      <c r="B22" s="104" t="s">
        <v>97</v>
      </c>
      <c r="C22" s="105"/>
      <c r="D22" s="106"/>
    </row>
    <row r="23" spans="2:4" x14ac:dyDescent="0.25">
      <c r="B23" s="97" t="s">
        <v>98</v>
      </c>
      <c r="C23" s="98"/>
      <c r="D23" s="99"/>
    </row>
    <row r="24" spans="2:4" x14ac:dyDescent="0.25">
      <c r="B24" s="67" t="s">
        <v>99</v>
      </c>
      <c r="C24" s="76"/>
      <c r="D24" s="69">
        <v>9000</v>
      </c>
    </row>
    <row r="25" spans="2:4" x14ac:dyDescent="0.25">
      <c r="B25" s="70" t="s">
        <v>100</v>
      </c>
      <c r="C25" s="77"/>
      <c r="D25" s="72">
        <v>7500</v>
      </c>
    </row>
    <row r="26" spans="2:4" x14ac:dyDescent="0.25">
      <c r="B26" s="70" t="s">
        <v>101</v>
      </c>
      <c r="C26" s="77"/>
      <c r="D26" s="72">
        <v>15000</v>
      </c>
    </row>
    <row r="27" spans="2:4" x14ac:dyDescent="0.25">
      <c r="B27" s="107" t="s">
        <v>102</v>
      </c>
      <c r="C27" s="108"/>
      <c r="D27" s="69">
        <v>31500</v>
      </c>
    </row>
    <row r="28" spans="2:4" x14ac:dyDescent="0.25">
      <c r="B28" s="100" t="s">
        <v>103</v>
      </c>
      <c r="C28" s="101"/>
      <c r="D28" s="72">
        <v>-173000</v>
      </c>
    </row>
    <row r="29" spans="2:4" x14ac:dyDescent="0.25">
      <c r="B29" s="100" t="s">
        <v>104</v>
      </c>
      <c r="C29" s="101"/>
      <c r="D29" s="72">
        <v>72500</v>
      </c>
    </row>
    <row r="30" spans="2:4" x14ac:dyDescent="0.25">
      <c r="B30" s="100" t="s">
        <v>105</v>
      </c>
      <c r="C30" s="101"/>
      <c r="D30" s="72">
        <v>600000</v>
      </c>
    </row>
    <row r="31" spans="2:4" x14ac:dyDescent="0.25">
      <c r="B31" s="100" t="s">
        <v>106</v>
      </c>
      <c r="C31" s="101"/>
      <c r="D31" s="72">
        <v>70000</v>
      </c>
    </row>
    <row r="32" spans="2:4" x14ac:dyDescent="0.25">
      <c r="B32" s="100" t="s">
        <v>107</v>
      </c>
      <c r="C32" s="101"/>
      <c r="D32" s="72">
        <v>-14000</v>
      </c>
    </row>
    <row r="33" spans="2:4" x14ac:dyDescent="0.25">
      <c r="B33" s="100" t="s">
        <v>108</v>
      </c>
      <c r="C33" s="101"/>
      <c r="D33" s="72">
        <v>20000</v>
      </c>
    </row>
    <row r="34" spans="2:4" x14ac:dyDescent="0.25">
      <c r="B34" s="100" t="s">
        <v>109</v>
      </c>
      <c r="C34" s="101"/>
      <c r="D34" s="72">
        <v>5000</v>
      </c>
    </row>
    <row r="35" spans="2:4" x14ac:dyDescent="0.25">
      <c r="B35" s="73" t="s">
        <v>46</v>
      </c>
      <c r="C35" s="74"/>
      <c r="D35" s="75">
        <v>612000</v>
      </c>
    </row>
    <row r="36" spans="2:4" x14ac:dyDescent="0.25">
      <c r="B36" s="97" t="s">
        <v>110</v>
      </c>
      <c r="C36" s="98"/>
      <c r="D36" s="99"/>
    </row>
    <row r="37" spans="2:4" x14ac:dyDescent="0.25">
      <c r="B37" s="70" t="s">
        <v>111</v>
      </c>
      <c r="C37" s="71"/>
      <c r="D37" s="72">
        <v>-300000</v>
      </c>
    </row>
    <row r="38" spans="2:4" x14ac:dyDescent="0.25">
      <c r="B38" s="102"/>
      <c r="C38" s="103"/>
      <c r="D38" s="72"/>
    </row>
    <row r="39" spans="2:4" x14ac:dyDescent="0.25">
      <c r="B39" s="73" t="s">
        <v>46</v>
      </c>
      <c r="C39" s="74"/>
      <c r="D39" s="75">
        <v>-300000</v>
      </c>
    </row>
    <row r="40" spans="2:4" x14ac:dyDescent="0.25">
      <c r="B40" s="97" t="s">
        <v>112</v>
      </c>
      <c r="C40" s="98"/>
      <c r="D40" s="99"/>
    </row>
    <row r="41" spans="2:4" x14ac:dyDescent="0.25">
      <c r="B41" s="70"/>
      <c r="C41" s="71"/>
      <c r="D41" s="72"/>
    </row>
    <row r="42" spans="2:4" x14ac:dyDescent="0.25">
      <c r="B42" s="70" t="s">
        <v>28</v>
      </c>
      <c r="C42" s="71"/>
      <c r="D42" s="72">
        <v>-15000</v>
      </c>
    </row>
    <row r="43" spans="2:4" x14ac:dyDescent="0.25">
      <c r="B43" s="70" t="s">
        <v>113</v>
      </c>
      <c r="C43" s="71"/>
      <c r="D43" s="72">
        <v>-200000</v>
      </c>
    </row>
    <row r="44" spans="2:4" x14ac:dyDescent="0.25">
      <c r="B44" s="100" t="s">
        <v>114</v>
      </c>
      <c r="C44" s="101"/>
      <c r="D44" s="72">
        <v>7200</v>
      </c>
    </row>
    <row r="45" spans="2:4" x14ac:dyDescent="0.25">
      <c r="B45" s="70" t="s">
        <v>35</v>
      </c>
      <c r="C45" s="77"/>
      <c r="D45" s="72">
        <v>-7200</v>
      </c>
    </row>
    <row r="46" spans="2:4" x14ac:dyDescent="0.25">
      <c r="B46" s="73" t="s">
        <v>46</v>
      </c>
      <c r="C46" s="74"/>
      <c r="D46" s="75">
        <v>-215000</v>
      </c>
    </row>
    <row r="47" spans="2:4" x14ac:dyDescent="0.25">
      <c r="B47" s="78" t="s">
        <v>115</v>
      </c>
      <c r="C47" s="79"/>
      <c r="D47" s="80">
        <v>97000</v>
      </c>
    </row>
    <row r="48" spans="2:4" x14ac:dyDescent="0.25">
      <c r="B48" s="81" t="s">
        <v>116</v>
      </c>
      <c r="C48" s="82"/>
      <c r="D48" s="83">
        <v>35000</v>
      </c>
    </row>
    <row r="49" spans="2:5" x14ac:dyDescent="0.25">
      <c r="B49" s="84" t="s">
        <v>117</v>
      </c>
      <c r="C49" s="85"/>
      <c r="D49" s="86">
        <v>132000</v>
      </c>
      <c r="E49" s="90"/>
    </row>
  </sheetData>
  <mergeCells count="20">
    <mergeCell ref="B30:C30"/>
    <mergeCell ref="B2:D2"/>
    <mergeCell ref="B9:C9"/>
    <mergeCell ref="B10:C10"/>
    <mergeCell ref="B11:C11"/>
    <mergeCell ref="B16:D16"/>
    <mergeCell ref="B19:C19"/>
    <mergeCell ref="B22:D22"/>
    <mergeCell ref="B23:D23"/>
    <mergeCell ref="B27:C27"/>
    <mergeCell ref="B28:C28"/>
    <mergeCell ref="B29:C29"/>
    <mergeCell ref="B40:D40"/>
    <mergeCell ref="B44:C44"/>
    <mergeCell ref="B31:C31"/>
    <mergeCell ref="B32:C32"/>
    <mergeCell ref="B33:C33"/>
    <mergeCell ref="B34:C34"/>
    <mergeCell ref="B36:D36"/>
    <mergeCell ref="B38:C3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0"/>
  <sheetViews>
    <sheetView workbookViewId="0">
      <selection sqref="A1:XFD1048576"/>
    </sheetView>
  </sheetViews>
  <sheetFormatPr defaultRowHeight="15" customHeight="1" x14ac:dyDescent="0.25"/>
  <cols>
    <col min="1" max="1" width="9.140625" style="87"/>
    <col min="2" max="2" width="25.7109375" style="87" bestFit="1" customWidth="1"/>
    <col min="3" max="3" width="9.140625" style="87"/>
    <col min="4" max="4" width="8.42578125" style="87" bestFit="1" customWidth="1"/>
    <col min="5" max="16384" width="9.140625" style="87"/>
  </cols>
  <sheetData>
    <row r="2" spans="2:4" ht="15" customHeight="1" x14ac:dyDescent="0.25">
      <c r="B2" s="109"/>
      <c r="C2" s="109"/>
      <c r="D2" s="109"/>
    </row>
    <row r="3" spans="2:4" ht="15" customHeight="1" x14ac:dyDescent="0.25">
      <c r="B3" s="76"/>
      <c r="C3" s="68"/>
      <c r="D3" s="68"/>
    </row>
    <row r="4" spans="2:4" ht="15" customHeight="1" x14ac:dyDescent="0.25">
      <c r="B4" s="77"/>
      <c r="C4" s="71"/>
      <c r="D4" s="71"/>
    </row>
    <row r="5" spans="2:4" ht="15" customHeight="1" x14ac:dyDescent="0.25">
      <c r="B5" s="76"/>
      <c r="C5" s="68"/>
      <c r="D5" s="68"/>
    </row>
    <row r="6" spans="2:4" ht="15" customHeight="1" x14ac:dyDescent="0.25">
      <c r="B6" s="77"/>
      <c r="C6" s="71"/>
      <c r="D6" s="71"/>
    </row>
    <row r="7" spans="2:4" ht="15" customHeight="1" x14ac:dyDescent="0.25">
      <c r="B7" s="76"/>
      <c r="C7" s="68"/>
      <c r="D7" s="68"/>
    </row>
    <row r="8" spans="2:4" ht="15" customHeight="1" x14ac:dyDescent="0.25">
      <c r="B8" s="77"/>
      <c r="C8" s="71"/>
      <c r="D8" s="71"/>
    </row>
    <row r="9" spans="2:4" ht="15" customHeight="1" x14ac:dyDescent="0.25">
      <c r="B9" s="101"/>
      <c r="C9" s="101"/>
      <c r="D9" s="71"/>
    </row>
    <row r="10" spans="2:4" ht="15" customHeight="1" x14ac:dyDescent="0.25">
      <c r="B10" s="101"/>
      <c r="C10" s="101"/>
      <c r="D10" s="71"/>
    </row>
    <row r="11" spans="2:4" ht="15" customHeight="1" x14ac:dyDescent="0.25">
      <c r="B11" s="101"/>
      <c r="C11" s="101"/>
      <c r="D11" s="71"/>
    </row>
    <row r="12" spans="2:4" ht="15" customHeight="1" x14ac:dyDescent="0.25">
      <c r="B12" s="76"/>
      <c r="C12" s="68"/>
      <c r="D12" s="68"/>
    </row>
    <row r="13" spans="2:4" ht="15" customHeight="1" x14ac:dyDescent="0.25">
      <c r="B13" s="77"/>
      <c r="C13" s="71"/>
      <c r="D13" s="71"/>
    </row>
    <row r="14" spans="2:4" ht="15" customHeight="1" x14ac:dyDescent="0.25">
      <c r="B14" s="76"/>
      <c r="C14" s="71"/>
      <c r="D14" s="68"/>
    </row>
    <row r="16" spans="2:4" ht="15" customHeight="1" x14ac:dyDescent="0.25">
      <c r="B16" s="109"/>
      <c r="C16" s="109"/>
      <c r="D16" s="109"/>
    </row>
    <row r="17" spans="2:4" ht="15" customHeight="1" x14ac:dyDescent="0.25">
      <c r="B17" s="76"/>
      <c r="C17" s="68"/>
      <c r="D17" s="68"/>
    </row>
    <row r="18" spans="2:4" ht="15" customHeight="1" x14ac:dyDescent="0.25">
      <c r="B18" s="77"/>
      <c r="C18" s="71"/>
      <c r="D18" s="71"/>
    </row>
    <row r="19" spans="2:4" ht="15" customHeight="1" x14ac:dyDescent="0.25">
      <c r="B19" s="103"/>
      <c r="C19" s="103"/>
      <c r="D19" s="71"/>
    </row>
    <row r="20" spans="2:4" ht="15" customHeight="1" x14ac:dyDescent="0.25">
      <c r="B20" s="76"/>
      <c r="C20" s="71"/>
      <c r="D20" s="68"/>
    </row>
    <row r="22" spans="2:4" ht="15" customHeight="1" x14ac:dyDescent="0.25">
      <c r="B22" s="109"/>
      <c r="C22" s="109"/>
      <c r="D22" s="109"/>
    </row>
    <row r="23" spans="2:4" ht="15" customHeight="1" x14ac:dyDescent="0.25">
      <c r="B23" s="109"/>
      <c r="C23" s="109"/>
      <c r="D23" s="109"/>
    </row>
    <row r="24" spans="2:4" ht="15" customHeight="1" x14ac:dyDescent="0.25">
      <c r="B24" s="76"/>
      <c r="C24" s="76"/>
      <c r="D24" s="68"/>
    </row>
    <row r="25" spans="2:4" ht="15" customHeight="1" x14ac:dyDescent="0.25">
      <c r="B25" s="77"/>
      <c r="C25" s="77"/>
      <c r="D25" s="71"/>
    </row>
    <row r="26" spans="2:4" ht="15" customHeight="1" x14ac:dyDescent="0.25">
      <c r="B26" s="77"/>
      <c r="C26" s="77"/>
      <c r="D26" s="71"/>
    </row>
    <row r="27" spans="2:4" ht="15" customHeight="1" x14ac:dyDescent="0.25">
      <c r="B27" s="108"/>
      <c r="C27" s="108"/>
      <c r="D27" s="68"/>
    </row>
    <row r="28" spans="2:4" ht="15" customHeight="1" x14ac:dyDescent="0.25">
      <c r="B28" s="101"/>
      <c r="C28" s="101"/>
      <c r="D28" s="71"/>
    </row>
    <row r="29" spans="2:4" ht="15" customHeight="1" x14ac:dyDescent="0.25">
      <c r="B29" s="101"/>
      <c r="C29" s="101"/>
      <c r="D29" s="71"/>
    </row>
    <row r="30" spans="2:4" ht="15" customHeight="1" x14ac:dyDescent="0.25">
      <c r="B30" s="101"/>
      <c r="C30" s="101"/>
      <c r="D30" s="71"/>
    </row>
    <row r="31" spans="2:4" ht="15" customHeight="1" x14ac:dyDescent="0.25">
      <c r="B31" s="101"/>
      <c r="C31" s="101"/>
      <c r="D31" s="71"/>
    </row>
    <row r="32" spans="2:4" ht="15" customHeight="1" x14ac:dyDescent="0.25">
      <c r="B32" s="101"/>
      <c r="C32" s="101"/>
      <c r="D32" s="71"/>
    </row>
    <row r="33" spans="2:4" ht="15" customHeight="1" x14ac:dyDescent="0.25">
      <c r="B33" s="101"/>
      <c r="C33" s="101"/>
      <c r="D33" s="71"/>
    </row>
    <row r="34" spans="2:4" ht="15" customHeight="1" x14ac:dyDescent="0.25">
      <c r="B34" s="101"/>
      <c r="C34" s="101"/>
      <c r="D34" s="71"/>
    </row>
    <row r="35" spans="2:4" ht="15" customHeight="1" x14ac:dyDescent="0.25">
      <c r="B35" s="76"/>
      <c r="C35" s="71"/>
      <c r="D35" s="68"/>
    </row>
    <row r="36" spans="2:4" ht="15" customHeight="1" x14ac:dyDescent="0.25">
      <c r="B36" s="109"/>
      <c r="C36" s="109"/>
      <c r="D36" s="109"/>
    </row>
    <row r="37" spans="2:4" ht="15" customHeight="1" x14ac:dyDescent="0.25">
      <c r="B37" s="77"/>
      <c r="C37" s="71"/>
      <c r="D37" s="71"/>
    </row>
    <row r="38" spans="2:4" ht="15" customHeight="1" x14ac:dyDescent="0.25">
      <c r="B38" s="77"/>
      <c r="C38" s="71"/>
      <c r="D38" s="71"/>
    </row>
    <row r="39" spans="2:4" ht="15" customHeight="1" x14ac:dyDescent="0.25">
      <c r="B39" s="103"/>
      <c r="C39" s="103"/>
      <c r="D39" s="71"/>
    </row>
    <row r="40" spans="2:4" ht="15" customHeight="1" x14ac:dyDescent="0.25">
      <c r="B40" s="76"/>
      <c r="C40" s="71"/>
      <c r="D40" s="68"/>
    </row>
    <row r="41" spans="2:4" ht="15" customHeight="1" x14ac:dyDescent="0.25">
      <c r="B41" s="109"/>
      <c r="C41" s="109"/>
      <c r="D41" s="109"/>
    </row>
    <row r="42" spans="2:4" ht="15" customHeight="1" x14ac:dyDescent="0.25">
      <c r="B42" s="77"/>
      <c r="C42" s="71"/>
      <c r="D42" s="71"/>
    </row>
    <row r="43" spans="2:4" ht="15" customHeight="1" x14ac:dyDescent="0.25">
      <c r="B43" s="77"/>
      <c r="C43" s="71"/>
      <c r="D43" s="71"/>
    </row>
    <row r="44" spans="2:4" ht="15" customHeight="1" x14ac:dyDescent="0.25">
      <c r="B44" s="77"/>
      <c r="C44" s="71"/>
      <c r="D44" s="71"/>
    </row>
    <row r="45" spans="2:4" ht="15" customHeight="1" x14ac:dyDescent="0.25">
      <c r="B45" s="101"/>
      <c r="C45" s="101"/>
      <c r="D45" s="71"/>
    </row>
    <row r="46" spans="2:4" ht="15" customHeight="1" x14ac:dyDescent="0.25">
      <c r="B46" s="77"/>
      <c r="C46" s="77"/>
      <c r="D46" s="71"/>
    </row>
    <row r="47" spans="2:4" ht="15" customHeight="1" x14ac:dyDescent="0.25">
      <c r="B47" s="76"/>
      <c r="C47" s="71"/>
      <c r="D47" s="68"/>
    </row>
    <row r="48" spans="2:4" ht="15" customHeight="1" x14ac:dyDescent="0.25">
      <c r="B48" s="76"/>
      <c r="C48" s="68"/>
      <c r="D48" s="68"/>
    </row>
    <row r="49" spans="2:4" ht="15" customHeight="1" x14ac:dyDescent="0.25">
      <c r="B49" s="88"/>
      <c r="C49" s="89"/>
      <c r="D49" s="89"/>
    </row>
    <row r="50" spans="2:4" ht="15" customHeight="1" x14ac:dyDescent="0.25">
      <c r="B50" s="88"/>
      <c r="C50" s="89"/>
      <c r="D50" s="89"/>
    </row>
  </sheetData>
  <mergeCells count="20">
    <mergeCell ref="B30:C30"/>
    <mergeCell ref="B2:D2"/>
    <mergeCell ref="B9:C9"/>
    <mergeCell ref="B10:C10"/>
    <mergeCell ref="B11:C11"/>
    <mergeCell ref="B16:D16"/>
    <mergeCell ref="B19:C19"/>
    <mergeCell ref="B22:D22"/>
    <mergeCell ref="B23:D23"/>
    <mergeCell ref="B27:C27"/>
    <mergeCell ref="B28:C28"/>
    <mergeCell ref="B29:C29"/>
    <mergeCell ref="B41:D41"/>
    <mergeCell ref="B45:C45"/>
    <mergeCell ref="B31:C31"/>
    <mergeCell ref="B32:C32"/>
    <mergeCell ref="B33:C33"/>
    <mergeCell ref="B34:C34"/>
    <mergeCell ref="B36:D36"/>
    <mergeCell ref="B39:C39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DEMONSTRAÇÕES</vt:lpstr>
      <vt:lpstr>LANÇAMENTOS</vt:lpstr>
      <vt:lpstr>RAZONETES</vt:lpstr>
      <vt:lpstr>DFC</vt:lpstr>
      <vt:lpstr>Plan2</vt:lpstr>
    </vt:vector>
  </TitlesOfParts>
  <Company>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 Cleber Bonizio</dc:creator>
  <cp:lastModifiedBy>Usuario</cp:lastModifiedBy>
  <dcterms:created xsi:type="dcterms:W3CDTF">2018-06-07T01:00:18Z</dcterms:created>
  <dcterms:modified xsi:type="dcterms:W3CDTF">2018-06-11T21:43:13Z</dcterms:modified>
</cp:coreProperties>
</file>