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480" windowHeight="9525"/>
  </bookViews>
  <sheets>
    <sheet name="BALANÇOS - RESOLVIDO" sheetId="2" r:id="rId1"/>
    <sheet name="BALANÇOS - A RESOLVER" sheetId="3" r:id="rId2"/>
    <sheet name="LANÇAMENTOS" sheetId="4" r:id="rId3"/>
    <sheet name="ESTOQUES" sheetId="1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F34" i="2"/>
  <c r="F32" i="2"/>
  <c r="F27" i="2"/>
  <c r="F17" i="2"/>
  <c r="F29" i="2" s="1"/>
  <c r="M16" i="4"/>
  <c r="P16" i="4"/>
  <c r="Q15" i="4"/>
  <c r="D12" i="1"/>
  <c r="C12" i="1"/>
  <c r="E11" i="1"/>
  <c r="C11" i="1"/>
  <c r="E10" i="1"/>
  <c r="D10" i="1"/>
  <c r="E9" i="1"/>
  <c r="D9" i="1"/>
  <c r="C9" i="1"/>
  <c r="D8" i="1"/>
  <c r="E8" i="1"/>
  <c r="C8" i="1"/>
  <c r="E7" i="1"/>
  <c r="D7" i="1"/>
  <c r="C7" i="1"/>
  <c r="E6" i="1"/>
  <c r="D6" i="1"/>
  <c r="C6" i="1"/>
  <c r="D5" i="1"/>
  <c r="L14" i="4" l="1"/>
  <c r="L15" i="4"/>
  <c r="Q11" i="4"/>
  <c r="H11" i="4"/>
  <c r="N10" i="4"/>
  <c r="K9" i="4"/>
  <c r="Q7" i="4"/>
  <c r="E6" i="4"/>
  <c r="Q6" i="4" s="1"/>
  <c r="D5" i="4"/>
  <c r="Q5" i="4" s="1"/>
  <c r="F4" i="4"/>
  <c r="E4" i="4"/>
  <c r="J4" i="4"/>
  <c r="P3" i="4"/>
  <c r="O3" i="4"/>
  <c r="O17" i="4" s="1"/>
  <c r="N3" i="4"/>
  <c r="N17" i="4" s="1"/>
  <c r="M3" i="4"/>
  <c r="M17" i="4" s="1"/>
  <c r="L3" i="4"/>
  <c r="L13" i="4" s="1"/>
  <c r="K3" i="4"/>
  <c r="K13" i="4" s="1"/>
  <c r="J3" i="4"/>
  <c r="J13" i="4" s="1"/>
  <c r="P2" i="4"/>
  <c r="O2" i="4"/>
  <c r="N2" i="4"/>
  <c r="M2" i="4"/>
  <c r="L2" i="4"/>
  <c r="K2" i="4"/>
  <c r="J2" i="4"/>
  <c r="G3" i="4"/>
  <c r="G17" i="4" s="1"/>
  <c r="F3" i="4"/>
  <c r="E3" i="4"/>
  <c r="D3" i="4"/>
  <c r="D12" i="4" s="1"/>
  <c r="C3" i="4"/>
  <c r="D4" i="2"/>
  <c r="D5" i="2"/>
  <c r="F18" i="2" s="1"/>
  <c r="G5" i="2"/>
  <c r="F22" i="2" s="1"/>
  <c r="G4" i="2"/>
  <c r="F21" i="2" s="1"/>
  <c r="G8" i="2"/>
  <c r="F31" i="2" s="1"/>
  <c r="C17" i="2"/>
  <c r="D6" i="2" s="1"/>
  <c r="F19" i="2" s="1"/>
  <c r="C20" i="2"/>
  <c r="F16" i="2" s="1"/>
  <c r="D7" i="2"/>
  <c r="F20" i="2" s="1"/>
  <c r="C14" i="2"/>
  <c r="C15" i="2" s="1"/>
  <c r="G9" i="2"/>
  <c r="D8" i="2"/>
  <c r="C9" i="2"/>
  <c r="H3" i="4" s="1"/>
  <c r="H17" i="4" s="1"/>
  <c r="F11" i="2"/>
  <c r="C11" i="2"/>
  <c r="G3" i="2"/>
  <c r="D3" i="2"/>
  <c r="E4" i="1"/>
  <c r="D9" i="2" l="1"/>
  <c r="E12" i="1"/>
  <c r="F17" i="4"/>
  <c r="P17" i="4"/>
  <c r="C13" i="4"/>
  <c r="C17" i="4" s="1"/>
  <c r="E17" i="4"/>
  <c r="K17" i="4"/>
  <c r="J17" i="4"/>
  <c r="L17" i="4"/>
  <c r="D17" i="4"/>
  <c r="Q17" i="4"/>
  <c r="C16" i="2"/>
  <c r="C18" i="2" s="1"/>
  <c r="C23" i="2" s="1"/>
  <c r="C24" i="2" s="1"/>
  <c r="G6" i="2" s="1"/>
  <c r="F23" i="2" s="1"/>
  <c r="D11" i="2"/>
  <c r="D20" i="4" l="1"/>
  <c r="D19" i="4"/>
  <c r="C25" i="2"/>
  <c r="F15" i="2" s="1"/>
  <c r="F24" i="2" s="1"/>
  <c r="D21" i="4" l="1"/>
  <c r="G7" i="2"/>
  <c r="G10" i="2"/>
  <c r="G11" i="2" l="1"/>
  <c r="F30" i="2"/>
</calcChain>
</file>

<file path=xl/sharedStrings.xml><?xml version="1.0" encoding="utf-8"?>
<sst xmlns="http://schemas.openxmlformats.org/spreadsheetml/2006/main" count="114" uniqueCount="75">
  <si>
    <t>MOVIMENTAÇÃO DO ESTOQUE</t>
  </si>
  <si>
    <t>3o TRIM</t>
  </si>
  <si>
    <t>QUANT</t>
  </si>
  <si>
    <t>$/UNID</t>
  </si>
  <si>
    <t>$ TOTAL</t>
  </si>
  <si>
    <t>Saldo inicial</t>
  </si>
  <si>
    <t>Compras</t>
  </si>
  <si>
    <t>Saldo disponível</t>
  </si>
  <si>
    <t>Baixa pela venda</t>
  </si>
  <si>
    <t>Saldo final</t>
  </si>
  <si>
    <t>CIA BETA - BALANÇOS PATRIMONIAIS</t>
  </si>
  <si>
    <t>ATIVO</t>
  </si>
  <si>
    <t>PASSIVO + PL</t>
  </si>
  <si>
    <t>Disponibilidades</t>
  </si>
  <si>
    <t>Contas a receber</t>
  </si>
  <si>
    <t>Estoques</t>
  </si>
  <si>
    <t>Imobilizado</t>
  </si>
  <si>
    <t>(-) Depreciação acumulada</t>
  </si>
  <si>
    <t>TOTAL</t>
  </si>
  <si>
    <t>Fornecedores a pagaer</t>
  </si>
  <si>
    <t>Contas a pagar</t>
  </si>
  <si>
    <t>Tributos a pagar</t>
  </si>
  <si>
    <t>Empréstimos a pagar</t>
  </si>
  <si>
    <t>Capital social</t>
  </si>
  <si>
    <t>Reservas</t>
  </si>
  <si>
    <t>Impostos a recuperar</t>
  </si>
  <si>
    <t>DRE - ABRIL</t>
  </si>
  <si>
    <t>(=) Lucro antes do IR</t>
  </si>
  <si>
    <t>Receita bruta de venda</t>
  </si>
  <si>
    <t>(=) Receita líquida de venda</t>
  </si>
  <si>
    <t>(-) ICMS sobre venda</t>
  </si>
  <si>
    <t>(-) IR</t>
  </si>
  <si>
    <t>(=) Lucro líquido</t>
  </si>
  <si>
    <t>(-) Despesa frete</t>
  </si>
  <si>
    <t>(-) Despesa depreciação</t>
  </si>
  <si>
    <t>(-) Outras desp operac</t>
  </si>
  <si>
    <t>(-) CPV</t>
  </si>
  <si>
    <t>(=) Lucro bruto</t>
  </si>
  <si>
    <t>(-) Despesas financeiras</t>
  </si>
  <si>
    <t>Dividendos a pagar</t>
  </si>
  <si>
    <t>ICMS recuperar</t>
  </si>
  <si>
    <t>Deprec acumul</t>
  </si>
  <si>
    <t>Si</t>
  </si>
  <si>
    <t>RESULTADO</t>
  </si>
  <si>
    <t>P+PL</t>
  </si>
  <si>
    <t>a</t>
  </si>
  <si>
    <t>b</t>
  </si>
  <si>
    <t>c</t>
  </si>
  <si>
    <t>d</t>
  </si>
  <si>
    <t>Sf</t>
  </si>
  <si>
    <t>e</t>
  </si>
  <si>
    <t>f</t>
  </si>
  <si>
    <t>g</t>
  </si>
  <si>
    <t>h</t>
  </si>
  <si>
    <t>i</t>
  </si>
  <si>
    <t>Fluxo de caixa da operação</t>
  </si>
  <si>
    <t>DFC - ABRIL - INDIRETO</t>
  </si>
  <si>
    <t>Lucro líquido</t>
  </si>
  <si>
    <t>(+) Depreciação</t>
  </si>
  <si>
    <t>(+) Juros</t>
  </si>
  <si>
    <t>(+/-) Var contas a receb</t>
  </si>
  <si>
    <t>(+/-) Var estoques</t>
  </si>
  <si>
    <t>(+/-) Var imp a recup</t>
  </si>
  <si>
    <t>(+/-) Var fornec a pagar</t>
  </si>
  <si>
    <t>(+/-) Var contas a pagar</t>
  </si>
  <si>
    <t>(+/-) Var tributos a pagar</t>
  </si>
  <si>
    <t>(=) TOTAL</t>
  </si>
  <si>
    <t>Fluxo de caixa de investimento</t>
  </si>
  <si>
    <t>Fluxo de caixa de financiamento</t>
  </si>
  <si>
    <t>(-) Juros</t>
  </si>
  <si>
    <t>(+/-) Variaç dividend pagar</t>
  </si>
  <si>
    <t>(+/-) Variaç empr a pagar</t>
  </si>
  <si>
    <t>(-) Distr de lucro</t>
  </si>
  <si>
    <t>FLUXO DE CX LÍQUIDO</t>
  </si>
  <si>
    <t>valores errados na prova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</si>
</sst>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[$-416]d\-mmm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3" fontId="4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165" fontId="7" fillId="2" borderId="12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left" vertical="center" wrapText="1"/>
    </xf>
    <xf numFmtId="3" fontId="1" fillId="2" borderId="13" xfId="0" applyNumberFormat="1" applyFont="1" applyFill="1" applyBorder="1" applyAlignment="1">
      <alignment horizontal="left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left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left" vertical="center" wrapText="1"/>
    </xf>
    <xf numFmtId="3" fontId="1" fillId="2" borderId="20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vertical="center" wrapText="1"/>
    </xf>
    <xf numFmtId="3" fontId="1" fillId="2" borderId="17" xfId="0" applyNumberFormat="1" applyFont="1" applyFill="1" applyBorder="1" applyAlignment="1">
      <alignment vertical="center" wrapText="1"/>
    </xf>
    <xf numFmtId="3" fontId="1" fillId="2" borderId="22" xfId="0" applyNumberFormat="1" applyFont="1" applyFill="1" applyBorder="1" applyAlignment="1">
      <alignment horizontal="left" vertical="center" wrapText="1"/>
    </xf>
    <xf numFmtId="3" fontId="2" fillId="2" borderId="22" xfId="0" applyNumberFormat="1" applyFont="1" applyFill="1" applyBorder="1" applyAlignment="1">
      <alignment horizontal="left" vertical="center" wrapText="1"/>
    </xf>
    <xf numFmtId="3" fontId="2" fillId="2" borderId="13" xfId="0" applyNumberFormat="1" applyFont="1" applyFill="1" applyBorder="1" applyAlignment="1">
      <alignment horizontal="left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left"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" fontId="10" fillId="4" borderId="7" xfId="0" applyNumberFormat="1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center" vertical="center" wrapText="1"/>
    </xf>
    <xf numFmtId="3" fontId="10" fillId="4" borderId="9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4" borderId="2" xfId="0" applyNumberFormat="1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>
      <alignment horizontal="center" vertical="center" wrapText="1"/>
    </xf>
    <xf numFmtId="3" fontId="10" fillId="4" borderId="11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1" fillId="6" borderId="15" xfId="0" applyNumberFormat="1" applyFont="1" applyFill="1" applyBorder="1" applyAlignment="1">
      <alignment horizontal="center" vertical="center" wrapText="1"/>
    </xf>
    <xf numFmtId="3" fontId="1" fillId="6" borderId="18" xfId="0" applyNumberFormat="1" applyFont="1" applyFill="1" applyBorder="1" applyAlignment="1">
      <alignment horizontal="center" vertical="center" wrapText="1"/>
    </xf>
    <xf numFmtId="3" fontId="5" fillId="6" borderId="12" xfId="0" applyNumberFormat="1" applyFont="1" applyFill="1" applyBorder="1" applyAlignment="1">
      <alignment horizontal="center" vertical="center" wrapText="1"/>
    </xf>
    <xf numFmtId="3" fontId="2" fillId="6" borderId="23" xfId="0" applyNumberFormat="1" applyFont="1" applyFill="1" applyBorder="1" applyAlignment="1">
      <alignment horizontal="center" vertical="center" wrapText="1"/>
    </xf>
    <xf numFmtId="3" fontId="2" fillId="6" borderId="25" xfId="0" applyNumberFormat="1" applyFont="1" applyFill="1" applyBorder="1" applyAlignment="1">
      <alignment horizontal="center" vertical="center" wrapText="1"/>
    </xf>
    <xf numFmtId="3" fontId="12" fillId="2" borderId="26" xfId="0" applyNumberFormat="1" applyFont="1" applyFill="1" applyBorder="1" applyAlignment="1">
      <alignment horizontal="left" vertical="center" wrapText="1"/>
    </xf>
    <xf numFmtId="3" fontId="12" fillId="2" borderId="27" xfId="0" applyNumberFormat="1" applyFont="1" applyFill="1" applyBorder="1" applyAlignment="1">
      <alignment horizontal="left" vertical="center" wrapText="1"/>
    </xf>
    <xf numFmtId="3" fontId="1" fillId="6" borderId="28" xfId="0" applyNumberFormat="1" applyFont="1" applyFill="1" applyBorder="1" applyAlignment="1">
      <alignment horizontal="center" vertical="center" wrapText="1"/>
    </xf>
    <xf numFmtId="3" fontId="1" fillId="6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tabSelected="1" topLeftCell="A13" workbookViewId="0">
      <selection activeCell="D4" sqref="D4"/>
    </sheetView>
  </sheetViews>
  <sheetFormatPr defaultRowHeight="26.25" x14ac:dyDescent="0.25"/>
  <cols>
    <col min="1" max="1" width="9.140625" style="28"/>
    <col min="2" max="2" width="27.5703125" style="28" customWidth="1"/>
    <col min="3" max="3" width="10.5703125" style="28" bestFit="1" customWidth="1"/>
    <col min="4" max="4" width="12" style="28" bestFit="1" customWidth="1"/>
    <col min="5" max="5" width="27.5703125" style="28" customWidth="1"/>
    <col min="6" max="6" width="13.28515625" style="28" bestFit="1" customWidth="1"/>
    <col min="7" max="7" width="12.42578125" style="28" bestFit="1" customWidth="1"/>
    <col min="8" max="9" width="9.140625" style="28"/>
    <col min="10" max="10" width="14.7109375" style="28" bestFit="1" customWidth="1"/>
    <col min="11" max="16384" width="9.140625" style="28"/>
  </cols>
  <sheetData>
    <row r="2" spans="2:7" x14ac:dyDescent="0.25">
      <c r="B2" s="66" t="s">
        <v>10</v>
      </c>
      <c r="C2" s="66"/>
      <c r="D2" s="66"/>
      <c r="E2" s="66"/>
      <c r="F2" s="66"/>
      <c r="G2" s="66"/>
    </row>
    <row r="3" spans="2:7" x14ac:dyDescent="0.25">
      <c r="B3" s="26" t="s">
        <v>11</v>
      </c>
      <c r="C3" s="27">
        <v>43190</v>
      </c>
      <c r="D3" s="27">
        <f>C3+30</f>
        <v>43220</v>
      </c>
      <c r="E3" s="26" t="s">
        <v>12</v>
      </c>
      <c r="F3" s="27">
        <v>43190</v>
      </c>
      <c r="G3" s="27">
        <f>F3+30</f>
        <v>43220</v>
      </c>
    </row>
    <row r="4" spans="2:7" x14ac:dyDescent="0.25">
      <c r="B4" s="30" t="s">
        <v>13</v>
      </c>
      <c r="C4" s="31">
        <v>15000</v>
      </c>
      <c r="D4" s="32">
        <f>C4-9000+45000*80%-40000</f>
        <v>2000</v>
      </c>
      <c r="E4" s="39" t="s">
        <v>19</v>
      </c>
      <c r="F4" s="31">
        <v>25000</v>
      </c>
      <c r="G4" s="32">
        <f>F4+500*120-25000</f>
        <v>60000</v>
      </c>
    </row>
    <row r="5" spans="2:7" x14ac:dyDescent="0.25">
      <c r="B5" s="33" t="s">
        <v>14</v>
      </c>
      <c r="C5" s="34">
        <v>45000</v>
      </c>
      <c r="D5" s="35">
        <f>C5+1200*300-45000*80%</f>
        <v>369000</v>
      </c>
      <c r="E5" s="40" t="s">
        <v>20</v>
      </c>
      <c r="F5" s="34">
        <v>10000</v>
      </c>
      <c r="G5" s="35">
        <f>F5+17000+9000+8000-10000</f>
        <v>34000</v>
      </c>
    </row>
    <row r="6" spans="2:7" x14ac:dyDescent="0.25">
      <c r="B6" s="33" t="s">
        <v>15</v>
      </c>
      <c r="C6" s="34">
        <v>100000</v>
      </c>
      <c r="D6" s="35">
        <f>C6+500*120*80%+17000+C17</f>
        <v>30000</v>
      </c>
      <c r="E6" s="40" t="s">
        <v>21</v>
      </c>
      <c r="F6" s="34">
        <v>5000</v>
      </c>
      <c r="G6" s="35">
        <f>F6-C15-12000-C24-5000</f>
        <v>104500</v>
      </c>
    </row>
    <row r="7" spans="2:7" x14ac:dyDescent="0.25">
      <c r="B7" s="33" t="s">
        <v>25</v>
      </c>
      <c r="C7" s="34"/>
      <c r="D7" s="35">
        <f>500*120*20%-12000</f>
        <v>0</v>
      </c>
      <c r="E7" s="40" t="s">
        <v>39</v>
      </c>
      <c r="F7" s="34">
        <v>0</v>
      </c>
      <c r="G7" s="35">
        <f>C25*30%</f>
        <v>23850</v>
      </c>
    </row>
    <row r="8" spans="2:7" x14ac:dyDescent="0.25">
      <c r="B8" s="33" t="s">
        <v>16</v>
      </c>
      <c r="C8" s="34">
        <v>240000</v>
      </c>
      <c r="D8" s="35">
        <f t="shared" ref="D8" si="0">C8</f>
        <v>240000</v>
      </c>
      <c r="E8" s="40" t="s">
        <v>22</v>
      </c>
      <c r="F8" s="34">
        <v>90000</v>
      </c>
      <c r="G8" s="35">
        <f>F8-C22</f>
        <v>91000</v>
      </c>
    </row>
    <row r="9" spans="2:7" x14ac:dyDescent="0.25">
      <c r="B9" s="33" t="s">
        <v>17</v>
      </c>
      <c r="C9" s="34">
        <f>-240000/120*50</f>
        <v>-100000</v>
      </c>
      <c r="D9" s="35">
        <f>C9+C20</f>
        <v>-102000</v>
      </c>
      <c r="E9" s="40" t="s">
        <v>23</v>
      </c>
      <c r="F9" s="34">
        <v>150000</v>
      </c>
      <c r="G9" s="35">
        <f t="shared" ref="G9" si="1">F9</f>
        <v>150000</v>
      </c>
    </row>
    <row r="10" spans="2:7" x14ac:dyDescent="0.25">
      <c r="B10" s="36"/>
      <c r="C10" s="37"/>
      <c r="D10" s="38"/>
      <c r="E10" s="40" t="s">
        <v>24</v>
      </c>
      <c r="F10" s="34">
        <v>20000</v>
      </c>
      <c r="G10" s="35">
        <f>F10+C25*70%</f>
        <v>75650</v>
      </c>
    </row>
    <row r="11" spans="2:7" x14ac:dyDescent="0.25">
      <c r="B11" s="29" t="s">
        <v>18</v>
      </c>
      <c r="C11" s="25">
        <f>SUM(C4:C10)</f>
        <v>300000</v>
      </c>
      <c r="D11" s="25">
        <f>SUM(D4:D10)</f>
        <v>539000</v>
      </c>
      <c r="E11" s="29" t="s">
        <v>18</v>
      </c>
      <c r="F11" s="25">
        <f>SUM(F4:F10)</f>
        <v>300000</v>
      </c>
      <c r="G11" s="25">
        <f>SUM(G4:G10)</f>
        <v>539000</v>
      </c>
    </row>
    <row r="13" spans="2:7" x14ac:dyDescent="0.25">
      <c r="B13" s="67" t="s">
        <v>26</v>
      </c>
      <c r="C13" s="68"/>
      <c r="E13" s="67" t="s">
        <v>56</v>
      </c>
      <c r="F13" s="68"/>
    </row>
    <row r="14" spans="2:7" x14ac:dyDescent="0.25">
      <c r="B14" s="43" t="s">
        <v>28</v>
      </c>
      <c r="C14" s="45">
        <f>1200*300</f>
        <v>360000</v>
      </c>
      <c r="E14" s="81" t="s">
        <v>55</v>
      </c>
      <c r="F14" s="82"/>
    </row>
    <row r="15" spans="2:7" x14ac:dyDescent="0.25">
      <c r="B15" s="41" t="s">
        <v>30</v>
      </c>
      <c r="C15" s="46">
        <f>-C14*25%</f>
        <v>-90000</v>
      </c>
      <c r="E15" s="41" t="s">
        <v>57</v>
      </c>
      <c r="F15" s="46">
        <f>+C25</f>
        <v>79500</v>
      </c>
    </row>
    <row r="16" spans="2:7" x14ac:dyDescent="0.25">
      <c r="B16" s="42" t="s">
        <v>29</v>
      </c>
      <c r="C16" s="47">
        <f>SUM(C14:C15)</f>
        <v>270000</v>
      </c>
      <c r="E16" s="41" t="s">
        <v>58</v>
      </c>
      <c r="F16" s="46">
        <f>-C20</f>
        <v>2000</v>
      </c>
    </row>
    <row r="17" spans="2:6" s="44" customFormat="1" x14ac:dyDescent="0.25">
      <c r="B17" s="41" t="s">
        <v>36</v>
      </c>
      <c r="C17" s="46">
        <f>-ESTOQUES!E11</f>
        <v>-135000</v>
      </c>
      <c r="E17" s="41" t="s">
        <v>59</v>
      </c>
      <c r="F17" s="46">
        <f>-C22</f>
        <v>1000</v>
      </c>
    </row>
    <row r="18" spans="2:6" s="44" customFormat="1" x14ac:dyDescent="0.25">
      <c r="B18" s="42" t="s">
        <v>37</v>
      </c>
      <c r="C18" s="47">
        <f>SUM(C16:C17)</f>
        <v>135000</v>
      </c>
      <c r="E18" s="41" t="s">
        <v>60</v>
      </c>
      <c r="F18" s="46">
        <f>+C5-D5</f>
        <v>-324000</v>
      </c>
    </row>
    <row r="19" spans="2:6" x14ac:dyDescent="0.25">
      <c r="B19" s="41" t="s">
        <v>33</v>
      </c>
      <c r="C19" s="46">
        <v>-18000</v>
      </c>
      <c r="E19" s="41" t="s">
        <v>61</v>
      </c>
      <c r="F19" s="46">
        <f>+C6-D6</f>
        <v>70000</v>
      </c>
    </row>
    <row r="20" spans="2:6" x14ac:dyDescent="0.25">
      <c r="B20" s="41" t="s">
        <v>34</v>
      </c>
      <c r="C20" s="46">
        <f>-240000/120</f>
        <v>-2000</v>
      </c>
      <c r="E20" s="41" t="s">
        <v>62</v>
      </c>
      <c r="F20" s="46">
        <f>+C7-D7</f>
        <v>0</v>
      </c>
    </row>
    <row r="21" spans="2:6" x14ac:dyDescent="0.25">
      <c r="B21" s="41" t="s">
        <v>35</v>
      </c>
      <c r="C21" s="46">
        <v>-8000</v>
      </c>
      <c r="E21" s="41" t="s">
        <v>63</v>
      </c>
      <c r="F21" s="46">
        <f>+G4-F4</f>
        <v>35000</v>
      </c>
    </row>
    <row r="22" spans="2:6" x14ac:dyDescent="0.25">
      <c r="B22" s="41" t="s">
        <v>38</v>
      </c>
      <c r="C22" s="46">
        <v>-1000</v>
      </c>
      <c r="E22" s="41" t="s">
        <v>64</v>
      </c>
      <c r="F22" s="46">
        <f>+G5-F5</f>
        <v>24000</v>
      </c>
    </row>
    <row r="23" spans="2:6" x14ac:dyDescent="0.25">
      <c r="B23" s="42" t="s">
        <v>27</v>
      </c>
      <c r="C23" s="47">
        <f>SUM(C18:C22)</f>
        <v>106000</v>
      </c>
      <c r="E23" s="41" t="s">
        <v>65</v>
      </c>
      <c r="F23" s="46">
        <f>+G6-F6</f>
        <v>99500</v>
      </c>
    </row>
    <row r="24" spans="2:6" x14ac:dyDescent="0.25">
      <c r="B24" s="33" t="s">
        <v>31</v>
      </c>
      <c r="C24" s="35">
        <f>-C23*25%</f>
        <v>-26500</v>
      </c>
      <c r="E24" s="48" t="s">
        <v>66</v>
      </c>
      <c r="F24" s="49">
        <f>SUM(F15:F23)</f>
        <v>-13000</v>
      </c>
    </row>
    <row r="25" spans="2:6" ht="30" customHeight="1" x14ac:dyDescent="0.25">
      <c r="B25" s="48" t="s">
        <v>32</v>
      </c>
      <c r="C25" s="49">
        <f>SUM(C23:C24)</f>
        <v>79500</v>
      </c>
      <c r="E25" s="81" t="s">
        <v>67</v>
      </c>
      <c r="F25" s="82"/>
    </row>
    <row r="26" spans="2:6" x14ac:dyDescent="0.25">
      <c r="E26" s="41"/>
      <c r="F26" s="46"/>
    </row>
    <row r="27" spans="2:6" x14ac:dyDescent="0.25">
      <c r="E27" s="48" t="s">
        <v>66</v>
      </c>
      <c r="F27" s="49">
        <f>SUM(F26:F26)</f>
        <v>0</v>
      </c>
    </row>
    <row r="28" spans="2:6" x14ac:dyDescent="0.25">
      <c r="E28" s="81" t="s">
        <v>68</v>
      </c>
      <c r="F28" s="82"/>
    </row>
    <row r="29" spans="2:6" x14ac:dyDescent="0.25">
      <c r="E29" s="41" t="s">
        <v>69</v>
      </c>
      <c r="F29" s="46">
        <f>-F17</f>
        <v>-1000</v>
      </c>
    </row>
    <row r="30" spans="2:6" x14ac:dyDescent="0.25">
      <c r="E30" s="41" t="s">
        <v>70</v>
      </c>
      <c r="F30" s="46">
        <f>+G7-F7</f>
        <v>23850</v>
      </c>
    </row>
    <row r="31" spans="2:6" x14ac:dyDescent="0.25">
      <c r="E31" s="41" t="s">
        <v>71</v>
      </c>
      <c r="F31" s="46">
        <f>+G8-F8</f>
        <v>1000</v>
      </c>
    </row>
    <row r="32" spans="2:6" x14ac:dyDescent="0.25">
      <c r="E32" s="41" t="s">
        <v>72</v>
      </c>
      <c r="F32" s="46">
        <f>-LANÇAMENTOS!M16</f>
        <v>-23850</v>
      </c>
    </row>
    <row r="33" spans="5:6" x14ac:dyDescent="0.25">
      <c r="E33" s="41"/>
      <c r="F33" s="46"/>
    </row>
    <row r="34" spans="5:6" x14ac:dyDescent="0.25">
      <c r="E34" s="48" t="s">
        <v>66</v>
      </c>
      <c r="F34" s="49">
        <f>SUM(F29:F33)</f>
        <v>0</v>
      </c>
    </row>
    <row r="35" spans="5:6" x14ac:dyDescent="0.25">
      <c r="E35" s="48" t="s">
        <v>73</v>
      </c>
      <c r="F35" s="49">
        <f>+F24+F27+F34</f>
        <v>-13000</v>
      </c>
    </row>
  </sheetData>
  <mergeCells count="6">
    <mergeCell ref="E28:F28"/>
    <mergeCell ref="B2:G2"/>
    <mergeCell ref="B13:C13"/>
    <mergeCell ref="E13:F13"/>
    <mergeCell ref="E25:F25"/>
    <mergeCell ref="E14:F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workbookViewId="0">
      <selection activeCell="E8" sqref="E8"/>
    </sheetView>
  </sheetViews>
  <sheetFormatPr defaultRowHeight="26.25" x14ac:dyDescent="0.25"/>
  <cols>
    <col min="1" max="1" width="9.140625" style="28"/>
    <col min="2" max="2" width="27.5703125" style="28" customWidth="1"/>
    <col min="3" max="3" width="10.5703125" style="28" bestFit="1" customWidth="1"/>
    <col min="4" max="4" width="12" style="28" bestFit="1" customWidth="1"/>
    <col min="5" max="5" width="27.5703125" style="28" customWidth="1"/>
    <col min="6" max="6" width="13.28515625" style="28" bestFit="1" customWidth="1"/>
    <col min="7" max="7" width="12.42578125" style="28" bestFit="1" customWidth="1"/>
    <col min="8" max="9" width="9.140625" style="28"/>
    <col min="10" max="10" width="14.7109375" style="28" bestFit="1" customWidth="1"/>
    <col min="11" max="16384" width="9.140625" style="28"/>
  </cols>
  <sheetData>
    <row r="2" spans="2:7" x14ac:dyDescent="0.25">
      <c r="B2" s="66" t="s">
        <v>10</v>
      </c>
      <c r="C2" s="66"/>
      <c r="D2" s="66"/>
      <c r="E2" s="66"/>
      <c r="F2" s="66"/>
      <c r="G2" s="66"/>
    </row>
    <row r="3" spans="2:7" x14ac:dyDescent="0.25">
      <c r="B3" s="26" t="s">
        <v>11</v>
      </c>
      <c r="C3" s="27">
        <v>43190</v>
      </c>
      <c r="D3" s="27">
        <v>43220</v>
      </c>
      <c r="E3" s="26" t="s">
        <v>12</v>
      </c>
      <c r="F3" s="27">
        <v>43190</v>
      </c>
      <c r="G3" s="27">
        <v>43220</v>
      </c>
    </row>
    <row r="4" spans="2:7" x14ac:dyDescent="0.25">
      <c r="B4" s="30" t="s">
        <v>13</v>
      </c>
      <c r="C4" s="31">
        <v>15000</v>
      </c>
      <c r="D4" s="76">
        <v>2000</v>
      </c>
      <c r="E4" s="39" t="s">
        <v>19</v>
      </c>
      <c r="F4" s="31">
        <v>25000</v>
      </c>
      <c r="G4" s="35"/>
    </row>
    <row r="5" spans="2:7" x14ac:dyDescent="0.25">
      <c r="B5" s="33" t="s">
        <v>14</v>
      </c>
      <c r="C5" s="34">
        <v>45000</v>
      </c>
      <c r="D5" s="35"/>
      <c r="E5" s="40" t="s">
        <v>20</v>
      </c>
      <c r="F5" s="34">
        <v>10000</v>
      </c>
      <c r="G5" s="35"/>
    </row>
    <row r="6" spans="2:7" x14ac:dyDescent="0.25">
      <c r="B6" s="33" t="s">
        <v>15</v>
      </c>
      <c r="C6" s="34">
        <v>100000</v>
      </c>
      <c r="D6" s="35"/>
      <c r="E6" s="40" t="s">
        <v>21</v>
      </c>
      <c r="F6" s="34">
        <v>5000</v>
      </c>
      <c r="G6" s="35"/>
    </row>
    <row r="7" spans="2:7" x14ac:dyDescent="0.25">
      <c r="B7" s="33" t="s">
        <v>25</v>
      </c>
      <c r="C7" s="34"/>
      <c r="D7" s="35"/>
      <c r="E7" s="40" t="s">
        <v>39</v>
      </c>
      <c r="F7" s="34">
        <v>0</v>
      </c>
      <c r="G7" s="77">
        <v>22500</v>
      </c>
    </row>
    <row r="8" spans="2:7" x14ac:dyDescent="0.25">
      <c r="B8" s="33" t="s">
        <v>16</v>
      </c>
      <c r="C8" s="34">
        <v>240000</v>
      </c>
      <c r="D8" s="35"/>
      <c r="E8" s="40" t="s">
        <v>22</v>
      </c>
      <c r="F8" s="34">
        <v>90000</v>
      </c>
      <c r="G8" s="77"/>
    </row>
    <row r="9" spans="2:7" x14ac:dyDescent="0.25">
      <c r="B9" s="33" t="s">
        <v>17</v>
      </c>
      <c r="C9" s="34">
        <v>-100000</v>
      </c>
      <c r="D9" s="77">
        <v>-102000</v>
      </c>
      <c r="E9" s="40" t="s">
        <v>23</v>
      </c>
      <c r="F9" s="34">
        <v>150000</v>
      </c>
      <c r="G9" s="77"/>
    </row>
    <row r="10" spans="2:7" x14ac:dyDescent="0.25">
      <c r="B10" s="36"/>
      <c r="C10" s="37"/>
      <c r="D10" s="38"/>
      <c r="E10" s="40" t="s">
        <v>24</v>
      </c>
      <c r="F10" s="34">
        <v>20000</v>
      </c>
      <c r="G10" s="77">
        <v>72500</v>
      </c>
    </row>
    <row r="11" spans="2:7" x14ac:dyDescent="0.25">
      <c r="B11" s="29" t="s">
        <v>18</v>
      </c>
      <c r="C11" s="25">
        <v>300000</v>
      </c>
      <c r="D11" s="78">
        <v>533000</v>
      </c>
      <c r="E11" s="29" t="s">
        <v>18</v>
      </c>
      <c r="F11" s="25">
        <v>300000</v>
      </c>
      <c r="G11" s="78">
        <v>533000</v>
      </c>
    </row>
    <row r="13" spans="2:7" x14ac:dyDescent="0.25">
      <c r="B13" s="67" t="s">
        <v>26</v>
      </c>
      <c r="C13" s="68"/>
      <c r="E13" s="83" t="s">
        <v>74</v>
      </c>
      <c r="F13" s="84"/>
      <c r="G13" s="84"/>
    </row>
    <row r="14" spans="2:7" x14ac:dyDescent="0.25">
      <c r="B14" s="43" t="s">
        <v>28</v>
      </c>
      <c r="C14" s="45">
        <v>360000</v>
      </c>
    </row>
    <row r="15" spans="2:7" x14ac:dyDescent="0.25">
      <c r="B15" s="41" t="s">
        <v>30</v>
      </c>
      <c r="C15" s="46"/>
    </row>
    <row r="16" spans="2:7" x14ac:dyDescent="0.25">
      <c r="B16" s="42" t="s">
        <v>29</v>
      </c>
      <c r="C16" s="47"/>
    </row>
    <row r="17" spans="2:3" s="44" customFormat="1" x14ac:dyDescent="0.25">
      <c r="B17" s="41" t="s">
        <v>36</v>
      </c>
      <c r="C17" s="46"/>
    </row>
    <row r="18" spans="2:3" s="44" customFormat="1" x14ac:dyDescent="0.25">
      <c r="B18" s="42" t="s">
        <v>37</v>
      </c>
      <c r="C18" s="79">
        <v>129000</v>
      </c>
    </row>
    <row r="19" spans="2:3" x14ac:dyDescent="0.25">
      <c r="B19" s="41" t="s">
        <v>33</v>
      </c>
      <c r="C19" s="46"/>
    </row>
    <row r="20" spans="2:3" x14ac:dyDescent="0.25">
      <c r="B20" s="41" t="s">
        <v>34</v>
      </c>
      <c r="C20" s="46"/>
    </row>
    <row r="21" spans="2:3" x14ac:dyDescent="0.25">
      <c r="B21" s="41" t="s">
        <v>35</v>
      </c>
      <c r="C21" s="46"/>
    </row>
    <row r="22" spans="2:3" x14ac:dyDescent="0.25">
      <c r="B22" s="41" t="s">
        <v>38</v>
      </c>
      <c r="C22" s="46"/>
    </row>
    <row r="23" spans="2:3" x14ac:dyDescent="0.25">
      <c r="B23" s="42" t="s">
        <v>27</v>
      </c>
      <c r="C23" s="47"/>
    </row>
    <row r="24" spans="2:3" x14ac:dyDescent="0.25">
      <c r="B24" s="33" t="s">
        <v>31</v>
      </c>
      <c r="C24" s="35"/>
    </row>
    <row r="25" spans="2:3" x14ac:dyDescent="0.25">
      <c r="B25" s="48" t="s">
        <v>32</v>
      </c>
      <c r="C25" s="80">
        <v>75000</v>
      </c>
    </row>
  </sheetData>
  <mergeCells count="3">
    <mergeCell ref="B2:G2"/>
    <mergeCell ref="B13:C13"/>
    <mergeCell ref="E13:G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"/>
  <sheetViews>
    <sheetView topLeftCell="H1" workbookViewId="0">
      <selection activeCell="M16" sqref="M16"/>
    </sheetView>
  </sheetViews>
  <sheetFormatPr defaultRowHeight="15.75" x14ac:dyDescent="0.25"/>
  <cols>
    <col min="1" max="1" width="1" style="24" customWidth="1"/>
    <col min="2" max="2" width="4.7109375" style="24" customWidth="1"/>
    <col min="3" max="8" width="14" style="24" customWidth="1"/>
    <col min="9" max="9" width="1" style="24" customWidth="1"/>
    <col min="10" max="17" width="14" style="24" customWidth="1"/>
    <col min="18" max="16384" width="9.140625" style="24"/>
  </cols>
  <sheetData>
    <row r="2" spans="2:17" s="50" customFormat="1" ht="25.5" x14ac:dyDescent="0.25">
      <c r="C2" s="51" t="s">
        <v>13</v>
      </c>
      <c r="D2" s="51" t="s">
        <v>14</v>
      </c>
      <c r="E2" s="51" t="s">
        <v>15</v>
      </c>
      <c r="F2" s="51" t="s">
        <v>40</v>
      </c>
      <c r="G2" s="51" t="s">
        <v>16</v>
      </c>
      <c r="H2" s="51" t="s">
        <v>41</v>
      </c>
      <c r="I2" s="24"/>
      <c r="J2" s="51" t="str">
        <f>'BALANÇOS - RESOLVIDO'!$E$4</f>
        <v>Fornecedores a pagaer</v>
      </c>
      <c r="K2" s="51" t="str">
        <f>'BALANÇOS - RESOLVIDO'!$E$5</f>
        <v>Contas a pagar</v>
      </c>
      <c r="L2" s="51" t="str">
        <f>'BALANÇOS - RESOLVIDO'!$E$6</f>
        <v>Tributos a pagar</v>
      </c>
      <c r="M2" s="51" t="str">
        <f>'BALANÇOS - RESOLVIDO'!$E$7</f>
        <v>Dividendos a pagar</v>
      </c>
      <c r="N2" s="51" t="str">
        <f>'BALANÇOS - RESOLVIDO'!$E$8</f>
        <v>Empréstimos a pagar</v>
      </c>
      <c r="O2" s="51" t="str">
        <f>'BALANÇOS - RESOLVIDO'!$E$9</f>
        <v>Capital social</v>
      </c>
      <c r="P2" s="51" t="str">
        <f>'BALANÇOS - RESOLVIDO'!$E$10</f>
        <v>Reservas</v>
      </c>
      <c r="Q2" s="51" t="s">
        <v>43</v>
      </c>
    </row>
    <row r="3" spans="2:17" s="23" customFormat="1" x14ac:dyDescent="0.25">
      <c r="B3" s="23" t="s">
        <v>42</v>
      </c>
      <c r="C3" s="52">
        <f>'BALANÇOS - RESOLVIDO'!$C$4</f>
        <v>15000</v>
      </c>
      <c r="D3" s="52">
        <f>'BALANÇOS - RESOLVIDO'!$C$5</f>
        <v>45000</v>
      </c>
      <c r="E3" s="52">
        <f>'BALANÇOS - RESOLVIDO'!$C$6</f>
        <v>100000</v>
      </c>
      <c r="F3" s="52">
        <f>'BALANÇOS - RESOLVIDO'!$C$7</f>
        <v>0</v>
      </c>
      <c r="G3" s="52">
        <f>'BALANÇOS - RESOLVIDO'!$C$8</f>
        <v>240000</v>
      </c>
      <c r="H3" s="52">
        <f>'BALANÇOS - RESOLVIDO'!$C$9</f>
        <v>-100000</v>
      </c>
      <c r="J3" s="52">
        <f>'BALANÇOS - RESOLVIDO'!$F$4</f>
        <v>25000</v>
      </c>
      <c r="K3" s="52">
        <f>'BALANÇOS - RESOLVIDO'!$F$5</f>
        <v>10000</v>
      </c>
      <c r="L3" s="52">
        <f>'BALANÇOS - RESOLVIDO'!$F$6</f>
        <v>5000</v>
      </c>
      <c r="M3" s="52">
        <f>'BALANÇOS - RESOLVIDO'!$F$7</f>
        <v>0</v>
      </c>
      <c r="N3" s="52">
        <f>'BALANÇOS - RESOLVIDO'!$F$8</f>
        <v>90000</v>
      </c>
      <c r="O3" s="52">
        <f>'BALANÇOS - RESOLVIDO'!$F$9</f>
        <v>150000</v>
      </c>
      <c r="P3" s="52">
        <f>'BALANÇOS - RESOLVIDO'!$F$10</f>
        <v>20000</v>
      </c>
      <c r="Q3" s="52">
        <v>0</v>
      </c>
    </row>
    <row r="4" spans="2:17" s="50" customFormat="1" ht="12.75" x14ac:dyDescent="0.25">
      <c r="B4" s="65" t="s">
        <v>45</v>
      </c>
      <c r="C4" s="57"/>
      <c r="D4" s="58"/>
      <c r="E4" s="58">
        <f>500*120*80%+17000</f>
        <v>65000</v>
      </c>
      <c r="F4" s="58">
        <f>500*120*20%</f>
        <v>12000</v>
      </c>
      <c r="G4" s="58"/>
      <c r="H4" s="59"/>
      <c r="J4" s="57">
        <f>500*120</f>
        <v>60000</v>
      </c>
      <c r="K4" s="58">
        <v>17000</v>
      </c>
      <c r="L4" s="58"/>
      <c r="M4" s="58"/>
      <c r="N4" s="58"/>
      <c r="O4" s="58"/>
      <c r="P4" s="58"/>
      <c r="Q4" s="59"/>
    </row>
    <row r="5" spans="2:17" s="50" customFormat="1" ht="12.75" x14ac:dyDescent="0.25">
      <c r="B5" s="70" t="s">
        <v>46</v>
      </c>
      <c r="C5" s="57"/>
      <c r="D5" s="58">
        <f>1200*300</f>
        <v>360000</v>
      </c>
      <c r="E5" s="58"/>
      <c r="F5" s="58"/>
      <c r="G5" s="58"/>
      <c r="H5" s="59"/>
      <c r="J5" s="57"/>
      <c r="K5" s="58"/>
      <c r="L5" s="58"/>
      <c r="M5" s="58"/>
      <c r="N5" s="58"/>
      <c r="O5" s="58"/>
      <c r="P5" s="58"/>
      <c r="Q5" s="59">
        <f>D5</f>
        <v>360000</v>
      </c>
    </row>
    <row r="6" spans="2:17" s="50" customFormat="1" ht="12.75" x14ac:dyDescent="0.25">
      <c r="B6" s="71"/>
      <c r="C6" s="60"/>
      <c r="D6" s="53"/>
      <c r="E6" s="53">
        <f>-ESTOQUES!E11</f>
        <v>-135000</v>
      </c>
      <c r="F6" s="53"/>
      <c r="G6" s="53"/>
      <c r="H6" s="61"/>
      <c r="J6" s="60"/>
      <c r="K6" s="53"/>
      <c r="L6" s="53"/>
      <c r="M6" s="53"/>
      <c r="N6" s="53"/>
      <c r="O6" s="53"/>
      <c r="P6" s="53"/>
      <c r="Q6" s="61">
        <f>E6</f>
        <v>-135000</v>
      </c>
    </row>
    <row r="7" spans="2:17" s="50" customFormat="1" ht="12.75" x14ac:dyDescent="0.25">
      <c r="B7" s="71"/>
      <c r="C7" s="60"/>
      <c r="D7" s="53"/>
      <c r="E7" s="53"/>
      <c r="F7" s="53"/>
      <c r="G7" s="53"/>
      <c r="H7" s="61"/>
      <c r="J7" s="60"/>
      <c r="K7" s="53"/>
      <c r="L7" s="53">
        <v>90000</v>
      </c>
      <c r="M7" s="53"/>
      <c r="N7" s="53"/>
      <c r="O7" s="53"/>
      <c r="P7" s="53"/>
      <c r="Q7" s="61">
        <f>-L7</f>
        <v>-90000</v>
      </c>
    </row>
    <row r="8" spans="2:17" s="50" customFormat="1" ht="12.75" x14ac:dyDescent="0.25">
      <c r="B8" s="72"/>
      <c r="C8" s="62">
        <v>-9000</v>
      </c>
      <c r="D8" s="63"/>
      <c r="E8" s="63"/>
      <c r="F8" s="63"/>
      <c r="G8" s="63"/>
      <c r="H8" s="64"/>
      <c r="J8" s="62"/>
      <c r="K8" s="63">
        <v>9000</v>
      </c>
      <c r="L8" s="63"/>
      <c r="M8" s="63"/>
      <c r="N8" s="63"/>
      <c r="O8" s="63"/>
      <c r="P8" s="63"/>
      <c r="Q8" s="64">
        <v>-18000</v>
      </c>
    </row>
    <row r="9" spans="2:17" s="50" customFormat="1" ht="12.75" x14ac:dyDescent="0.25">
      <c r="B9" s="65" t="s">
        <v>47</v>
      </c>
      <c r="C9" s="62"/>
      <c r="D9" s="63"/>
      <c r="E9" s="63"/>
      <c r="F9" s="63"/>
      <c r="G9" s="63"/>
      <c r="H9" s="64"/>
      <c r="J9" s="62"/>
      <c r="K9" s="63">
        <f>-Q9</f>
        <v>8000</v>
      </c>
      <c r="L9" s="63"/>
      <c r="M9" s="63"/>
      <c r="N9" s="63"/>
      <c r="O9" s="63"/>
      <c r="P9" s="63"/>
      <c r="Q9" s="64">
        <v>-8000</v>
      </c>
    </row>
    <row r="10" spans="2:17" s="50" customFormat="1" ht="12.75" x14ac:dyDescent="0.25">
      <c r="B10" s="65" t="s">
        <v>48</v>
      </c>
      <c r="C10" s="54"/>
      <c r="D10" s="55"/>
      <c r="E10" s="55"/>
      <c r="F10" s="55"/>
      <c r="G10" s="55"/>
      <c r="H10" s="56"/>
      <c r="J10" s="54"/>
      <c r="K10" s="55"/>
      <c r="L10" s="55"/>
      <c r="M10" s="55"/>
      <c r="N10" s="55">
        <f>-Q10</f>
        <v>1000</v>
      </c>
      <c r="O10" s="55"/>
      <c r="P10" s="55"/>
      <c r="Q10" s="56">
        <v>-1000</v>
      </c>
    </row>
    <row r="11" spans="2:17" s="50" customFormat="1" ht="12.75" x14ac:dyDescent="0.25">
      <c r="B11" s="65" t="s">
        <v>50</v>
      </c>
      <c r="C11" s="54"/>
      <c r="D11" s="55"/>
      <c r="E11" s="55"/>
      <c r="F11" s="55"/>
      <c r="G11" s="55"/>
      <c r="H11" s="56">
        <f>-240000/120</f>
        <v>-2000</v>
      </c>
      <c r="J11" s="54"/>
      <c r="K11" s="55"/>
      <c r="L11" s="55"/>
      <c r="M11" s="55"/>
      <c r="N11" s="55"/>
      <c r="O11" s="55"/>
      <c r="P11" s="55"/>
      <c r="Q11" s="56">
        <f>H11</f>
        <v>-2000</v>
      </c>
    </row>
    <row r="12" spans="2:17" s="50" customFormat="1" ht="12.75" x14ac:dyDescent="0.25">
      <c r="B12" s="69" t="s">
        <v>51</v>
      </c>
      <c r="C12" s="57">
        <v>36000</v>
      </c>
      <c r="D12" s="58">
        <f>-D3*80%</f>
        <v>-36000</v>
      </c>
      <c r="E12" s="58"/>
      <c r="F12" s="58"/>
      <c r="G12" s="58"/>
      <c r="H12" s="59"/>
      <c r="J12" s="57"/>
      <c r="K12" s="58"/>
      <c r="L12" s="58"/>
      <c r="M12" s="58"/>
      <c r="N12" s="58"/>
      <c r="O12" s="58"/>
      <c r="P12" s="58"/>
      <c r="Q12" s="59"/>
    </row>
    <row r="13" spans="2:17" s="50" customFormat="1" ht="12.75" x14ac:dyDescent="0.25">
      <c r="B13" s="69"/>
      <c r="C13" s="62">
        <f>SUM(J13:L13)</f>
        <v>-40000</v>
      </c>
      <c r="D13" s="63"/>
      <c r="E13" s="63"/>
      <c r="F13" s="63"/>
      <c r="G13" s="63"/>
      <c r="H13" s="64"/>
      <c r="J13" s="62">
        <f>-J3</f>
        <v>-25000</v>
      </c>
      <c r="K13" s="63">
        <f t="shared" ref="K13:L13" si="0">-K3</f>
        <v>-10000</v>
      </c>
      <c r="L13" s="63">
        <f t="shared" si="0"/>
        <v>-5000</v>
      </c>
      <c r="M13" s="63"/>
      <c r="N13" s="63"/>
      <c r="O13" s="63"/>
      <c r="P13" s="63"/>
      <c r="Q13" s="64"/>
    </row>
    <row r="14" spans="2:17" s="50" customFormat="1" ht="12.75" x14ac:dyDescent="0.25">
      <c r="B14" s="65" t="s">
        <v>52</v>
      </c>
      <c r="C14" s="63"/>
      <c r="D14" s="63"/>
      <c r="E14" s="63"/>
      <c r="F14" s="63">
        <v>-12000</v>
      </c>
      <c r="G14" s="63"/>
      <c r="H14" s="64"/>
      <c r="J14" s="62"/>
      <c r="K14" s="63"/>
      <c r="L14" s="63">
        <f>F14</f>
        <v>-12000</v>
      </c>
      <c r="M14" s="63"/>
      <c r="N14" s="63"/>
      <c r="O14" s="63"/>
      <c r="P14" s="63"/>
      <c r="Q14" s="64"/>
    </row>
    <row r="15" spans="2:17" s="50" customFormat="1" ht="12.75" x14ac:dyDescent="0.25">
      <c r="B15" s="65" t="s">
        <v>53</v>
      </c>
      <c r="C15" s="55"/>
      <c r="D15" s="55"/>
      <c r="E15" s="55"/>
      <c r="F15" s="55"/>
      <c r="G15" s="55"/>
      <c r="H15" s="56"/>
      <c r="J15" s="54"/>
      <c r="K15" s="55"/>
      <c r="L15" s="55">
        <f>-Q15</f>
        <v>26500</v>
      </c>
      <c r="M15" s="55"/>
      <c r="N15" s="55"/>
      <c r="O15" s="55"/>
      <c r="P15" s="55"/>
      <c r="Q15" s="56">
        <f>-SUM(Q4:Q14)*25%</f>
        <v>-26500</v>
      </c>
    </row>
    <row r="16" spans="2:17" s="50" customFormat="1" ht="12.75" x14ac:dyDescent="0.25">
      <c r="B16" s="65" t="s">
        <v>54</v>
      </c>
      <c r="C16" s="55"/>
      <c r="D16" s="55"/>
      <c r="E16" s="55"/>
      <c r="F16" s="55"/>
      <c r="G16" s="55"/>
      <c r="H16" s="56"/>
      <c r="J16" s="54"/>
      <c r="K16" s="55"/>
      <c r="L16" s="55"/>
      <c r="M16" s="55">
        <f>-Q16*30%</f>
        <v>23850</v>
      </c>
      <c r="N16" s="55"/>
      <c r="O16" s="55"/>
      <c r="P16" s="55">
        <f>+-Q16*70%</f>
        <v>55650</v>
      </c>
      <c r="Q16" s="56">
        <v>-79500</v>
      </c>
    </row>
    <row r="17" spans="2:17" s="23" customFormat="1" x14ac:dyDescent="0.25">
      <c r="B17" s="23" t="s">
        <v>49</v>
      </c>
      <c r="C17" s="52">
        <f t="shared" ref="C17:H17" si="1">SUM(C3:C16)</f>
        <v>2000</v>
      </c>
      <c r="D17" s="52">
        <f t="shared" si="1"/>
        <v>369000</v>
      </c>
      <c r="E17" s="52">
        <f t="shared" si="1"/>
        <v>30000</v>
      </c>
      <c r="F17" s="52">
        <f t="shared" si="1"/>
        <v>0</v>
      </c>
      <c r="G17" s="52">
        <f t="shared" si="1"/>
        <v>240000</v>
      </c>
      <c r="H17" s="52">
        <f t="shared" si="1"/>
        <v>-102000</v>
      </c>
      <c r="J17" s="52">
        <f t="shared" ref="J17:Q17" si="2">SUM(J3:J16)</f>
        <v>60000</v>
      </c>
      <c r="K17" s="52">
        <f t="shared" si="2"/>
        <v>34000</v>
      </c>
      <c r="L17" s="52">
        <f t="shared" si="2"/>
        <v>104500</v>
      </c>
      <c r="M17" s="52">
        <f t="shared" si="2"/>
        <v>23850</v>
      </c>
      <c r="N17" s="52">
        <f t="shared" si="2"/>
        <v>91000</v>
      </c>
      <c r="O17" s="52">
        <f t="shared" si="2"/>
        <v>150000</v>
      </c>
      <c r="P17" s="52">
        <f t="shared" si="2"/>
        <v>75650</v>
      </c>
      <c r="Q17" s="52">
        <f t="shared" si="2"/>
        <v>0</v>
      </c>
    </row>
    <row r="19" spans="2:17" s="23" customFormat="1" x14ac:dyDescent="0.25">
      <c r="C19" s="52" t="s">
        <v>11</v>
      </c>
      <c r="D19" s="52">
        <f>SUM(C17:H17)</f>
        <v>539000</v>
      </c>
    </row>
    <row r="20" spans="2:17" s="23" customFormat="1" x14ac:dyDescent="0.25">
      <c r="C20" s="52" t="s">
        <v>44</v>
      </c>
      <c r="D20" s="52">
        <f>SUM(J17:Q17)</f>
        <v>539000</v>
      </c>
    </row>
    <row r="21" spans="2:17" x14ac:dyDescent="0.25">
      <c r="D21" s="52">
        <f>D19-D20</f>
        <v>0</v>
      </c>
    </row>
  </sheetData>
  <mergeCells count="2">
    <mergeCell ref="B12:B13"/>
    <mergeCell ref="B5:B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E11" sqref="E11"/>
    </sheetView>
  </sheetViews>
  <sheetFormatPr defaultRowHeight="15" x14ac:dyDescent="0.25"/>
  <cols>
    <col min="1" max="1" width="9.140625" style="22"/>
    <col min="2" max="2" width="16" style="22" bestFit="1" customWidth="1"/>
    <col min="3" max="4" width="7.5703125" style="22" bestFit="1" customWidth="1"/>
    <col min="5" max="5" width="8" style="22" bestFit="1" customWidth="1"/>
    <col min="6" max="16384" width="9.140625" style="22"/>
  </cols>
  <sheetData>
    <row r="2" spans="2:5" x14ac:dyDescent="0.25">
      <c r="B2" s="73" t="s">
        <v>0</v>
      </c>
      <c r="C2" s="74"/>
      <c r="D2" s="74"/>
      <c r="E2" s="75"/>
    </row>
    <row r="3" spans="2:5" x14ac:dyDescent="0.25">
      <c r="B3" s="1" t="s">
        <v>1</v>
      </c>
      <c r="C3" s="2" t="s">
        <v>2</v>
      </c>
      <c r="D3" s="2" t="s">
        <v>3</v>
      </c>
      <c r="E3" s="3" t="s">
        <v>4</v>
      </c>
    </row>
    <row r="4" spans="2:5" x14ac:dyDescent="0.25">
      <c r="B4" s="4" t="s">
        <v>5</v>
      </c>
      <c r="C4" s="5">
        <v>1000</v>
      </c>
      <c r="D4" s="6">
        <v>100</v>
      </c>
      <c r="E4" s="7">
        <f>C4*D4</f>
        <v>100000</v>
      </c>
    </row>
    <row r="5" spans="2:5" x14ac:dyDescent="0.25">
      <c r="B5" s="4" t="s">
        <v>6</v>
      </c>
      <c r="C5" s="5">
        <v>500</v>
      </c>
      <c r="D5" s="6">
        <f>+E5/C5</f>
        <v>130</v>
      </c>
      <c r="E5" s="7">
        <v>65000</v>
      </c>
    </row>
    <row r="6" spans="2:5" x14ac:dyDescent="0.25">
      <c r="B6" s="8"/>
      <c r="C6" s="9">
        <f>+C4</f>
        <v>1000</v>
      </c>
      <c r="D6" s="10">
        <f>+D4</f>
        <v>100</v>
      </c>
      <c r="E6" s="11">
        <f>+D6*C6</f>
        <v>100000</v>
      </c>
    </row>
    <row r="7" spans="2:5" x14ac:dyDescent="0.25">
      <c r="B7" s="12"/>
      <c r="C7" s="13">
        <f>+C5</f>
        <v>500</v>
      </c>
      <c r="D7" s="14">
        <f>+D5</f>
        <v>130</v>
      </c>
      <c r="E7" s="15">
        <f>+C7*D7</f>
        <v>65000</v>
      </c>
    </row>
    <row r="8" spans="2:5" x14ac:dyDescent="0.25">
      <c r="B8" s="1" t="s">
        <v>7</v>
      </c>
      <c r="C8" s="2">
        <f>+SUM(C6:C7)</f>
        <v>1500</v>
      </c>
      <c r="D8" s="16">
        <f>+E8/C8</f>
        <v>110</v>
      </c>
      <c r="E8" s="3">
        <f>+SUM(E6:E7)</f>
        <v>165000</v>
      </c>
    </row>
    <row r="9" spans="2:5" x14ac:dyDescent="0.25">
      <c r="B9" s="8"/>
      <c r="C9" s="9">
        <f>+C7</f>
        <v>500</v>
      </c>
      <c r="D9" s="10">
        <f>+D7</f>
        <v>130</v>
      </c>
      <c r="E9" s="11">
        <f>+C9*D9</f>
        <v>65000</v>
      </c>
    </row>
    <row r="10" spans="2:5" x14ac:dyDescent="0.25">
      <c r="B10" s="12"/>
      <c r="C10" s="13">
        <v>700</v>
      </c>
      <c r="D10" s="17">
        <f>+D6</f>
        <v>100</v>
      </c>
      <c r="E10" s="15">
        <f>+C10*D10</f>
        <v>70000</v>
      </c>
    </row>
    <row r="11" spans="2:5" x14ac:dyDescent="0.25">
      <c r="B11" s="1" t="s">
        <v>8</v>
      </c>
      <c r="C11" s="2">
        <f>SUM(C9:C10)</f>
        <v>1200</v>
      </c>
      <c r="D11" s="2"/>
      <c r="E11" s="3">
        <f>+SUM(E9:E10)</f>
        <v>135000</v>
      </c>
    </row>
    <row r="12" spans="2:5" x14ac:dyDescent="0.25">
      <c r="B12" s="18" t="s">
        <v>9</v>
      </c>
      <c r="C12" s="19">
        <f>+C6-C10</f>
        <v>300</v>
      </c>
      <c r="D12" s="20">
        <f>+D6</f>
        <v>100</v>
      </c>
      <c r="E12" s="21">
        <f>C12*D12</f>
        <v>30000</v>
      </c>
    </row>
  </sheetData>
  <mergeCells count="1"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BALANÇOS - RESOLVIDO</vt:lpstr>
      <vt:lpstr>BALANÇOS - A RESOLVER</vt:lpstr>
      <vt:lpstr>LANÇAMENTOS</vt:lpstr>
      <vt:lpstr>ESTOQUES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Roni Cleber Bonizio</cp:lastModifiedBy>
  <dcterms:created xsi:type="dcterms:W3CDTF">2018-05-16T19:27:28Z</dcterms:created>
  <dcterms:modified xsi:type="dcterms:W3CDTF">2018-05-17T23:38:16Z</dcterms:modified>
</cp:coreProperties>
</file>