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raduação\00 - 1o semestre 2018\ANÁLISE DE CUSTOS\"/>
    </mc:Choice>
  </mc:AlternateContent>
  <bookViews>
    <workbookView xWindow="0" yWindow="0" windowWidth="24000" windowHeight="9525" firstSheet="18" activeTab="19"/>
  </bookViews>
  <sheets>
    <sheet name="EXEMPLO DEPRECIAÇÃO" sheetId="1" r:id="rId1"/>
    <sheet name="EXEMPLO COMÉRCIO DE LIVROS" sheetId="2" r:id="rId2"/>
    <sheet name="Aerotreiteur" sheetId="6" r:id="rId3"/>
    <sheet name="Gallatin" sheetId="5" r:id="rId4"/>
    <sheet name="DENTON COMPANY" sheetId="3" r:id="rId5"/>
    <sheet name="STARFAX" sheetId="4" r:id="rId6"/>
    <sheet name="OKI PRODUCTS" sheetId="7" r:id="rId7"/>
    <sheet name="MILDEN CONPANY" sheetId="8" r:id="rId8"/>
    <sheet name="CONFECÇÕES ANDRADE" sheetId="9" r:id="rId9"/>
    <sheet name="EXERCÍCIO 18.5 - MARTINS" sheetId="10" r:id="rId10"/>
    <sheet name="MOVELAR" sheetId="12" r:id="rId11"/>
    <sheet name="TURIASSU - PARTE 1" sheetId="13" r:id="rId12"/>
    <sheet name="TURIASSU - PARTE 2" sheetId="14" r:id="rId13"/>
    <sheet name="BENDIX" sheetId="15" r:id="rId14"/>
    <sheet name="DITKA" sheetId="16" r:id="rId15"/>
    <sheet name="POLASKY" sheetId="17" r:id="rId16"/>
    <sheet name="WALTON TOY" sheetId="18" r:id="rId17"/>
    <sheet name="MARIA LORENZI" sheetId="19" r:id="rId18"/>
    <sheet name="SOFTWARE SOLUTION" sheetId="20" r:id="rId19"/>
    <sheet name="UBERIN" sheetId="21" r:id="rId20"/>
    <sheet name="Plan2" sheetId="11" r:id="rId2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1" l="1"/>
  <c r="D20" i="21"/>
  <c r="O18" i="21" s="1"/>
  <c r="K22" i="21"/>
  <c r="G22" i="21"/>
  <c r="D19" i="21"/>
  <c r="H20" i="21"/>
  <c r="P19" i="21" s="1"/>
  <c r="H19" i="21"/>
  <c r="H18" i="21"/>
  <c r="P18" i="21" s="1"/>
  <c r="P21" i="21" s="1"/>
  <c r="L19" i="21"/>
  <c r="L18" i="21"/>
  <c r="L22" i="21" s="1"/>
  <c r="C18" i="21"/>
  <c r="C22" i="21" s="1"/>
  <c r="K7" i="21"/>
  <c r="K9" i="21" s="1"/>
  <c r="L6" i="21"/>
  <c r="Q6" i="21" s="1"/>
  <c r="D7" i="21"/>
  <c r="O8" i="21" s="1"/>
  <c r="O9" i="21" s="1"/>
  <c r="C6" i="21"/>
  <c r="D6" i="21" s="1"/>
  <c r="D9" i="21" s="1"/>
  <c r="H8" i="21"/>
  <c r="P7" i="21" s="1"/>
  <c r="P9" i="21" s="1"/>
  <c r="G9" i="21"/>
  <c r="H7" i="21"/>
  <c r="H6" i="21"/>
  <c r="R7" i="21" l="1"/>
  <c r="O20" i="21"/>
  <c r="H9" i="21"/>
  <c r="D18" i="21"/>
  <c r="D22" i="21" s="1"/>
  <c r="R6" i="21"/>
  <c r="Q9" i="21"/>
  <c r="O21" i="21"/>
  <c r="R20" i="21"/>
  <c r="H22" i="21"/>
  <c r="C9" i="21"/>
  <c r="R19" i="21"/>
  <c r="R18" i="21"/>
  <c r="Q21" i="21"/>
  <c r="R8" i="21"/>
  <c r="L7" i="21"/>
  <c r="L9" i="21" s="1"/>
  <c r="G11" i="21" s="1"/>
  <c r="M227" i="20"/>
  <c r="L227" i="20"/>
  <c r="M226" i="20"/>
  <c r="L226" i="20"/>
  <c r="M225" i="20"/>
  <c r="L225" i="20"/>
  <c r="M224" i="20"/>
  <c r="L224" i="20"/>
  <c r="M223" i="20"/>
  <c r="L223" i="20"/>
  <c r="M222" i="20"/>
  <c r="L222" i="20"/>
  <c r="M221" i="20"/>
  <c r="L221" i="20"/>
  <c r="M220" i="20"/>
  <c r="L220" i="20"/>
  <c r="M219" i="20"/>
  <c r="L219" i="20"/>
  <c r="M218" i="20"/>
  <c r="L218" i="20"/>
  <c r="M217" i="20"/>
  <c r="L217" i="20"/>
  <c r="M216" i="20"/>
  <c r="L216" i="20"/>
  <c r="M215" i="20"/>
  <c r="L215" i="20"/>
  <c r="M214" i="20"/>
  <c r="L214" i="20"/>
  <c r="M213" i="20"/>
  <c r="L213" i="20"/>
  <c r="M212" i="20"/>
  <c r="L212" i="20"/>
  <c r="M211" i="20"/>
  <c r="L211" i="20"/>
  <c r="M210" i="20"/>
  <c r="L210" i="20"/>
  <c r="M209" i="20"/>
  <c r="L209" i="20"/>
  <c r="M208" i="20"/>
  <c r="L208" i="20"/>
  <c r="M207" i="20"/>
  <c r="L207" i="20"/>
  <c r="M206" i="20"/>
  <c r="L206" i="20"/>
  <c r="M205" i="20"/>
  <c r="L205" i="20"/>
  <c r="M204" i="20"/>
  <c r="L204" i="20"/>
  <c r="M203" i="20"/>
  <c r="L203" i="20"/>
  <c r="M202" i="20"/>
  <c r="L202" i="20"/>
  <c r="M201" i="20"/>
  <c r="L201" i="20"/>
  <c r="M200" i="20"/>
  <c r="L200" i="20"/>
  <c r="M199" i="20"/>
  <c r="L199" i="20"/>
  <c r="M198" i="20"/>
  <c r="L198" i="20"/>
  <c r="M197" i="20"/>
  <c r="L197" i="20"/>
  <c r="M196" i="20"/>
  <c r="L196" i="20"/>
  <c r="M195" i="20"/>
  <c r="L195" i="20"/>
  <c r="M194" i="20"/>
  <c r="L194" i="20"/>
  <c r="M193" i="20"/>
  <c r="L193" i="20"/>
  <c r="M192" i="20"/>
  <c r="L192" i="20"/>
  <c r="M191" i="20"/>
  <c r="L191" i="20"/>
  <c r="M190" i="20"/>
  <c r="L190" i="20"/>
  <c r="M189" i="20"/>
  <c r="L189" i="20"/>
  <c r="M188" i="20"/>
  <c r="L188" i="20"/>
  <c r="M187" i="20"/>
  <c r="L187" i="20"/>
  <c r="M186" i="20"/>
  <c r="L186" i="20"/>
  <c r="M185" i="20"/>
  <c r="L185" i="20"/>
  <c r="M184" i="20"/>
  <c r="L184" i="20"/>
  <c r="M183" i="20"/>
  <c r="L183" i="20"/>
  <c r="M182" i="20"/>
  <c r="L182" i="20"/>
  <c r="M181" i="20"/>
  <c r="L181" i="20"/>
  <c r="M180" i="20"/>
  <c r="L180" i="20"/>
  <c r="M179" i="20"/>
  <c r="L179" i="20"/>
  <c r="M178" i="20"/>
  <c r="L178" i="20"/>
  <c r="M177" i="20"/>
  <c r="L177" i="20"/>
  <c r="M176" i="20"/>
  <c r="L176" i="20"/>
  <c r="M175" i="20"/>
  <c r="L175" i="20"/>
  <c r="M174" i="20"/>
  <c r="L174" i="20"/>
  <c r="M173" i="20"/>
  <c r="L173" i="20"/>
  <c r="M172" i="20"/>
  <c r="L172" i="20"/>
  <c r="M171" i="20"/>
  <c r="L171" i="20"/>
  <c r="M170" i="20"/>
  <c r="L170" i="20"/>
  <c r="M169" i="20"/>
  <c r="L169" i="20"/>
  <c r="M168" i="20"/>
  <c r="L168" i="20"/>
  <c r="M167" i="20"/>
  <c r="L167" i="20"/>
  <c r="M166" i="20"/>
  <c r="L166" i="20"/>
  <c r="M165" i="20"/>
  <c r="L165" i="20"/>
  <c r="M164" i="20"/>
  <c r="L164" i="20"/>
  <c r="M163" i="20"/>
  <c r="L163" i="20"/>
  <c r="M162" i="20"/>
  <c r="L162" i="20"/>
  <c r="M161" i="20"/>
  <c r="L161" i="20"/>
  <c r="M160" i="20"/>
  <c r="L160" i="20"/>
  <c r="M159" i="20"/>
  <c r="L159" i="20"/>
  <c r="M158" i="20"/>
  <c r="L158" i="20"/>
  <c r="M157" i="20"/>
  <c r="L157" i="20"/>
  <c r="M156" i="20"/>
  <c r="L156" i="20"/>
  <c r="M155" i="20"/>
  <c r="L155" i="20"/>
  <c r="M154" i="20"/>
  <c r="L154" i="20"/>
  <c r="M153" i="20"/>
  <c r="L153" i="20"/>
  <c r="M152" i="20"/>
  <c r="L152" i="20"/>
  <c r="M151" i="20"/>
  <c r="L151" i="20"/>
  <c r="M150" i="20"/>
  <c r="L150" i="20"/>
  <c r="M149" i="20"/>
  <c r="L149" i="20"/>
  <c r="M148" i="20"/>
  <c r="L148" i="20"/>
  <c r="M147" i="20"/>
  <c r="L147" i="20"/>
  <c r="M146" i="20"/>
  <c r="L146" i="20"/>
  <c r="M145" i="20"/>
  <c r="L145" i="20"/>
  <c r="M144" i="20"/>
  <c r="L144" i="20"/>
  <c r="M143" i="20"/>
  <c r="L143" i="20"/>
  <c r="M142" i="20"/>
  <c r="L142" i="20"/>
  <c r="M141" i="20"/>
  <c r="L141" i="20"/>
  <c r="M140" i="20"/>
  <c r="L140" i="20"/>
  <c r="M139" i="20"/>
  <c r="L139" i="20"/>
  <c r="M138" i="20"/>
  <c r="L138" i="20"/>
  <c r="M137" i="20"/>
  <c r="L137" i="20"/>
  <c r="M136" i="20"/>
  <c r="L136" i="20"/>
  <c r="M135" i="20"/>
  <c r="L135" i="20"/>
  <c r="M134" i="20"/>
  <c r="L134" i="20"/>
  <c r="M133" i="20"/>
  <c r="L133" i="20"/>
  <c r="M132" i="20"/>
  <c r="L132" i="20"/>
  <c r="M131" i="20"/>
  <c r="L131" i="20"/>
  <c r="M130" i="20"/>
  <c r="L130" i="20"/>
  <c r="M129" i="20"/>
  <c r="L129" i="20"/>
  <c r="M128" i="20"/>
  <c r="L128" i="20"/>
  <c r="M127" i="20"/>
  <c r="L127" i="20"/>
  <c r="M126" i="20"/>
  <c r="L126" i="20"/>
  <c r="M125" i="20"/>
  <c r="L125" i="20"/>
  <c r="M124" i="20"/>
  <c r="L124" i="20"/>
  <c r="M123" i="20"/>
  <c r="L123" i="20"/>
  <c r="M122" i="20"/>
  <c r="L122" i="20"/>
  <c r="M121" i="20"/>
  <c r="L121" i="20"/>
  <c r="M120" i="20"/>
  <c r="L120" i="20"/>
  <c r="M119" i="20"/>
  <c r="L119" i="20"/>
  <c r="M118" i="20"/>
  <c r="L118" i="20"/>
  <c r="M117" i="20"/>
  <c r="L117" i="20"/>
  <c r="M116" i="20"/>
  <c r="L116" i="20"/>
  <c r="M115" i="20"/>
  <c r="L115" i="20"/>
  <c r="M114" i="20"/>
  <c r="L114" i="20"/>
  <c r="M113" i="20"/>
  <c r="L113" i="20"/>
  <c r="M112" i="20"/>
  <c r="L112" i="20"/>
  <c r="M111" i="20"/>
  <c r="L111" i="20"/>
  <c r="M110" i="20"/>
  <c r="L110" i="20"/>
  <c r="M109" i="20"/>
  <c r="L109" i="20"/>
  <c r="M108" i="20"/>
  <c r="L108" i="20"/>
  <c r="M107" i="20"/>
  <c r="L107" i="20"/>
  <c r="M106" i="20"/>
  <c r="L106" i="20"/>
  <c r="M105" i="20"/>
  <c r="L105" i="20"/>
  <c r="M104" i="20"/>
  <c r="L104" i="20"/>
  <c r="M103" i="20"/>
  <c r="L103" i="20"/>
  <c r="M102" i="20"/>
  <c r="L102" i="20"/>
  <c r="M101" i="20"/>
  <c r="L101" i="20"/>
  <c r="M100" i="20"/>
  <c r="L100" i="20"/>
  <c r="M99" i="20"/>
  <c r="L99" i="20"/>
  <c r="M98" i="20"/>
  <c r="L98" i="20"/>
  <c r="M97" i="20"/>
  <c r="L97" i="20"/>
  <c r="M96" i="20"/>
  <c r="L96" i="20"/>
  <c r="M95" i="20"/>
  <c r="L95" i="20"/>
  <c r="M94" i="20"/>
  <c r="L94" i="20"/>
  <c r="M93" i="20"/>
  <c r="L93" i="20"/>
  <c r="M92" i="20"/>
  <c r="L92" i="20"/>
  <c r="M91" i="20"/>
  <c r="L91" i="20"/>
  <c r="M90" i="20"/>
  <c r="L90" i="20"/>
  <c r="M89" i="20"/>
  <c r="L89" i="20"/>
  <c r="M88" i="20"/>
  <c r="L88" i="20"/>
  <c r="M87" i="20"/>
  <c r="L87" i="20"/>
  <c r="M86" i="20"/>
  <c r="L86" i="20"/>
  <c r="M85" i="20"/>
  <c r="L85" i="20"/>
  <c r="M84" i="20"/>
  <c r="L84" i="20"/>
  <c r="M83" i="20"/>
  <c r="L83" i="20"/>
  <c r="M82" i="20"/>
  <c r="L82" i="20"/>
  <c r="M81" i="20"/>
  <c r="L81" i="20"/>
  <c r="M80" i="20"/>
  <c r="L80" i="20"/>
  <c r="M79" i="20"/>
  <c r="L79" i="20"/>
  <c r="M78" i="20"/>
  <c r="L78" i="20"/>
  <c r="M77" i="20"/>
  <c r="L77" i="20"/>
  <c r="M76" i="20"/>
  <c r="L76" i="20"/>
  <c r="M75" i="20"/>
  <c r="L75" i="20"/>
  <c r="M74" i="20"/>
  <c r="L74" i="20"/>
  <c r="M73" i="20"/>
  <c r="L73" i="20"/>
  <c r="M72" i="20"/>
  <c r="L72" i="20"/>
  <c r="M71" i="20"/>
  <c r="L71" i="20"/>
  <c r="M70" i="20"/>
  <c r="L70" i="20"/>
  <c r="M69" i="20"/>
  <c r="L69" i="20"/>
  <c r="M68" i="20"/>
  <c r="L68" i="20"/>
  <c r="M67" i="20"/>
  <c r="L67" i="20"/>
  <c r="M66" i="20"/>
  <c r="L66" i="20"/>
  <c r="M65" i="20"/>
  <c r="L65" i="20"/>
  <c r="M64" i="20"/>
  <c r="L64" i="20"/>
  <c r="M63" i="20"/>
  <c r="L63" i="20"/>
  <c r="M62" i="20"/>
  <c r="L62" i="20"/>
  <c r="M61" i="20"/>
  <c r="L61" i="20"/>
  <c r="M60" i="20"/>
  <c r="L60" i="20"/>
  <c r="M59" i="20"/>
  <c r="L59" i="20"/>
  <c r="M58" i="20"/>
  <c r="L58" i="20"/>
  <c r="M57" i="20"/>
  <c r="L57" i="20"/>
  <c r="M56" i="20"/>
  <c r="L56" i="20"/>
  <c r="M55" i="20"/>
  <c r="L55" i="20"/>
  <c r="M54" i="20"/>
  <c r="L54" i="20"/>
  <c r="M53" i="20"/>
  <c r="L53" i="20"/>
  <c r="M52" i="20"/>
  <c r="L52" i="20"/>
  <c r="M51" i="20"/>
  <c r="L51" i="20"/>
  <c r="M50" i="20"/>
  <c r="L50" i="20"/>
  <c r="M49" i="20"/>
  <c r="L49" i="20"/>
  <c r="M48" i="20"/>
  <c r="L48" i="20"/>
  <c r="M47" i="20"/>
  <c r="L47" i="20"/>
  <c r="M46" i="20"/>
  <c r="L46" i="20"/>
  <c r="M45" i="20"/>
  <c r="L45" i="20"/>
  <c r="M44" i="20"/>
  <c r="L44" i="20"/>
  <c r="M43" i="20"/>
  <c r="L43" i="20"/>
  <c r="M42" i="20"/>
  <c r="L42" i="20"/>
  <c r="M41" i="20"/>
  <c r="L41" i="20"/>
  <c r="M40" i="20"/>
  <c r="L40" i="20"/>
  <c r="M39" i="20"/>
  <c r="L39" i="20"/>
  <c r="M38" i="20"/>
  <c r="L38" i="20"/>
  <c r="M37" i="20"/>
  <c r="L37" i="20"/>
  <c r="M36" i="20"/>
  <c r="L36" i="20"/>
  <c r="M35" i="20"/>
  <c r="L35" i="20"/>
  <c r="M34" i="20"/>
  <c r="L34" i="20"/>
  <c r="M33" i="20"/>
  <c r="L33" i="20"/>
  <c r="M32" i="20"/>
  <c r="L32" i="20"/>
  <c r="M31" i="20"/>
  <c r="L31" i="20"/>
  <c r="M30" i="20"/>
  <c r="L30" i="20"/>
  <c r="M29" i="20"/>
  <c r="L29" i="20"/>
  <c r="M28" i="20"/>
  <c r="L28" i="20"/>
  <c r="M27" i="20"/>
  <c r="L27" i="20"/>
  <c r="M26" i="20"/>
  <c r="L26" i="20"/>
  <c r="M25" i="20"/>
  <c r="L25" i="20"/>
  <c r="M24" i="20"/>
  <c r="L24" i="20"/>
  <c r="M23" i="20"/>
  <c r="L23" i="20"/>
  <c r="M22" i="20"/>
  <c r="L22" i="20"/>
  <c r="M21" i="20"/>
  <c r="L21" i="20"/>
  <c r="M20" i="20"/>
  <c r="L20" i="20"/>
  <c r="M19" i="20"/>
  <c r="L19" i="20"/>
  <c r="L18" i="20"/>
  <c r="E16" i="20"/>
  <c r="I227" i="20"/>
  <c r="J227" i="20" s="1"/>
  <c r="E227" i="20"/>
  <c r="I226" i="20"/>
  <c r="J226" i="20" s="1"/>
  <c r="E226" i="20"/>
  <c r="I225" i="20"/>
  <c r="J225" i="20" s="1"/>
  <c r="E225" i="20"/>
  <c r="I224" i="20"/>
  <c r="J224" i="20" s="1"/>
  <c r="E224" i="20"/>
  <c r="I223" i="20"/>
  <c r="J223" i="20" s="1"/>
  <c r="E223" i="20"/>
  <c r="I222" i="20"/>
  <c r="J222" i="20" s="1"/>
  <c r="E222" i="20"/>
  <c r="I221" i="20"/>
  <c r="J221" i="20" s="1"/>
  <c r="E221" i="20"/>
  <c r="I220" i="20"/>
  <c r="J220" i="20" s="1"/>
  <c r="E220" i="20"/>
  <c r="I219" i="20"/>
  <c r="J219" i="20" s="1"/>
  <c r="E219" i="20"/>
  <c r="I218" i="20"/>
  <c r="J218" i="20" s="1"/>
  <c r="E218" i="20"/>
  <c r="I217" i="20"/>
  <c r="J217" i="20" s="1"/>
  <c r="E217" i="20"/>
  <c r="I216" i="20"/>
  <c r="J216" i="20" s="1"/>
  <c r="E216" i="20"/>
  <c r="I215" i="20"/>
  <c r="J215" i="20" s="1"/>
  <c r="E215" i="20"/>
  <c r="I214" i="20"/>
  <c r="J214" i="20" s="1"/>
  <c r="E214" i="20"/>
  <c r="I213" i="20"/>
  <c r="J213" i="20" s="1"/>
  <c r="E213" i="20"/>
  <c r="I212" i="20"/>
  <c r="J212" i="20" s="1"/>
  <c r="E212" i="20"/>
  <c r="I211" i="20"/>
  <c r="J211" i="20" s="1"/>
  <c r="E211" i="20"/>
  <c r="I210" i="20"/>
  <c r="J210" i="20" s="1"/>
  <c r="E210" i="20"/>
  <c r="I209" i="20"/>
  <c r="J209" i="20" s="1"/>
  <c r="E209" i="20"/>
  <c r="I208" i="20"/>
  <c r="J208" i="20" s="1"/>
  <c r="E208" i="20"/>
  <c r="I207" i="20"/>
  <c r="J207" i="20" s="1"/>
  <c r="E207" i="20"/>
  <c r="I206" i="20"/>
  <c r="J206" i="20" s="1"/>
  <c r="E206" i="20"/>
  <c r="I205" i="20"/>
  <c r="J205" i="20" s="1"/>
  <c r="E205" i="20"/>
  <c r="I204" i="20"/>
  <c r="J204" i="20" s="1"/>
  <c r="E204" i="20"/>
  <c r="I203" i="20"/>
  <c r="J203" i="20" s="1"/>
  <c r="E203" i="20"/>
  <c r="I202" i="20"/>
  <c r="J202" i="20" s="1"/>
  <c r="E202" i="20"/>
  <c r="I201" i="20"/>
  <c r="J201" i="20" s="1"/>
  <c r="E201" i="20"/>
  <c r="I200" i="20"/>
  <c r="J200" i="20" s="1"/>
  <c r="E200" i="20"/>
  <c r="I199" i="20"/>
  <c r="J199" i="20" s="1"/>
  <c r="E199" i="20"/>
  <c r="I198" i="20"/>
  <c r="J198" i="20" s="1"/>
  <c r="E198" i="20"/>
  <c r="I197" i="20"/>
  <c r="J197" i="20" s="1"/>
  <c r="E197" i="20"/>
  <c r="I196" i="20"/>
  <c r="J196" i="20" s="1"/>
  <c r="E196" i="20"/>
  <c r="I195" i="20"/>
  <c r="J195" i="20" s="1"/>
  <c r="E195" i="20"/>
  <c r="I194" i="20"/>
  <c r="J194" i="20" s="1"/>
  <c r="E194" i="20"/>
  <c r="I193" i="20"/>
  <c r="J193" i="20" s="1"/>
  <c r="E193" i="20"/>
  <c r="I192" i="20"/>
  <c r="J192" i="20" s="1"/>
  <c r="E192" i="20"/>
  <c r="I191" i="20"/>
  <c r="J191" i="20" s="1"/>
  <c r="E191" i="20"/>
  <c r="I190" i="20"/>
  <c r="J190" i="20" s="1"/>
  <c r="E190" i="20"/>
  <c r="I189" i="20"/>
  <c r="J189" i="20" s="1"/>
  <c r="E189" i="20"/>
  <c r="I188" i="20"/>
  <c r="J188" i="20" s="1"/>
  <c r="E188" i="20"/>
  <c r="I187" i="20"/>
  <c r="J187" i="20" s="1"/>
  <c r="E187" i="20"/>
  <c r="I186" i="20"/>
  <c r="J186" i="20" s="1"/>
  <c r="E186" i="20"/>
  <c r="I185" i="20"/>
  <c r="J185" i="20" s="1"/>
  <c r="E185" i="20"/>
  <c r="I184" i="20"/>
  <c r="J184" i="20" s="1"/>
  <c r="E184" i="20"/>
  <c r="I183" i="20"/>
  <c r="J183" i="20" s="1"/>
  <c r="E183" i="20"/>
  <c r="I182" i="20"/>
  <c r="J182" i="20" s="1"/>
  <c r="E182" i="20"/>
  <c r="I181" i="20"/>
  <c r="J181" i="20" s="1"/>
  <c r="E181" i="20"/>
  <c r="I180" i="20"/>
  <c r="J180" i="20" s="1"/>
  <c r="E180" i="20"/>
  <c r="I179" i="20"/>
  <c r="J179" i="20" s="1"/>
  <c r="E179" i="20"/>
  <c r="I178" i="20"/>
  <c r="J178" i="20" s="1"/>
  <c r="E178" i="20"/>
  <c r="I177" i="20"/>
  <c r="J177" i="20" s="1"/>
  <c r="E177" i="20"/>
  <c r="I176" i="20"/>
  <c r="J176" i="20" s="1"/>
  <c r="E176" i="20"/>
  <c r="I175" i="20"/>
  <c r="J175" i="20" s="1"/>
  <c r="E175" i="20"/>
  <c r="I174" i="20"/>
  <c r="J174" i="20" s="1"/>
  <c r="E174" i="20"/>
  <c r="I173" i="20"/>
  <c r="J173" i="20" s="1"/>
  <c r="E173" i="20"/>
  <c r="I172" i="20"/>
  <c r="J172" i="20" s="1"/>
  <c r="E172" i="20"/>
  <c r="I171" i="20"/>
  <c r="J171" i="20" s="1"/>
  <c r="E171" i="20"/>
  <c r="I170" i="20"/>
  <c r="J170" i="20" s="1"/>
  <c r="E170" i="20"/>
  <c r="I169" i="20"/>
  <c r="J169" i="20" s="1"/>
  <c r="E169" i="20"/>
  <c r="I168" i="20"/>
  <c r="J168" i="20" s="1"/>
  <c r="E168" i="20"/>
  <c r="I167" i="20"/>
  <c r="J167" i="20" s="1"/>
  <c r="E167" i="20"/>
  <c r="I166" i="20"/>
  <c r="J166" i="20" s="1"/>
  <c r="E166" i="20"/>
  <c r="I165" i="20"/>
  <c r="J165" i="20" s="1"/>
  <c r="E165" i="20"/>
  <c r="I164" i="20"/>
  <c r="J164" i="20" s="1"/>
  <c r="E164" i="20"/>
  <c r="I163" i="20"/>
  <c r="J163" i="20" s="1"/>
  <c r="E163" i="20"/>
  <c r="I162" i="20"/>
  <c r="J162" i="20" s="1"/>
  <c r="E162" i="20"/>
  <c r="I161" i="20"/>
  <c r="J161" i="20" s="1"/>
  <c r="E161" i="20"/>
  <c r="I160" i="20"/>
  <c r="J160" i="20" s="1"/>
  <c r="E160" i="20"/>
  <c r="I159" i="20"/>
  <c r="J159" i="20" s="1"/>
  <c r="E159" i="20"/>
  <c r="I158" i="20"/>
  <c r="J158" i="20" s="1"/>
  <c r="E158" i="20"/>
  <c r="I157" i="20"/>
  <c r="J157" i="20" s="1"/>
  <c r="E157" i="20"/>
  <c r="I156" i="20"/>
  <c r="J156" i="20" s="1"/>
  <c r="E156" i="20"/>
  <c r="I155" i="20"/>
  <c r="J155" i="20" s="1"/>
  <c r="E155" i="20"/>
  <c r="I154" i="20"/>
  <c r="J154" i="20" s="1"/>
  <c r="E154" i="20"/>
  <c r="I153" i="20"/>
  <c r="J153" i="20" s="1"/>
  <c r="E153" i="20"/>
  <c r="I152" i="20"/>
  <c r="J152" i="20" s="1"/>
  <c r="E152" i="20"/>
  <c r="I151" i="20"/>
  <c r="J151" i="20" s="1"/>
  <c r="E151" i="20"/>
  <c r="I150" i="20"/>
  <c r="J150" i="20" s="1"/>
  <c r="E150" i="20"/>
  <c r="I149" i="20"/>
  <c r="J149" i="20" s="1"/>
  <c r="E149" i="20"/>
  <c r="I148" i="20"/>
  <c r="J148" i="20" s="1"/>
  <c r="E148" i="20"/>
  <c r="I147" i="20"/>
  <c r="J147" i="20" s="1"/>
  <c r="E147" i="20"/>
  <c r="I146" i="20"/>
  <c r="J146" i="20" s="1"/>
  <c r="E146" i="20"/>
  <c r="I145" i="20"/>
  <c r="J145" i="20" s="1"/>
  <c r="E145" i="20"/>
  <c r="I144" i="20"/>
  <c r="J144" i="20" s="1"/>
  <c r="E144" i="20"/>
  <c r="J143" i="20"/>
  <c r="I143" i="20"/>
  <c r="E143" i="20"/>
  <c r="J142" i="20"/>
  <c r="I142" i="20"/>
  <c r="E142" i="20"/>
  <c r="J141" i="20"/>
  <c r="I141" i="20"/>
  <c r="E141" i="20"/>
  <c r="J140" i="20"/>
  <c r="I140" i="20"/>
  <c r="E140" i="20"/>
  <c r="I139" i="20"/>
  <c r="J139" i="20" s="1"/>
  <c r="E139" i="20"/>
  <c r="J138" i="20"/>
  <c r="I138" i="20"/>
  <c r="E138" i="20"/>
  <c r="J137" i="20"/>
  <c r="I137" i="20"/>
  <c r="E137" i="20"/>
  <c r="J136" i="20"/>
  <c r="I136" i="20"/>
  <c r="E136" i="20"/>
  <c r="I135" i="20"/>
  <c r="J135" i="20" s="1"/>
  <c r="E135" i="20"/>
  <c r="J134" i="20"/>
  <c r="I134" i="20"/>
  <c r="E134" i="20"/>
  <c r="J133" i="20"/>
  <c r="I133" i="20"/>
  <c r="E133" i="20"/>
  <c r="J132" i="20"/>
  <c r="I132" i="20"/>
  <c r="E132" i="20"/>
  <c r="I131" i="20"/>
  <c r="J131" i="20" s="1"/>
  <c r="E131" i="20"/>
  <c r="J130" i="20"/>
  <c r="I130" i="20"/>
  <c r="E130" i="20"/>
  <c r="J129" i="20"/>
  <c r="I129" i="20"/>
  <c r="E129" i="20"/>
  <c r="J128" i="20"/>
  <c r="I128" i="20"/>
  <c r="E128" i="20"/>
  <c r="I127" i="20"/>
  <c r="J127" i="20" s="1"/>
  <c r="E127" i="20"/>
  <c r="J126" i="20"/>
  <c r="I126" i="20"/>
  <c r="E126" i="20"/>
  <c r="I125" i="20"/>
  <c r="J125" i="20" s="1"/>
  <c r="E125" i="20"/>
  <c r="J124" i="20"/>
  <c r="I124" i="20"/>
  <c r="E124" i="20"/>
  <c r="I123" i="20"/>
  <c r="J123" i="20" s="1"/>
  <c r="E123" i="20"/>
  <c r="J122" i="20"/>
  <c r="I122" i="20"/>
  <c r="E122" i="20"/>
  <c r="I121" i="20"/>
  <c r="J121" i="20" s="1"/>
  <c r="E121" i="20"/>
  <c r="J120" i="20"/>
  <c r="I120" i="20"/>
  <c r="E120" i="20"/>
  <c r="I119" i="20"/>
  <c r="J119" i="20" s="1"/>
  <c r="E119" i="20"/>
  <c r="J118" i="20"/>
  <c r="I118" i="20"/>
  <c r="E118" i="20"/>
  <c r="I117" i="20"/>
  <c r="J117" i="20" s="1"/>
  <c r="E117" i="20"/>
  <c r="J116" i="20"/>
  <c r="I116" i="20"/>
  <c r="E116" i="20"/>
  <c r="I115" i="20"/>
  <c r="J115" i="20" s="1"/>
  <c r="E115" i="20"/>
  <c r="J114" i="20"/>
  <c r="I114" i="20"/>
  <c r="E114" i="20"/>
  <c r="I113" i="20"/>
  <c r="J113" i="20" s="1"/>
  <c r="E113" i="20"/>
  <c r="J112" i="20"/>
  <c r="I112" i="20"/>
  <c r="E112" i="20"/>
  <c r="I111" i="20"/>
  <c r="J111" i="20" s="1"/>
  <c r="E111" i="20"/>
  <c r="J110" i="20"/>
  <c r="I110" i="20"/>
  <c r="E110" i="20"/>
  <c r="I109" i="20"/>
  <c r="J109" i="20" s="1"/>
  <c r="E109" i="20"/>
  <c r="J108" i="20"/>
  <c r="I108" i="20"/>
  <c r="E108" i="20"/>
  <c r="I107" i="20"/>
  <c r="J107" i="20" s="1"/>
  <c r="E107" i="20"/>
  <c r="J106" i="20"/>
  <c r="I106" i="20"/>
  <c r="E106" i="20"/>
  <c r="I105" i="20"/>
  <c r="J105" i="20" s="1"/>
  <c r="E105" i="20"/>
  <c r="J104" i="20"/>
  <c r="I104" i="20"/>
  <c r="E104" i="20"/>
  <c r="I103" i="20"/>
  <c r="J103" i="20" s="1"/>
  <c r="E103" i="20"/>
  <c r="J102" i="20"/>
  <c r="I102" i="20"/>
  <c r="E102" i="20"/>
  <c r="I101" i="20"/>
  <c r="J101" i="20" s="1"/>
  <c r="E101" i="20"/>
  <c r="J100" i="20"/>
  <c r="I100" i="20"/>
  <c r="E100" i="20"/>
  <c r="I99" i="20"/>
  <c r="J99" i="20" s="1"/>
  <c r="E99" i="20"/>
  <c r="J98" i="20"/>
  <c r="I98" i="20"/>
  <c r="E98" i="20"/>
  <c r="I97" i="20"/>
  <c r="J97" i="20" s="1"/>
  <c r="E97" i="20"/>
  <c r="J96" i="20"/>
  <c r="I96" i="20"/>
  <c r="E96" i="20"/>
  <c r="I95" i="20"/>
  <c r="J95" i="20" s="1"/>
  <c r="E95" i="20"/>
  <c r="J94" i="20"/>
  <c r="I94" i="20"/>
  <c r="E94" i="20"/>
  <c r="I93" i="20"/>
  <c r="J93" i="20" s="1"/>
  <c r="E93" i="20"/>
  <c r="J92" i="20"/>
  <c r="I92" i="20"/>
  <c r="E92" i="20"/>
  <c r="I91" i="20"/>
  <c r="J91" i="20" s="1"/>
  <c r="E91" i="20"/>
  <c r="J90" i="20"/>
  <c r="I90" i="20"/>
  <c r="E90" i="20"/>
  <c r="J89" i="20"/>
  <c r="I89" i="20"/>
  <c r="E89" i="20"/>
  <c r="J88" i="20"/>
  <c r="I88" i="20"/>
  <c r="E88" i="20"/>
  <c r="I87" i="20"/>
  <c r="J87" i="20" s="1"/>
  <c r="E87" i="20"/>
  <c r="J86" i="20"/>
  <c r="I86" i="20"/>
  <c r="E86" i="20"/>
  <c r="J85" i="20"/>
  <c r="I85" i="20"/>
  <c r="E85" i="20"/>
  <c r="J84" i="20"/>
  <c r="I84" i="20"/>
  <c r="E84" i="20"/>
  <c r="I83" i="20"/>
  <c r="J83" i="20" s="1"/>
  <c r="E83" i="20"/>
  <c r="J82" i="20"/>
  <c r="I82" i="20"/>
  <c r="E82" i="20"/>
  <c r="J81" i="20"/>
  <c r="I81" i="20"/>
  <c r="E81" i="20"/>
  <c r="J80" i="20"/>
  <c r="I80" i="20"/>
  <c r="E80" i="20"/>
  <c r="I79" i="20"/>
  <c r="J79" i="20" s="1"/>
  <c r="E79" i="20"/>
  <c r="J78" i="20"/>
  <c r="I78" i="20"/>
  <c r="E78" i="20"/>
  <c r="J77" i="20"/>
  <c r="I77" i="20"/>
  <c r="E77" i="20"/>
  <c r="J76" i="20"/>
  <c r="I76" i="20"/>
  <c r="E76" i="20"/>
  <c r="I75" i="20"/>
  <c r="J75" i="20" s="1"/>
  <c r="E75" i="20"/>
  <c r="J74" i="20"/>
  <c r="I74" i="20"/>
  <c r="E74" i="20"/>
  <c r="J73" i="20"/>
  <c r="I73" i="20"/>
  <c r="E73" i="20"/>
  <c r="J72" i="20"/>
  <c r="I72" i="20"/>
  <c r="E72" i="20"/>
  <c r="I71" i="20"/>
  <c r="J71" i="20" s="1"/>
  <c r="E71" i="20"/>
  <c r="J70" i="20"/>
  <c r="I70" i="20"/>
  <c r="E70" i="20"/>
  <c r="J69" i="20"/>
  <c r="I69" i="20"/>
  <c r="E69" i="20"/>
  <c r="J68" i="20"/>
  <c r="I68" i="20"/>
  <c r="E68" i="20"/>
  <c r="I67" i="20"/>
  <c r="J67" i="20" s="1"/>
  <c r="E67" i="20"/>
  <c r="J66" i="20"/>
  <c r="I66" i="20"/>
  <c r="E66" i="20"/>
  <c r="J65" i="20"/>
  <c r="I65" i="20"/>
  <c r="E65" i="20"/>
  <c r="J64" i="20"/>
  <c r="I64" i="20"/>
  <c r="E64" i="20"/>
  <c r="I63" i="20"/>
  <c r="J63" i="20" s="1"/>
  <c r="E63" i="20"/>
  <c r="J62" i="20"/>
  <c r="I62" i="20"/>
  <c r="E62" i="20"/>
  <c r="J61" i="20"/>
  <c r="I61" i="20"/>
  <c r="E61" i="20"/>
  <c r="J60" i="20"/>
  <c r="I60" i="20"/>
  <c r="E60" i="20"/>
  <c r="I59" i="20"/>
  <c r="J59" i="20" s="1"/>
  <c r="E59" i="20"/>
  <c r="J58" i="20"/>
  <c r="I58" i="20"/>
  <c r="E58" i="20"/>
  <c r="J57" i="20"/>
  <c r="I57" i="20"/>
  <c r="E57" i="20"/>
  <c r="J56" i="20"/>
  <c r="I56" i="20"/>
  <c r="E56" i="20"/>
  <c r="I55" i="20"/>
  <c r="J55" i="20" s="1"/>
  <c r="E55" i="20"/>
  <c r="J54" i="20"/>
  <c r="I54" i="20"/>
  <c r="E54" i="20"/>
  <c r="J53" i="20"/>
  <c r="I53" i="20"/>
  <c r="E53" i="20"/>
  <c r="J52" i="20"/>
  <c r="I52" i="20"/>
  <c r="E52" i="20"/>
  <c r="I51" i="20"/>
  <c r="J51" i="20" s="1"/>
  <c r="E51" i="20"/>
  <c r="J50" i="20"/>
  <c r="I50" i="20"/>
  <c r="E50" i="20"/>
  <c r="J49" i="20"/>
  <c r="I49" i="20"/>
  <c r="E49" i="20"/>
  <c r="J48" i="20"/>
  <c r="I48" i="20"/>
  <c r="E48" i="20"/>
  <c r="I47" i="20"/>
  <c r="J47" i="20" s="1"/>
  <c r="E47" i="20"/>
  <c r="J46" i="20"/>
  <c r="I46" i="20"/>
  <c r="E46" i="20"/>
  <c r="J45" i="20"/>
  <c r="I45" i="20"/>
  <c r="E45" i="20"/>
  <c r="J44" i="20"/>
  <c r="I44" i="20"/>
  <c r="E44" i="20"/>
  <c r="I43" i="20"/>
  <c r="J43" i="20" s="1"/>
  <c r="E43" i="20"/>
  <c r="J42" i="20"/>
  <c r="I42" i="20"/>
  <c r="E42" i="20"/>
  <c r="J41" i="20"/>
  <c r="I41" i="20"/>
  <c r="E41" i="20"/>
  <c r="J40" i="20"/>
  <c r="I40" i="20"/>
  <c r="E40" i="20"/>
  <c r="I39" i="20"/>
  <c r="J39" i="20" s="1"/>
  <c r="E39" i="20"/>
  <c r="J38" i="20"/>
  <c r="I38" i="20"/>
  <c r="E38" i="20"/>
  <c r="J37" i="20"/>
  <c r="I37" i="20"/>
  <c r="E37" i="20"/>
  <c r="J36" i="20"/>
  <c r="I36" i="20"/>
  <c r="E36" i="20"/>
  <c r="J35" i="20"/>
  <c r="I35" i="20"/>
  <c r="E35" i="20"/>
  <c r="J34" i="20"/>
  <c r="I34" i="20"/>
  <c r="E34" i="20"/>
  <c r="J33" i="20"/>
  <c r="I33" i="20"/>
  <c r="E33" i="20"/>
  <c r="J32" i="20"/>
  <c r="I32" i="20"/>
  <c r="E32" i="20"/>
  <c r="J31" i="20"/>
  <c r="I31" i="20"/>
  <c r="E31" i="20"/>
  <c r="J30" i="20"/>
  <c r="I30" i="20"/>
  <c r="E30" i="20"/>
  <c r="J29" i="20"/>
  <c r="I29" i="20"/>
  <c r="E29" i="20"/>
  <c r="J28" i="20"/>
  <c r="I28" i="20"/>
  <c r="E28" i="20"/>
  <c r="J27" i="20"/>
  <c r="I27" i="20"/>
  <c r="E27" i="20"/>
  <c r="J26" i="20"/>
  <c r="I26" i="20"/>
  <c r="E26" i="20"/>
  <c r="J25" i="20"/>
  <c r="I25" i="20"/>
  <c r="E25" i="20"/>
  <c r="J24" i="20"/>
  <c r="I24" i="20"/>
  <c r="E24" i="20"/>
  <c r="J23" i="20"/>
  <c r="I23" i="20"/>
  <c r="E23" i="20"/>
  <c r="J22" i="20"/>
  <c r="I22" i="20"/>
  <c r="E22" i="20"/>
  <c r="J21" i="20"/>
  <c r="I21" i="20"/>
  <c r="E21" i="20"/>
  <c r="C20" i="20"/>
  <c r="J20" i="20"/>
  <c r="B116" i="20"/>
  <c r="B117" i="20" s="1"/>
  <c r="B118" i="20" s="1"/>
  <c r="B119" i="20" s="1"/>
  <c r="B120" i="20" s="1"/>
  <c r="B121" i="20" s="1"/>
  <c r="B122" i="20" s="1"/>
  <c r="B123" i="20" s="1"/>
  <c r="B124" i="20" s="1"/>
  <c r="B125" i="20" s="1"/>
  <c r="B126" i="20" s="1"/>
  <c r="B127" i="20" s="1"/>
  <c r="B128" i="20" s="1"/>
  <c r="B129" i="20" s="1"/>
  <c r="B130" i="20" s="1"/>
  <c r="B131" i="20" s="1"/>
  <c r="B132" i="20" s="1"/>
  <c r="B133" i="20" s="1"/>
  <c r="B134" i="20" s="1"/>
  <c r="B135" i="20" s="1"/>
  <c r="B136" i="20" s="1"/>
  <c r="B137" i="20" s="1"/>
  <c r="B138" i="20" s="1"/>
  <c r="B139" i="20" s="1"/>
  <c r="B140" i="20" s="1"/>
  <c r="B141" i="20" s="1"/>
  <c r="B142" i="20" s="1"/>
  <c r="B143" i="20" s="1"/>
  <c r="B144" i="20" s="1"/>
  <c r="B145" i="20" s="1"/>
  <c r="B146" i="20" s="1"/>
  <c r="B147" i="20" s="1"/>
  <c r="B148" i="20" s="1"/>
  <c r="B149" i="20" s="1"/>
  <c r="B150" i="20" s="1"/>
  <c r="B151" i="20" s="1"/>
  <c r="B152" i="20" s="1"/>
  <c r="B153" i="20" s="1"/>
  <c r="B154" i="20" s="1"/>
  <c r="B155" i="20" s="1"/>
  <c r="B156" i="20" s="1"/>
  <c r="B157" i="20" s="1"/>
  <c r="B158" i="20" s="1"/>
  <c r="B159" i="20" s="1"/>
  <c r="B160" i="20" s="1"/>
  <c r="B161" i="20" s="1"/>
  <c r="B162" i="20" s="1"/>
  <c r="B163" i="20" s="1"/>
  <c r="B164" i="20" s="1"/>
  <c r="B165" i="20" s="1"/>
  <c r="B166" i="20" s="1"/>
  <c r="B167" i="20" s="1"/>
  <c r="B168" i="20" s="1"/>
  <c r="B169" i="20" s="1"/>
  <c r="B170" i="20" s="1"/>
  <c r="B171" i="20" s="1"/>
  <c r="B172" i="20" s="1"/>
  <c r="B173" i="20" s="1"/>
  <c r="B174" i="20" s="1"/>
  <c r="B175" i="20" s="1"/>
  <c r="B176" i="20" s="1"/>
  <c r="B177" i="20" s="1"/>
  <c r="B178" i="20" s="1"/>
  <c r="B179" i="20" s="1"/>
  <c r="B180" i="20" s="1"/>
  <c r="B181" i="20" s="1"/>
  <c r="B182" i="20" s="1"/>
  <c r="B183" i="20" s="1"/>
  <c r="B184" i="20" s="1"/>
  <c r="B185" i="20" s="1"/>
  <c r="B186" i="20" s="1"/>
  <c r="B187" i="20" s="1"/>
  <c r="B188" i="20" s="1"/>
  <c r="B189" i="20" s="1"/>
  <c r="B190" i="20" s="1"/>
  <c r="B191" i="20" s="1"/>
  <c r="B192" i="20" s="1"/>
  <c r="B193" i="20" s="1"/>
  <c r="B194" i="20" s="1"/>
  <c r="B195" i="20" s="1"/>
  <c r="B196" i="20" s="1"/>
  <c r="B197" i="20" s="1"/>
  <c r="B198" i="20" s="1"/>
  <c r="B199" i="20" s="1"/>
  <c r="B200" i="20" s="1"/>
  <c r="B201" i="20" s="1"/>
  <c r="B202" i="20" s="1"/>
  <c r="B203" i="20" s="1"/>
  <c r="B204" i="20" s="1"/>
  <c r="B205" i="20" s="1"/>
  <c r="B206" i="20" s="1"/>
  <c r="B207" i="20" s="1"/>
  <c r="B208" i="20" s="1"/>
  <c r="B209" i="20" s="1"/>
  <c r="B210" i="20" s="1"/>
  <c r="B211" i="20" s="1"/>
  <c r="B212" i="20" s="1"/>
  <c r="B213" i="20" s="1"/>
  <c r="B214" i="20" s="1"/>
  <c r="B215" i="20" s="1"/>
  <c r="B216" i="20" s="1"/>
  <c r="B217" i="20" s="1"/>
  <c r="B218" i="20" s="1"/>
  <c r="B219" i="20" s="1"/>
  <c r="B220" i="20" s="1"/>
  <c r="B221" i="20" s="1"/>
  <c r="B222" i="20" s="1"/>
  <c r="B223" i="20" s="1"/>
  <c r="B224" i="20" s="1"/>
  <c r="B225" i="20" s="1"/>
  <c r="B226" i="20" s="1"/>
  <c r="B227" i="20" s="1"/>
  <c r="B23" i="20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B106" i="20" s="1"/>
  <c r="B107" i="20" s="1"/>
  <c r="B108" i="20" s="1"/>
  <c r="B109" i="20" s="1"/>
  <c r="B110" i="20" s="1"/>
  <c r="B111" i="20" s="1"/>
  <c r="B112" i="20" s="1"/>
  <c r="B113" i="20" s="1"/>
  <c r="B114" i="20" s="1"/>
  <c r="B115" i="20" s="1"/>
  <c r="B21" i="20"/>
  <c r="B22" i="20" s="1"/>
  <c r="B20" i="20"/>
  <c r="E20" i="20" s="1"/>
  <c r="F19" i="20"/>
  <c r="H19" i="20" s="1"/>
  <c r="E19" i="20"/>
  <c r="E14" i="20"/>
  <c r="J12" i="20"/>
  <c r="I12" i="20"/>
  <c r="E12" i="20"/>
  <c r="F12" i="20" s="1"/>
  <c r="H12" i="20" s="1"/>
  <c r="J11" i="20"/>
  <c r="I11" i="20"/>
  <c r="E11" i="20"/>
  <c r="F11" i="20" s="1"/>
  <c r="H11" i="20" s="1"/>
  <c r="J10" i="20"/>
  <c r="I10" i="20"/>
  <c r="F10" i="20"/>
  <c r="H10" i="20" s="1"/>
  <c r="E10" i="20"/>
  <c r="J9" i="20"/>
  <c r="I9" i="20"/>
  <c r="E9" i="20"/>
  <c r="F9" i="20" s="1"/>
  <c r="H9" i="20" s="1"/>
  <c r="J8" i="20"/>
  <c r="I8" i="20"/>
  <c r="E8" i="20"/>
  <c r="F8" i="20" s="1"/>
  <c r="H8" i="20" s="1"/>
  <c r="J7" i="20"/>
  <c r="I7" i="20"/>
  <c r="E7" i="20"/>
  <c r="F7" i="20" s="1"/>
  <c r="H7" i="20" s="1"/>
  <c r="J6" i="20"/>
  <c r="I6" i="20"/>
  <c r="F6" i="20"/>
  <c r="H6" i="20" s="1"/>
  <c r="E6" i="20"/>
  <c r="J5" i="20"/>
  <c r="I5" i="20"/>
  <c r="E5" i="20"/>
  <c r="F5" i="20" s="1"/>
  <c r="H5" i="20" s="1"/>
  <c r="C5" i="20"/>
  <c r="C6" i="20" s="1"/>
  <c r="C7" i="20" s="1"/>
  <c r="C8" i="20" s="1"/>
  <c r="C9" i="20" s="1"/>
  <c r="C10" i="20" s="1"/>
  <c r="C11" i="20" s="1"/>
  <c r="C12" i="20" s="1"/>
  <c r="B10" i="20"/>
  <c r="B11" i="20" s="1"/>
  <c r="B12" i="20" s="1"/>
  <c r="C4" i="20"/>
  <c r="J4" i="20" s="1"/>
  <c r="B5" i="20"/>
  <c r="B6" i="20" s="1"/>
  <c r="B7" i="20" s="1"/>
  <c r="B8" i="20" s="1"/>
  <c r="B9" i="20" s="1"/>
  <c r="B4" i="20"/>
  <c r="I4" i="20" s="1"/>
  <c r="E3" i="20"/>
  <c r="F3" i="20" s="1"/>
  <c r="H3" i="20" s="1"/>
  <c r="R9" i="21" l="1"/>
  <c r="R21" i="21"/>
  <c r="G24" i="21"/>
  <c r="F20" i="20"/>
  <c r="H20" i="20" s="1"/>
  <c r="C21" i="20"/>
  <c r="I20" i="20"/>
  <c r="E4" i="20"/>
  <c r="F4" i="20" s="1"/>
  <c r="H4" i="20" s="1"/>
  <c r="C22" i="20" l="1"/>
  <c r="F21" i="20"/>
  <c r="H21" i="20" s="1"/>
  <c r="C23" i="20" l="1"/>
  <c r="F22" i="20"/>
  <c r="H22" i="20" s="1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B19" i="19"/>
  <c r="E19" i="19" s="1"/>
  <c r="D18" i="19"/>
  <c r="E18" i="19" s="1"/>
  <c r="B18" i="19"/>
  <c r="I18" i="19" s="1"/>
  <c r="J18" i="19" s="1"/>
  <c r="I17" i="19"/>
  <c r="J17" i="19" s="1"/>
  <c r="D17" i="19"/>
  <c r="E17" i="19" s="1"/>
  <c r="B17" i="19"/>
  <c r="B14" i="19"/>
  <c r="B15" i="19" s="1"/>
  <c r="B13" i="19"/>
  <c r="E13" i="19" s="1"/>
  <c r="D16" i="19"/>
  <c r="D15" i="19"/>
  <c r="D14" i="19"/>
  <c r="E14" i="19" s="1"/>
  <c r="D13" i="19"/>
  <c r="E12" i="19"/>
  <c r="F12" i="19" s="1"/>
  <c r="D12" i="19"/>
  <c r="C12" i="19"/>
  <c r="B12" i="19"/>
  <c r="D10" i="19"/>
  <c r="J4" i="19"/>
  <c r="E6" i="19" s="1"/>
  <c r="E8" i="19" s="1"/>
  <c r="B10" i="19" s="1"/>
  <c r="I4" i="19"/>
  <c r="E4" i="19"/>
  <c r="F4" i="19" s="1"/>
  <c r="H4" i="19" s="1"/>
  <c r="E3" i="19"/>
  <c r="F3" i="19" s="1"/>
  <c r="H3" i="19" s="1"/>
  <c r="C24" i="20" l="1"/>
  <c r="F23" i="20"/>
  <c r="H23" i="20" s="1"/>
  <c r="I19" i="19"/>
  <c r="J19" i="19" s="1"/>
  <c r="B20" i="19"/>
  <c r="I15" i="19"/>
  <c r="J15" i="19" s="1"/>
  <c r="B16" i="19"/>
  <c r="E15" i="19"/>
  <c r="I13" i="19"/>
  <c r="J13" i="19" s="1"/>
  <c r="C13" i="19" s="1"/>
  <c r="F13" i="19" s="1"/>
  <c r="I14" i="19"/>
  <c r="J14" i="19" s="1"/>
  <c r="E10" i="19"/>
  <c r="I10" i="19"/>
  <c r="J10" i="19" s="1"/>
  <c r="C10" i="19" s="1"/>
  <c r="C43" i="16"/>
  <c r="C41" i="16"/>
  <c r="C36" i="16"/>
  <c r="C37" i="16" s="1"/>
  <c r="C34" i="16"/>
  <c r="C28" i="16"/>
  <c r="C13" i="16"/>
  <c r="C15" i="16"/>
  <c r="C8" i="16"/>
  <c r="C5" i="16"/>
  <c r="C25" i="20" l="1"/>
  <c r="F24" i="20"/>
  <c r="H24" i="20" s="1"/>
  <c r="B21" i="19"/>
  <c r="E20" i="19"/>
  <c r="I20" i="19"/>
  <c r="J20" i="19" s="1"/>
  <c r="I16" i="19"/>
  <c r="J16" i="19" s="1"/>
  <c r="E16" i="19"/>
  <c r="C14" i="19"/>
  <c r="F10" i="19"/>
  <c r="C44" i="16"/>
  <c r="C10" i="16"/>
  <c r="C29" i="16" s="1"/>
  <c r="C30" i="16" s="1"/>
  <c r="C19" i="18"/>
  <c r="C18" i="18"/>
  <c r="E18" i="18" s="1"/>
  <c r="C17" i="18"/>
  <c r="E17" i="18" s="1"/>
  <c r="C16" i="18"/>
  <c r="D16" i="18" s="1"/>
  <c r="C15" i="18"/>
  <c r="J7" i="18"/>
  <c r="K7" i="18" s="1"/>
  <c r="J6" i="18"/>
  <c r="K6" i="18" s="1"/>
  <c r="J5" i="18"/>
  <c r="G5" i="18" s="1"/>
  <c r="H5" i="18" s="1"/>
  <c r="I5" i="18" s="1"/>
  <c r="J4" i="18"/>
  <c r="G4" i="18" s="1"/>
  <c r="H4" i="18" s="1"/>
  <c r="I4" i="18" s="1"/>
  <c r="J3" i="18"/>
  <c r="K3" i="18" s="1"/>
  <c r="D68" i="17"/>
  <c r="C78" i="17"/>
  <c r="B78" i="17"/>
  <c r="B79" i="17"/>
  <c r="C26" i="20" l="1"/>
  <c r="F25" i="20"/>
  <c r="H25" i="20" s="1"/>
  <c r="B22" i="19"/>
  <c r="I21" i="19"/>
  <c r="J21" i="19" s="1"/>
  <c r="E21" i="19"/>
  <c r="C15" i="19"/>
  <c r="F14" i="19"/>
  <c r="C18" i="16"/>
  <c r="C20" i="16" s="1"/>
  <c r="C23" i="16" s="1"/>
  <c r="D15" i="18"/>
  <c r="D17" i="18"/>
  <c r="D18" i="18"/>
  <c r="D20" i="18"/>
  <c r="K4" i="18"/>
  <c r="G6" i="18"/>
  <c r="H6" i="18" s="1"/>
  <c r="I6" i="18" s="1"/>
  <c r="K5" i="18"/>
  <c r="K8" i="18" s="1"/>
  <c r="G3" i="18"/>
  <c r="H3" i="18" s="1"/>
  <c r="I3" i="18" s="1"/>
  <c r="G7" i="18"/>
  <c r="H7" i="18" s="1"/>
  <c r="I7" i="18" s="1"/>
  <c r="C27" i="20" l="1"/>
  <c r="F26" i="20"/>
  <c r="H26" i="20" s="1"/>
  <c r="I22" i="19"/>
  <c r="J22" i="19" s="1"/>
  <c r="B23" i="19"/>
  <c r="E22" i="19"/>
  <c r="C16" i="19"/>
  <c r="C17" i="19" s="1"/>
  <c r="C18" i="19" s="1"/>
  <c r="F15" i="19"/>
  <c r="E19" i="18"/>
  <c r="E16" i="18"/>
  <c r="E15" i="18"/>
  <c r="E20" i="18" s="1"/>
  <c r="B66" i="17"/>
  <c r="B82" i="17" s="1"/>
  <c r="B65" i="17"/>
  <c r="B81" i="17" s="1"/>
  <c r="B64" i="17"/>
  <c r="B80" i="17" s="1"/>
  <c r="C61" i="17"/>
  <c r="C77" i="17" s="1"/>
  <c r="C60" i="17"/>
  <c r="C59" i="17"/>
  <c r="C58" i="17"/>
  <c r="C74" i="17" s="1"/>
  <c r="C80" i="17" s="1"/>
  <c r="D80" i="17" s="1"/>
  <c r="B61" i="17"/>
  <c r="B77" i="17" s="1"/>
  <c r="B60" i="17"/>
  <c r="B76" i="17" s="1"/>
  <c r="B59" i="17"/>
  <c r="B75" i="17" s="1"/>
  <c r="B58" i="17"/>
  <c r="B74" i="17" s="1"/>
  <c r="C45" i="17"/>
  <c r="D45" i="17" s="1"/>
  <c r="D44" i="17"/>
  <c r="C38" i="17"/>
  <c r="C36" i="17"/>
  <c r="D36" i="17" s="1"/>
  <c r="C37" i="17"/>
  <c r="D37" i="17" s="1"/>
  <c r="C35" i="17"/>
  <c r="D35" i="17" s="1"/>
  <c r="C34" i="17"/>
  <c r="D34" i="17" s="1"/>
  <c r="C33" i="17"/>
  <c r="D33" i="17" s="1"/>
  <c r="C32" i="17"/>
  <c r="D32" i="17" s="1"/>
  <c r="C30" i="17"/>
  <c r="D30" i="17" s="1"/>
  <c r="D29" i="17"/>
  <c r="C20" i="17"/>
  <c r="C17" i="17"/>
  <c r="B17" i="17"/>
  <c r="C16" i="17"/>
  <c r="B16" i="17"/>
  <c r="C15" i="17"/>
  <c r="C14" i="17"/>
  <c r="C12" i="17"/>
  <c r="C10" i="17"/>
  <c r="D9" i="17"/>
  <c r="C22" i="17" s="1"/>
  <c r="D8" i="17"/>
  <c r="D7" i="17"/>
  <c r="C21" i="17" s="1"/>
  <c r="D6" i="17"/>
  <c r="D5" i="17"/>
  <c r="D4" i="17"/>
  <c r="C28" i="20" l="1"/>
  <c r="F27" i="20"/>
  <c r="H27" i="20" s="1"/>
  <c r="B24" i="19"/>
  <c r="I23" i="19"/>
  <c r="J23" i="19" s="1"/>
  <c r="E23" i="19"/>
  <c r="C19" i="19"/>
  <c r="F18" i="19"/>
  <c r="F17" i="19"/>
  <c r="F16" i="19"/>
  <c r="C64" i="17"/>
  <c r="C31" i="17"/>
  <c r="D31" i="17" s="1"/>
  <c r="C65" i="17"/>
  <c r="C75" i="17"/>
  <c r="C66" i="17"/>
  <c r="C76" i="17"/>
  <c r="C82" i="17" s="1"/>
  <c r="D82" i="17" s="1"/>
  <c r="C63" i="17"/>
  <c r="C67" i="17" s="1"/>
  <c r="C50" i="17"/>
  <c r="C47" i="17"/>
  <c r="D66" i="17" s="1"/>
  <c r="C46" i="17"/>
  <c r="C48" i="17"/>
  <c r="C49" i="17"/>
  <c r="D49" i="17" s="1"/>
  <c r="D46" i="17"/>
  <c r="C23" i="17"/>
  <c r="C18" i="17"/>
  <c r="D84" i="17" s="1"/>
  <c r="D10" i="17"/>
  <c r="M42" i="15"/>
  <c r="M43" i="15" s="1"/>
  <c r="M44" i="15" s="1"/>
  <c r="M32" i="15"/>
  <c r="M34" i="15" s="1"/>
  <c r="M15" i="15"/>
  <c r="K42" i="15"/>
  <c r="K43" i="15" s="1"/>
  <c r="K44" i="15" s="1"/>
  <c r="K32" i="15"/>
  <c r="K34" i="15" s="1"/>
  <c r="K15" i="15"/>
  <c r="I42" i="15"/>
  <c r="I43" i="15" s="1"/>
  <c r="I44" i="15" s="1"/>
  <c r="I15" i="15"/>
  <c r="G21" i="15"/>
  <c r="G32" i="15" s="1"/>
  <c r="G34" i="15" s="1"/>
  <c r="G11" i="15"/>
  <c r="G15" i="15" s="1"/>
  <c r="G14" i="15"/>
  <c r="G8" i="15"/>
  <c r="K8" i="15" s="1"/>
  <c r="K9" i="15" s="1"/>
  <c r="G7" i="15"/>
  <c r="E21" i="15"/>
  <c r="E14" i="15"/>
  <c r="E11" i="15"/>
  <c r="E15" i="15" s="1"/>
  <c r="E8" i="15"/>
  <c r="I8" i="15" s="1"/>
  <c r="E7" i="15"/>
  <c r="C32" i="15"/>
  <c r="C34" i="15" s="1"/>
  <c r="B25" i="15"/>
  <c r="B24" i="15"/>
  <c r="C18" i="15"/>
  <c r="C24" i="15" s="1"/>
  <c r="C28" i="15" s="1"/>
  <c r="C33" i="15" s="1"/>
  <c r="C35" i="15" s="1"/>
  <c r="C37" i="15" s="1"/>
  <c r="C15" i="15"/>
  <c r="C9" i="15"/>
  <c r="C29" i="20" l="1"/>
  <c r="F28" i="20"/>
  <c r="H28" i="20" s="1"/>
  <c r="C20" i="19"/>
  <c r="F19" i="19"/>
  <c r="B25" i="19"/>
  <c r="E24" i="19"/>
  <c r="I24" i="19"/>
  <c r="J24" i="19" s="1"/>
  <c r="I9" i="15"/>
  <c r="M8" i="15"/>
  <c r="M9" i="15" s="1"/>
  <c r="C19" i="15"/>
  <c r="C25" i="15" s="1"/>
  <c r="C29" i="15" s="1"/>
  <c r="C39" i="17"/>
  <c r="D39" i="17" s="1"/>
  <c r="D65" i="17"/>
  <c r="C81" i="17"/>
  <c r="D81" i="17" s="1"/>
  <c r="C79" i="17"/>
  <c r="D47" i="17"/>
  <c r="D50" i="17"/>
  <c r="D64" i="17"/>
  <c r="D48" i="17"/>
  <c r="C51" i="17"/>
  <c r="D51" i="17" s="1"/>
  <c r="D53" i="17" s="1"/>
  <c r="C25" i="17"/>
  <c r="M18" i="15"/>
  <c r="M24" i="15" s="1"/>
  <c r="M28" i="15" s="1"/>
  <c r="M33" i="15" s="1"/>
  <c r="M35" i="15" s="1"/>
  <c r="M37" i="15" s="1"/>
  <c r="M46" i="15" s="1"/>
  <c r="K18" i="15"/>
  <c r="K24" i="15" s="1"/>
  <c r="K28" i="15" s="1"/>
  <c r="K33" i="15" s="1"/>
  <c r="K35" i="15" s="1"/>
  <c r="K37" i="15" s="1"/>
  <c r="K46" i="15" s="1"/>
  <c r="E32" i="15"/>
  <c r="E34" i="15" s="1"/>
  <c r="G9" i="15"/>
  <c r="G18" i="15" s="1"/>
  <c r="E9" i="15"/>
  <c r="E18" i="15" s="1"/>
  <c r="I18" i="15"/>
  <c r="I24" i="15" s="1"/>
  <c r="I28" i="15" s="1"/>
  <c r="I32" i="15"/>
  <c r="I34" i="15" s="1"/>
  <c r="L14" i="14"/>
  <c r="K11" i="14"/>
  <c r="L10" i="14"/>
  <c r="J8" i="14"/>
  <c r="D7" i="14"/>
  <c r="H7" i="14"/>
  <c r="F7" i="14"/>
  <c r="F6" i="14"/>
  <c r="E6" i="14" s="1"/>
  <c r="E9" i="14" s="1"/>
  <c r="H8" i="14"/>
  <c r="G9" i="14"/>
  <c r="H4" i="14"/>
  <c r="H16" i="14" s="1"/>
  <c r="F8" i="14"/>
  <c r="F4" i="14"/>
  <c r="F16" i="14" s="1"/>
  <c r="D5" i="14"/>
  <c r="C5" i="14" s="1"/>
  <c r="D8" i="14"/>
  <c r="C30" i="20" l="1"/>
  <c r="F29" i="20"/>
  <c r="H29" i="20" s="1"/>
  <c r="E25" i="19"/>
  <c r="I25" i="19"/>
  <c r="J25" i="19" s="1"/>
  <c r="B26" i="19"/>
  <c r="C21" i="19"/>
  <c r="F20" i="19"/>
  <c r="I19" i="15"/>
  <c r="I25" i="15" s="1"/>
  <c r="I29" i="15" s="1"/>
  <c r="C83" i="17"/>
  <c r="D83" i="17" s="1"/>
  <c r="D85" i="17" s="1"/>
  <c r="D67" i="17"/>
  <c r="D69" i="17" s="1"/>
  <c r="M19" i="15"/>
  <c r="M25" i="15" s="1"/>
  <c r="M29" i="15" s="1"/>
  <c r="K19" i="15"/>
  <c r="K25" i="15" s="1"/>
  <c r="K29" i="15" s="1"/>
  <c r="E24" i="15"/>
  <c r="E28" i="15" s="1"/>
  <c r="E33" i="15" s="1"/>
  <c r="E19" i="15"/>
  <c r="E25" i="15" s="1"/>
  <c r="E29" i="15" s="1"/>
  <c r="G19" i="15"/>
  <c r="G25" i="15" s="1"/>
  <c r="G29" i="15" s="1"/>
  <c r="G24" i="15"/>
  <c r="G28" i="15" s="1"/>
  <c r="G33" i="15" s="1"/>
  <c r="G35" i="15" s="1"/>
  <c r="G37" i="15" s="1"/>
  <c r="E35" i="15"/>
  <c r="E37" i="15" s="1"/>
  <c r="I33" i="15"/>
  <c r="I35" i="15" s="1"/>
  <c r="I37" i="15" s="1"/>
  <c r="I46" i="15" s="1"/>
  <c r="L8" i="14"/>
  <c r="J4" i="14"/>
  <c r="I4" i="14" s="1"/>
  <c r="I9" i="14" s="1"/>
  <c r="H9" i="14"/>
  <c r="H11" i="14" s="1"/>
  <c r="F9" i="14"/>
  <c r="F11" i="14" s="1"/>
  <c r="E7" i="13"/>
  <c r="E6" i="13"/>
  <c r="E5" i="13"/>
  <c r="E4" i="13"/>
  <c r="F47" i="13"/>
  <c r="C48" i="13"/>
  <c r="D47" i="13" s="1"/>
  <c r="M37" i="13"/>
  <c r="C59" i="13" s="1"/>
  <c r="K35" i="13"/>
  <c r="I35" i="13"/>
  <c r="K34" i="13"/>
  <c r="I34" i="13"/>
  <c r="C31" i="20" l="1"/>
  <c r="F30" i="20"/>
  <c r="H30" i="20" s="1"/>
  <c r="I26" i="19"/>
  <c r="J26" i="19" s="1"/>
  <c r="B27" i="19"/>
  <c r="E26" i="19"/>
  <c r="C22" i="19"/>
  <c r="F21" i="19"/>
  <c r="E8" i="13"/>
  <c r="J16" i="14"/>
  <c r="J9" i="14"/>
  <c r="J11" i="14" s="1"/>
  <c r="D45" i="13"/>
  <c r="D46" i="13"/>
  <c r="D48" i="13"/>
  <c r="C32" i="20" l="1"/>
  <c r="F31" i="20"/>
  <c r="H31" i="20" s="1"/>
  <c r="C23" i="19"/>
  <c r="F22" i="19"/>
  <c r="I27" i="19"/>
  <c r="J27" i="19" s="1"/>
  <c r="B28" i="19"/>
  <c r="E27" i="19"/>
  <c r="K36" i="13"/>
  <c r="J36" i="13"/>
  <c r="I36" i="13"/>
  <c r="H36" i="13"/>
  <c r="L35" i="13"/>
  <c r="L34" i="13"/>
  <c r="E46" i="13" s="1"/>
  <c r="J46" i="13" s="1"/>
  <c r="F35" i="13"/>
  <c r="F34" i="13"/>
  <c r="E36" i="13"/>
  <c r="D35" i="13"/>
  <c r="D34" i="13"/>
  <c r="C36" i="13"/>
  <c r="C21" i="13"/>
  <c r="C18" i="13"/>
  <c r="C16" i="13"/>
  <c r="C27" i="13" s="1"/>
  <c r="C15" i="13"/>
  <c r="C24" i="13" s="1"/>
  <c r="C8" i="13"/>
  <c r="D9" i="13" s="1"/>
  <c r="C65" i="12"/>
  <c r="F47" i="12"/>
  <c r="E47" i="12"/>
  <c r="D47" i="12"/>
  <c r="F46" i="12"/>
  <c r="F50" i="12" s="1"/>
  <c r="F55" i="12" s="1"/>
  <c r="E46" i="12"/>
  <c r="E50" i="12" s="1"/>
  <c r="E55" i="12" s="1"/>
  <c r="D46" i="12"/>
  <c r="D50" i="12" s="1"/>
  <c r="D55" i="12" s="1"/>
  <c r="C47" i="12"/>
  <c r="C46" i="12"/>
  <c r="C50" i="12" s="1"/>
  <c r="C55" i="12" s="1"/>
  <c r="C33" i="20" l="1"/>
  <c r="F32" i="20"/>
  <c r="H32" i="20" s="1"/>
  <c r="C24" i="19"/>
  <c r="F23" i="19"/>
  <c r="B29" i="19"/>
  <c r="E28" i="19"/>
  <c r="I28" i="19"/>
  <c r="J28" i="19" s="1"/>
  <c r="G47" i="13"/>
  <c r="H47" i="13" s="1"/>
  <c r="K47" i="13" s="1"/>
  <c r="K12" i="14"/>
  <c r="K13" i="14" s="1"/>
  <c r="K17" i="14" s="1"/>
  <c r="H12" i="14"/>
  <c r="H13" i="14" s="1"/>
  <c r="H15" i="14" s="1"/>
  <c r="H17" i="14" s="1"/>
  <c r="F12" i="14"/>
  <c r="F13" i="14" s="1"/>
  <c r="F15" i="14" s="1"/>
  <c r="F17" i="14" s="1"/>
  <c r="J12" i="14"/>
  <c r="J13" i="14" s="1"/>
  <c r="J15" i="14" s="1"/>
  <c r="J17" i="14" s="1"/>
  <c r="L47" i="13"/>
  <c r="G35" i="13"/>
  <c r="M35" i="13" s="1"/>
  <c r="C54" i="13" s="1"/>
  <c r="D36" i="13"/>
  <c r="L36" i="13"/>
  <c r="L38" i="13" s="1"/>
  <c r="F46" i="13" s="1"/>
  <c r="G34" i="13"/>
  <c r="D4" i="14" s="1"/>
  <c r="F36" i="13"/>
  <c r="C19" i="13"/>
  <c r="C20" i="13" s="1"/>
  <c r="C22" i="13" s="1"/>
  <c r="C25" i="13"/>
  <c r="C10" i="13"/>
  <c r="C12" i="13" s="1"/>
  <c r="C26" i="13"/>
  <c r="G47" i="12"/>
  <c r="C42" i="12"/>
  <c r="C41" i="12"/>
  <c r="M30" i="12"/>
  <c r="C34" i="20" l="1"/>
  <c r="F33" i="20"/>
  <c r="H33" i="20" s="1"/>
  <c r="B30" i="19"/>
  <c r="I29" i="19"/>
  <c r="J29" i="19" s="1"/>
  <c r="E29" i="19"/>
  <c r="C25" i="19"/>
  <c r="F24" i="19"/>
  <c r="C4" i="14"/>
  <c r="C9" i="14" s="1"/>
  <c r="D9" i="14"/>
  <c r="D16" i="14"/>
  <c r="L4" i="14"/>
  <c r="L16" i="14" s="1"/>
  <c r="J18" i="14"/>
  <c r="M34" i="13"/>
  <c r="C53" i="13" s="1"/>
  <c r="E45" i="13"/>
  <c r="G46" i="13"/>
  <c r="H46" i="13" s="1"/>
  <c r="I46" i="13" s="1"/>
  <c r="K46" i="13" s="1"/>
  <c r="C55" i="13"/>
  <c r="C64" i="13" s="1"/>
  <c r="G36" i="13"/>
  <c r="C28" i="13"/>
  <c r="K18" i="14" s="1"/>
  <c r="F48" i="12"/>
  <c r="C73" i="12"/>
  <c r="E48" i="12"/>
  <c r="D48" i="12"/>
  <c r="C48" i="12"/>
  <c r="G48" i="12" s="1"/>
  <c r="C44" i="12"/>
  <c r="M26" i="12"/>
  <c r="F43" i="12" s="1"/>
  <c r="G43" i="12" s="1"/>
  <c r="J43" i="12" s="1"/>
  <c r="L24" i="12"/>
  <c r="I21" i="12"/>
  <c r="G24" i="12"/>
  <c r="J22" i="12"/>
  <c r="K22" i="12" s="1"/>
  <c r="H22" i="12"/>
  <c r="I22" i="12" s="1"/>
  <c r="E22" i="12"/>
  <c r="F22" i="12" s="1"/>
  <c r="G22" i="12" s="1"/>
  <c r="J21" i="12"/>
  <c r="K21" i="12" s="1"/>
  <c r="H21" i="12"/>
  <c r="E21" i="12"/>
  <c r="F21" i="12" s="1"/>
  <c r="J20" i="12"/>
  <c r="K20" i="12" s="1"/>
  <c r="H20" i="12"/>
  <c r="I20" i="12" s="1"/>
  <c r="E20" i="12"/>
  <c r="F20" i="12" s="1"/>
  <c r="C22" i="12"/>
  <c r="D22" i="12" s="1"/>
  <c r="C21" i="12"/>
  <c r="D21" i="12" s="1"/>
  <c r="C20" i="12"/>
  <c r="D20" i="12" s="1"/>
  <c r="J16" i="12"/>
  <c r="K16" i="12" s="1"/>
  <c r="H16" i="12"/>
  <c r="I16" i="12" s="1"/>
  <c r="L16" i="12" s="1"/>
  <c r="E16" i="12"/>
  <c r="F16" i="12" s="1"/>
  <c r="C16" i="12"/>
  <c r="D16" i="12" s="1"/>
  <c r="C35" i="20" l="1"/>
  <c r="F34" i="20"/>
  <c r="H34" i="20" s="1"/>
  <c r="C26" i="19"/>
  <c r="F25" i="19"/>
  <c r="I30" i="19"/>
  <c r="J30" i="19" s="1"/>
  <c r="B31" i="19"/>
  <c r="E30" i="19"/>
  <c r="H18" i="14"/>
  <c r="C69" i="13"/>
  <c r="C73" i="13"/>
  <c r="D73" i="13" s="1"/>
  <c r="C72" i="13"/>
  <c r="D72" i="13" s="1"/>
  <c r="D74" i="13" s="1"/>
  <c r="F18" i="14"/>
  <c r="L9" i="14"/>
  <c r="D11" i="14"/>
  <c r="C63" i="12"/>
  <c r="C56" i="13"/>
  <c r="D56" i="13" s="1"/>
  <c r="L46" i="13"/>
  <c r="M46" i="13"/>
  <c r="C29" i="13"/>
  <c r="C62" i="13"/>
  <c r="M47" i="13"/>
  <c r="J45" i="13"/>
  <c r="E48" i="13"/>
  <c r="J48" i="13" s="1"/>
  <c r="C66" i="13"/>
  <c r="C57" i="13"/>
  <c r="G38" i="13"/>
  <c r="M36" i="13"/>
  <c r="L21" i="12"/>
  <c r="M24" i="12"/>
  <c r="J17" i="12"/>
  <c r="J18" i="12" s="1"/>
  <c r="F51" i="12" s="1"/>
  <c r="F56" i="12" s="1"/>
  <c r="G20" i="12"/>
  <c r="G21" i="12"/>
  <c r="M21" i="12" s="1"/>
  <c r="L22" i="12"/>
  <c r="M22" i="12" s="1"/>
  <c r="G16" i="12"/>
  <c r="M16" i="12" s="1"/>
  <c r="L20" i="12"/>
  <c r="D43" i="12"/>
  <c r="K43" i="12" s="1"/>
  <c r="D41" i="12"/>
  <c r="C17" i="12"/>
  <c r="D17" i="12" s="1"/>
  <c r="D42" i="12"/>
  <c r="E17" i="12"/>
  <c r="L43" i="12"/>
  <c r="H17" i="12"/>
  <c r="H18" i="12" s="1"/>
  <c r="E51" i="12" s="1"/>
  <c r="J19" i="12"/>
  <c r="F52" i="12" s="1"/>
  <c r="F57" i="12" s="1"/>
  <c r="F27" i="10"/>
  <c r="I27" i="10" s="1"/>
  <c r="S5" i="10"/>
  <c r="R5" i="10"/>
  <c r="Q5" i="10"/>
  <c r="P5" i="10"/>
  <c r="O5" i="10"/>
  <c r="T4" i="10"/>
  <c r="T3" i="10"/>
  <c r="T5" i="10" s="1"/>
  <c r="C28" i="10"/>
  <c r="D24" i="10" s="1"/>
  <c r="H6" i="11"/>
  <c r="G6" i="11"/>
  <c r="F6" i="11"/>
  <c r="E6" i="11"/>
  <c r="D6" i="11"/>
  <c r="B26" i="10"/>
  <c r="B25" i="10"/>
  <c r="B24" i="10"/>
  <c r="B23" i="10"/>
  <c r="I5" i="11"/>
  <c r="I4" i="11"/>
  <c r="I6" i="11" s="1"/>
  <c r="I9" i="10"/>
  <c r="G9" i="10"/>
  <c r="H9" i="10"/>
  <c r="E9" i="10"/>
  <c r="F9" i="10" s="1"/>
  <c r="C9" i="10"/>
  <c r="D9" i="10" s="1"/>
  <c r="C8" i="10"/>
  <c r="D8" i="10" s="1"/>
  <c r="I8" i="10"/>
  <c r="J8" i="10" s="1"/>
  <c r="G8" i="10"/>
  <c r="H8" i="10"/>
  <c r="E8" i="10"/>
  <c r="F8" i="10" s="1"/>
  <c r="J9" i="10"/>
  <c r="K11" i="10"/>
  <c r="J4" i="10"/>
  <c r="H4" i="10"/>
  <c r="F4" i="10"/>
  <c r="D4" i="10"/>
  <c r="I5" i="10"/>
  <c r="J5" i="10" s="1"/>
  <c r="J6" i="10" s="1"/>
  <c r="E26" i="10" s="1"/>
  <c r="H26" i="10" s="1"/>
  <c r="G5" i="10"/>
  <c r="H5" i="10" s="1"/>
  <c r="H6" i="10" s="1"/>
  <c r="E25" i="10" s="1"/>
  <c r="H25" i="10" s="1"/>
  <c r="E5" i="10"/>
  <c r="E6" i="10" s="1"/>
  <c r="C5" i="10"/>
  <c r="D5" i="10" s="1"/>
  <c r="C36" i="20" l="1"/>
  <c r="F35" i="20"/>
  <c r="H35" i="20" s="1"/>
  <c r="B32" i="19"/>
  <c r="I31" i="19"/>
  <c r="J31" i="19" s="1"/>
  <c r="E31" i="19"/>
  <c r="C27" i="19"/>
  <c r="F26" i="19"/>
  <c r="L11" i="14"/>
  <c r="D12" i="14"/>
  <c r="L12" i="14" s="1"/>
  <c r="D13" i="14"/>
  <c r="D15" i="14" s="1"/>
  <c r="D17" i="14" s="1"/>
  <c r="D18" i="14" s="1"/>
  <c r="L18" i="14" s="1"/>
  <c r="C18" i="12"/>
  <c r="C51" i="12" s="1"/>
  <c r="K17" i="12"/>
  <c r="K18" i="12" s="1"/>
  <c r="M38" i="13"/>
  <c r="M40" i="13" s="1"/>
  <c r="M41" i="13" s="1"/>
  <c r="M42" i="13" s="1"/>
  <c r="F45" i="13"/>
  <c r="C65" i="13"/>
  <c r="C70" i="13" s="1"/>
  <c r="D70" i="13" s="1"/>
  <c r="D69" i="13"/>
  <c r="M20" i="12"/>
  <c r="H19" i="12"/>
  <c r="E52" i="12" s="1"/>
  <c r="E57" i="12" s="1"/>
  <c r="E56" i="12"/>
  <c r="I17" i="12"/>
  <c r="I18" i="12" s="1"/>
  <c r="F53" i="12"/>
  <c r="F58" i="12" s="1"/>
  <c r="D18" i="12"/>
  <c r="E18" i="12"/>
  <c r="F17" i="12"/>
  <c r="F18" i="12" s="1"/>
  <c r="D44" i="12"/>
  <c r="J23" i="12"/>
  <c r="K19" i="12"/>
  <c r="K23" i="12" s="1"/>
  <c r="F5" i="10"/>
  <c r="F6" i="10" s="1"/>
  <c r="E24" i="10" s="1"/>
  <c r="H24" i="10" s="1"/>
  <c r="D25" i="10"/>
  <c r="D26" i="10"/>
  <c r="D23" i="10"/>
  <c r="D27" i="10"/>
  <c r="J27" i="10" s="1"/>
  <c r="E7" i="10"/>
  <c r="F7" i="10" s="1"/>
  <c r="D6" i="10"/>
  <c r="C6" i="10"/>
  <c r="K4" i="10"/>
  <c r="G6" i="10"/>
  <c r="I6" i="10"/>
  <c r="K9" i="10"/>
  <c r="K8" i="10"/>
  <c r="E18" i="9"/>
  <c r="C15" i="9"/>
  <c r="C14" i="9"/>
  <c r="C13" i="9"/>
  <c r="E4" i="9"/>
  <c r="E19" i="9" s="1"/>
  <c r="D4" i="9"/>
  <c r="D18" i="9" s="1"/>
  <c r="F3" i="9"/>
  <c r="C4" i="9" s="1"/>
  <c r="C37" i="20" l="1"/>
  <c r="F36" i="20"/>
  <c r="H36" i="20" s="1"/>
  <c r="B33" i="19"/>
  <c r="E32" i="19"/>
  <c r="I32" i="19"/>
  <c r="J32" i="19" s="1"/>
  <c r="C28" i="19"/>
  <c r="F27" i="19"/>
  <c r="C18" i="9"/>
  <c r="F4" i="9"/>
  <c r="C19" i="9"/>
  <c r="C19" i="12"/>
  <c r="C23" i="12" s="1"/>
  <c r="D19" i="9"/>
  <c r="L13" i="14"/>
  <c r="L15" i="14" s="1"/>
  <c r="L17" i="14" s="1"/>
  <c r="F48" i="13"/>
  <c r="G45" i="13"/>
  <c r="L17" i="12"/>
  <c r="F59" i="12"/>
  <c r="F60" i="12" s="1"/>
  <c r="I19" i="12"/>
  <c r="L19" i="12" s="1"/>
  <c r="E53" i="12"/>
  <c r="E58" i="12" s="1"/>
  <c r="H23" i="12"/>
  <c r="G17" i="12"/>
  <c r="G18" i="12" s="1"/>
  <c r="E41" i="12" s="1"/>
  <c r="E19" i="12"/>
  <c r="D51" i="12"/>
  <c r="C56" i="12"/>
  <c r="L18" i="12"/>
  <c r="K6" i="10"/>
  <c r="C19" i="10" s="1"/>
  <c r="E23" i="10"/>
  <c r="K5" i="10"/>
  <c r="D28" i="10"/>
  <c r="I7" i="10"/>
  <c r="J7" i="10" s="1"/>
  <c r="C7" i="10"/>
  <c r="D7" i="10" s="1"/>
  <c r="G7" i="10"/>
  <c r="H7" i="10" s="1"/>
  <c r="E10" i="10"/>
  <c r="F18" i="9"/>
  <c r="F19" i="9"/>
  <c r="C38" i="20" l="1"/>
  <c r="F37" i="20"/>
  <c r="H37" i="20" s="1"/>
  <c r="E33" i="19"/>
  <c r="I33" i="19"/>
  <c r="J33" i="19" s="1"/>
  <c r="B34" i="19"/>
  <c r="C29" i="19"/>
  <c r="F28" i="19"/>
  <c r="D19" i="12"/>
  <c r="D23" i="12" s="1"/>
  <c r="I23" i="12"/>
  <c r="C52" i="12"/>
  <c r="H45" i="13"/>
  <c r="G48" i="13"/>
  <c r="E59" i="12"/>
  <c r="E60" i="12" s="1"/>
  <c r="M17" i="12"/>
  <c r="M18" i="12" s="1"/>
  <c r="C36" i="12" s="1"/>
  <c r="L23" i="12"/>
  <c r="L25" i="12" s="1"/>
  <c r="F42" i="12" s="1"/>
  <c r="G42" i="12" s="1"/>
  <c r="E42" i="12"/>
  <c r="I42" i="12" s="1"/>
  <c r="D52" i="12"/>
  <c r="D57" i="12" s="1"/>
  <c r="F19" i="12"/>
  <c r="I41" i="12"/>
  <c r="E23" i="12"/>
  <c r="D56" i="12"/>
  <c r="G56" i="12" s="1"/>
  <c r="F10" i="10"/>
  <c r="F12" i="10" s="1"/>
  <c r="F24" i="10" s="1"/>
  <c r="G24" i="10" s="1"/>
  <c r="I24" i="10" s="1"/>
  <c r="J24" i="10" s="1"/>
  <c r="E31" i="10"/>
  <c r="E33" i="10" s="1"/>
  <c r="E34" i="10" s="1"/>
  <c r="H23" i="10"/>
  <c r="E28" i="10"/>
  <c r="H28" i="10" s="1"/>
  <c r="I10" i="10"/>
  <c r="K7" i="10"/>
  <c r="C10" i="10"/>
  <c r="G10" i="10"/>
  <c r="F20" i="9"/>
  <c r="C27" i="9" s="1"/>
  <c r="C39" i="20" l="1"/>
  <c r="F38" i="20"/>
  <c r="H38" i="20" s="1"/>
  <c r="I34" i="19"/>
  <c r="J34" i="19" s="1"/>
  <c r="B35" i="19"/>
  <c r="E34" i="19"/>
  <c r="C30" i="19"/>
  <c r="F29" i="19"/>
  <c r="C57" i="12"/>
  <c r="G57" i="12" s="1"/>
  <c r="C53" i="12"/>
  <c r="C58" i="12" s="1"/>
  <c r="C59" i="12" s="1"/>
  <c r="D53" i="12"/>
  <c r="D58" i="12" s="1"/>
  <c r="G58" i="12" s="1"/>
  <c r="I45" i="13"/>
  <c r="K45" i="13" s="1"/>
  <c r="H48" i="13"/>
  <c r="I48" i="13" s="1"/>
  <c r="K48" i="13" s="1"/>
  <c r="D59" i="12"/>
  <c r="D60" i="12" s="1"/>
  <c r="C60" i="12"/>
  <c r="E44" i="12"/>
  <c r="I44" i="12" s="1"/>
  <c r="G19" i="12"/>
  <c r="F23" i="12"/>
  <c r="H42" i="12"/>
  <c r="J42" i="12" s="1"/>
  <c r="J10" i="10"/>
  <c r="J12" i="10" s="1"/>
  <c r="F26" i="10" s="1"/>
  <c r="G26" i="10" s="1"/>
  <c r="I26" i="10" s="1"/>
  <c r="J26" i="10" s="1"/>
  <c r="I31" i="10"/>
  <c r="I33" i="10" s="1"/>
  <c r="I34" i="10" s="1"/>
  <c r="H10" i="10"/>
  <c r="H12" i="10" s="1"/>
  <c r="F25" i="10" s="1"/>
  <c r="G25" i="10" s="1"/>
  <c r="I25" i="10" s="1"/>
  <c r="J25" i="10" s="1"/>
  <c r="G31" i="10"/>
  <c r="G33" i="10" s="1"/>
  <c r="G34" i="10" s="1"/>
  <c r="D10" i="10"/>
  <c r="D12" i="10" s="1"/>
  <c r="C31" i="10"/>
  <c r="C33" i="10" s="1"/>
  <c r="C34" i="10" s="1"/>
  <c r="F21" i="9"/>
  <c r="G21" i="9" s="1"/>
  <c r="C25" i="9"/>
  <c r="C40" i="20" l="1"/>
  <c r="F39" i="20"/>
  <c r="H39" i="20" s="1"/>
  <c r="E35" i="19"/>
  <c r="B36" i="19"/>
  <c r="I35" i="19"/>
  <c r="J35" i="19" s="1"/>
  <c r="C31" i="19"/>
  <c r="F30" i="19"/>
  <c r="C71" i="12"/>
  <c r="C67" i="12"/>
  <c r="C30" i="9"/>
  <c r="C32" i="9"/>
  <c r="C33" i="9"/>
  <c r="D33" i="9" s="1"/>
  <c r="M45" i="13"/>
  <c r="M48" i="13" s="1"/>
  <c r="L45" i="13"/>
  <c r="L48" i="13" s="1"/>
  <c r="C75" i="12"/>
  <c r="C84" i="12"/>
  <c r="D84" i="12" s="1"/>
  <c r="C83" i="12"/>
  <c r="G60" i="12"/>
  <c r="C69" i="12" s="1"/>
  <c r="C76" i="12" s="1"/>
  <c r="C80" i="12" s="1"/>
  <c r="G59" i="12"/>
  <c r="H59" i="12" s="1"/>
  <c r="L42" i="12"/>
  <c r="K42" i="12"/>
  <c r="M19" i="12"/>
  <c r="M23" i="12" s="1"/>
  <c r="M25" i="12" s="1"/>
  <c r="M27" i="12" s="1"/>
  <c r="M28" i="12" s="1"/>
  <c r="M29" i="12" s="1"/>
  <c r="G23" i="12"/>
  <c r="G25" i="12" s="1"/>
  <c r="F41" i="12" s="1"/>
  <c r="K12" i="10"/>
  <c r="K14" i="10" s="1"/>
  <c r="C18" i="10" s="1"/>
  <c r="C20" i="10" s="1"/>
  <c r="F23" i="10"/>
  <c r="K10" i="10"/>
  <c r="F22" i="9"/>
  <c r="C26" i="9" s="1"/>
  <c r="C31" i="9" s="1"/>
  <c r="D31" i="9" s="1"/>
  <c r="C41" i="20" l="1"/>
  <c r="F40" i="20"/>
  <c r="H40" i="20" s="1"/>
  <c r="B37" i="19"/>
  <c r="E36" i="19"/>
  <c r="I36" i="19"/>
  <c r="J36" i="19" s="1"/>
  <c r="C32" i="19"/>
  <c r="F31" i="19"/>
  <c r="D32" i="9"/>
  <c r="D34" i="9" s="1"/>
  <c r="D83" i="12"/>
  <c r="D85" i="12" s="1"/>
  <c r="C79" i="12"/>
  <c r="M31" i="12"/>
  <c r="C35" i="12"/>
  <c r="C37" i="12" s="1"/>
  <c r="C38" i="12" s="1"/>
  <c r="F44" i="12"/>
  <c r="G41" i="12"/>
  <c r="G23" i="10"/>
  <c r="I23" i="10" s="1"/>
  <c r="J23" i="10" s="1"/>
  <c r="J28" i="10" s="1"/>
  <c r="F28" i="10"/>
  <c r="G28" i="10" s="1"/>
  <c r="I28" i="10" s="1"/>
  <c r="D30" i="9"/>
  <c r="C10" i="8"/>
  <c r="C9" i="8"/>
  <c r="C8" i="8"/>
  <c r="C7" i="8"/>
  <c r="B10" i="8"/>
  <c r="B9" i="8"/>
  <c r="B8" i="8"/>
  <c r="B7" i="8"/>
  <c r="B4" i="7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C42" i="20" l="1"/>
  <c r="F41" i="20"/>
  <c r="H41" i="20" s="1"/>
  <c r="C33" i="19"/>
  <c r="F32" i="19"/>
  <c r="B38" i="19"/>
  <c r="I37" i="19"/>
  <c r="J37" i="19" s="1"/>
  <c r="E37" i="19"/>
  <c r="G44" i="12"/>
  <c r="H44" i="12" s="1"/>
  <c r="H41" i="12"/>
  <c r="J41" i="12" s="1"/>
  <c r="C24" i="6"/>
  <c r="D24" i="6"/>
  <c r="E24" i="6"/>
  <c r="F24" i="6"/>
  <c r="C25" i="6"/>
  <c r="D25" i="6"/>
  <c r="E25" i="6"/>
  <c r="F25" i="6"/>
  <c r="C26" i="6"/>
  <c r="D26" i="6"/>
  <c r="G26" i="6" s="1"/>
  <c r="E26" i="6"/>
  <c r="F26" i="6"/>
  <c r="C27" i="6"/>
  <c r="D27" i="6"/>
  <c r="E27" i="6"/>
  <c r="F27" i="6"/>
  <c r="C28" i="6"/>
  <c r="D28" i="6"/>
  <c r="E28" i="6"/>
  <c r="F28" i="6"/>
  <c r="C29" i="6"/>
  <c r="D29" i="6"/>
  <c r="E29" i="6"/>
  <c r="F29" i="6"/>
  <c r="C33" i="6"/>
  <c r="C37" i="6" s="1"/>
  <c r="C40" i="6" s="1"/>
  <c r="D33" i="6"/>
  <c r="D37" i="6" s="1"/>
  <c r="D40" i="6" s="1"/>
  <c r="E33" i="6"/>
  <c r="E37" i="6" s="1"/>
  <c r="E40" i="6" s="1"/>
  <c r="C10" i="5"/>
  <c r="C12" i="5" s="1"/>
  <c r="C13" i="5"/>
  <c r="D20" i="5"/>
  <c r="F20" i="5"/>
  <c r="H20" i="5"/>
  <c r="G20" i="5" s="1"/>
  <c r="I20" i="5"/>
  <c r="J20" i="5" s="1"/>
  <c r="D21" i="5"/>
  <c r="C21" i="5" s="1"/>
  <c r="E21" i="5"/>
  <c r="G21" i="5"/>
  <c r="D22" i="5"/>
  <c r="C22" i="5" s="1"/>
  <c r="E22" i="5"/>
  <c r="G22" i="5"/>
  <c r="I22" i="5"/>
  <c r="J22" i="5" s="1"/>
  <c r="C23" i="5"/>
  <c r="F23" i="5"/>
  <c r="E23" i="5" s="1"/>
  <c r="G23" i="5"/>
  <c r="I23" i="5"/>
  <c r="C24" i="5"/>
  <c r="E24" i="5"/>
  <c r="H24" i="5"/>
  <c r="G24" i="5" s="1"/>
  <c r="I24" i="5"/>
  <c r="C25" i="5"/>
  <c r="E25" i="5"/>
  <c r="H25" i="5"/>
  <c r="G25" i="5" s="1"/>
  <c r="I25" i="5"/>
  <c r="C29" i="5"/>
  <c r="B30" i="5"/>
  <c r="B31" i="5"/>
  <c r="C43" i="20" l="1"/>
  <c r="F42" i="20"/>
  <c r="H42" i="20" s="1"/>
  <c r="I38" i="19"/>
  <c r="J38" i="19" s="1"/>
  <c r="B39" i="19"/>
  <c r="E38" i="19"/>
  <c r="C34" i="19"/>
  <c r="F33" i="19"/>
  <c r="D30" i="6"/>
  <c r="D38" i="6" s="1"/>
  <c r="C14" i="5"/>
  <c r="J25" i="5"/>
  <c r="I26" i="5"/>
  <c r="J23" i="5"/>
  <c r="F26" i="5"/>
  <c r="D26" i="5"/>
  <c r="L41" i="12"/>
  <c r="L44" i="12" s="1"/>
  <c r="K41" i="12"/>
  <c r="K44" i="12" s="1"/>
  <c r="H26" i="5"/>
  <c r="C20" i="5"/>
  <c r="C26" i="5" s="1"/>
  <c r="C30" i="5" s="1"/>
  <c r="G28" i="6"/>
  <c r="G24" i="6"/>
  <c r="J21" i="5"/>
  <c r="G29" i="6"/>
  <c r="E30" i="6"/>
  <c r="E38" i="6" s="1"/>
  <c r="J24" i="5"/>
  <c r="C30" i="6"/>
  <c r="C38" i="6"/>
  <c r="G27" i="6"/>
  <c r="F30" i="6"/>
  <c r="G25" i="6"/>
  <c r="G26" i="5"/>
  <c r="C32" i="5" s="1"/>
  <c r="E20" i="5"/>
  <c r="E26" i="5" s="1"/>
  <c r="C31" i="5" s="1"/>
  <c r="C44" i="20" l="1"/>
  <c r="F43" i="20"/>
  <c r="H43" i="20" s="1"/>
  <c r="B40" i="19"/>
  <c r="I39" i="19"/>
  <c r="J39" i="19" s="1"/>
  <c r="E39" i="19"/>
  <c r="C35" i="19"/>
  <c r="F34" i="19"/>
  <c r="J26" i="5"/>
  <c r="C33" i="5"/>
  <c r="G30" i="6"/>
  <c r="C31" i="6" s="1"/>
  <c r="D31" i="6"/>
  <c r="E26" i="4"/>
  <c r="D26" i="4"/>
  <c r="C26" i="4"/>
  <c r="E23" i="4"/>
  <c r="D23" i="4"/>
  <c r="E22" i="4" s="1"/>
  <c r="E16" i="4"/>
  <c r="E20" i="4" s="1"/>
  <c r="D16" i="4"/>
  <c r="D20" i="4" s="1"/>
  <c r="C16" i="4"/>
  <c r="C20" i="4" s="1"/>
  <c r="F17" i="4"/>
  <c r="D14" i="4"/>
  <c r="E9" i="4"/>
  <c r="D9" i="4"/>
  <c r="C9" i="4"/>
  <c r="E8" i="4"/>
  <c r="D8" i="4"/>
  <c r="E5" i="4"/>
  <c r="E14" i="4" s="1"/>
  <c r="D5" i="4"/>
  <c r="E4" i="4"/>
  <c r="D4" i="4"/>
  <c r="C4" i="4"/>
  <c r="E3" i="4"/>
  <c r="D3" i="4"/>
  <c r="C3" i="4"/>
  <c r="C8" i="4"/>
  <c r="C27" i="3"/>
  <c r="D26" i="3" s="1"/>
  <c r="E22" i="3"/>
  <c r="C19" i="3"/>
  <c r="C20" i="3" s="1"/>
  <c r="D17" i="3"/>
  <c r="D19" i="3" s="1"/>
  <c r="D20" i="3" s="1"/>
  <c r="C17" i="3"/>
  <c r="D8" i="3"/>
  <c r="D10" i="3" s="1"/>
  <c r="D12" i="3" s="1"/>
  <c r="D13" i="3" s="1"/>
  <c r="D25" i="3" s="1"/>
  <c r="C8" i="3"/>
  <c r="C10" i="3" s="1"/>
  <c r="C12" i="3" s="1"/>
  <c r="C13" i="3" s="1"/>
  <c r="D3" i="3"/>
  <c r="C3" i="3"/>
  <c r="C5" i="3"/>
  <c r="C14" i="3" s="1"/>
  <c r="D4" i="3"/>
  <c r="C4" i="3"/>
  <c r="C45" i="20" l="1"/>
  <c r="F44" i="20"/>
  <c r="H44" i="20" s="1"/>
  <c r="B41" i="19"/>
  <c r="E40" i="19"/>
  <c r="I40" i="19"/>
  <c r="J40" i="19" s="1"/>
  <c r="C36" i="19"/>
  <c r="F35" i="19"/>
  <c r="F31" i="6"/>
  <c r="E31" i="6"/>
  <c r="G31" i="6" s="1"/>
  <c r="E10" i="4"/>
  <c r="E12" i="4" s="1"/>
  <c r="E13" i="4" s="1"/>
  <c r="E21" i="4" s="1"/>
  <c r="E24" i="4" s="1"/>
  <c r="D10" i="4"/>
  <c r="C10" i="4"/>
  <c r="C12" i="4" s="1"/>
  <c r="C13" i="4" s="1"/>
  <c r="C21" i="3"/>
  <c r="E13" i="3"/>
  <c r="C25" i="3"/>
  <c r="C28" i="3" s="1"/>
  <c r="D28" i="3"/>
  <c r="D26" i="2"/>
  <c r="E26" i="2" s="1"/>
  <c r="D21" i="2"/>
  <c r="E21" i="2" s="1"/>
  <c r="E15" i="2"/>
  <c r="D15" i="2"/>
  <c r="C15" i="2"/>
  <c r="E14" i="2"/>
  <c r="D14" i="2"/>
  <c r="C14" i="2"/>
  <c r="C23" i="2" s="1"/>
  <c r="E8" i="2"/>
  <c r="E7" i="2"/>
  <c r="D8" i="2"/>
  <c r="D7" i="2"/>
  <c r="C8" i="2"/>
  <c r="C9" i="2" s="1"/>
  <c r="C11" i="2" s="1"/>
  <c r="D10" i="2" s="1"/>
  <c r="E6" i="2"/>
  <c r="E13" i="2" s="1"/>
  <c r="D6" i="2"/>
  <c r="D13" i="2" s="1"/>
  <c r="C6" i="2"/>
  <c r="C13" i="2" s="1"/>
  <c r="E20" i="1"/>
  <c r="E21" i="1" s="1"/>
  <c r="C19" i="1"/>
  <c r="C21" i="1" s="1"/>
  <c r="F21" i="1" s="1"/>
  <c r="D21" i="1"/>
  <c r="C9" i="1"/>
  <c r="C5" i="1"/>
  <c r="C10" i="1" s="1"/>
  <c r="D10" i="1" s="1"/>
  <c r="E10" i="1" s="1"/>
  <c r="C46" i="20" l="1"/>
  <c r="F45" i="20"/>
  <c r="H45" i="20" s="1"/>
  <c r="C37" i="19"/>
  <c r="F36" i="19"/>
  <c r="E41" i="19"/>
  <c r="I41" i="19"/>
  <c r="J41" i="19" s="1"/>
  <c r="B42" i="19"/>
  <c r="D23" i="2"/>
  <c r="D24" i="2" s="1"/>
  <c r="C24" i="2"/>
  <c r="C17" i="2" s="1"/>
  <c r="C14" i="1"/>
  <c r="C16" i="1" s="1"/>
  <c r="D14" i="1"/>
  <c r="E14" i="1"/>
  <c r="C21" i="4"/>
  <c r="C24" i="4" s="1"/>
  <c r="D12" i="4"/>
  <c r="D13" i="4" s="1"/>
  <c r="F13" i="4" s="1"/>
  <c r="E23" i="2"/>
  <c r="E24" i="2" s="1"/>
  <c r="E17" i="2" s="1"/>
  <c r="E9" i="2"/>
  <c r="C22" i="2"/>
  <c r="C25" i="2" s="1"/>
  <c r="E16" i="2"/>
  <c r="D16" i="2"/>
  <c r="C16" i="2"/>
  <c r="D9" i="2"/>
  <c r="D11" i="2" s="1"/>
  <c r="C11" i="1"/>
  <c r="D9" i="1"/>
  <c r="C47" i="20" l="1"/>
  <c r="F46" i="20"/>
  <c r="H46" i="20" s="1"/>
  <c r="I42" i="19"/>
  <c r="J42" i="19" s="1"/>
  <c r="B43" i="19"/>
  <c r="E42" i="19"/>
  <c r="C38" i="19"/>
  <c r="F37" i="19"/>
  <c r="E18" i="2"/>
  <c r="C18" i="2"/>
  <c r="C28" i="2" s="1"/>
  <c r="D17" i="2"/>
  <c r="D18" i="2" s="1"/>
  <c r="D21" i="4"/>
  <c r="D24" i="4" s="1"/>
  <c r="E10" i="2"/>
  <c r="E11" i="2" s="1"/>
  <c r="E22" i="2" s="1"/>
  <c r="E25" i="2" s="1"/>
  <c r="D22" i="2"/>
  <c r="D25" i="2" s="1"/>
  <c r="D16" i="1"/>
  <c r="F16" i="1" s="1"/>
  <c r="D11" i="1"/>
  <c r="E9" i="1"/>
  <c r="E11" i="1" s="1"/>
  <c r="E15" i="1" s="1"/>
  <c r="E16" i="1" s="1"/>
  <c r="C48" i="20" l="1"/>
  <c r="F47" i="20"/>
  <c r="H47" i="20" s="1"/>
  <c r="E43" i="19"/>
  <c r="B44" i="19"/>
  <c r="I43" i="19"/>
  <c r="J43" i="19" s="1"/>
  <c r="C39" i="19"/>
  <c r="F38" i="19"/>
  <c r="D28" i="2"/>
  <c r="E28" i="2" s="1"/>
  <c r="E29" i="2" s="1"/>
  <c r="C29" i="2"/>
  <c r="C49" i="20" l="1"/>
  <c r="F48" i="20"/>
  <c r="H48" i="20" s="1"/>
  <c r="B45" i="19"/>
  <c r="E44" i="19"/>
  <c r="I44" i="19"/>
  <c r="J44" i="19" s="1"/>
  <c r="C40" i="19"/>
  <c r="F39" i="19"/>
  <c r="D29" i="2"/>
  <c r="C50" i="20" l="1"/>
  <c r="F49" i="20"/>
  <c r="H49" i="20" s="1"/>
  <c r="C41" i="19"/>
  <c r="F40" i="19"/>
  <c r="B46" i="19"/>
  <c r="I45" i="19"/>
  <c r="J45" i="19" s="1"/>
  <c r="E45" i="19"/>
  <c r="C51" i="20" l="1"/>
  <c r="F50" i="20"/>
  <c r="H50" i="20" s="1"/>
  <c r="I46" i="19"/>
  <c r="J46" i="19" s="1"/>
  <c r="B47" i="19"/>
  <c r="E46" i="19"/>
  <c r="C42" i="19"/>
  <c r="F41" i="19"/>
  <c r="C52" i="20" l="1"/>
  <c r="F51" i="20"/>
  <c r="H51" i="20" s="1"/>
  <c r="B48" i="19"/>
  <c r="I47" i="19"/>
  <c r="J47" i="19" s="1"/>
  <c r="E47" i="19"/>
  <c r="C43" i="19"/>
  <c r="F42" i="19"/>
  <c r="C53" i="20" l="1"/>
  <c r="F52" i="20"/>
  <c r="H52" i="20" s="1"/>
  <c r="B49" i="19"/>
  <c r="E48" i="19"/>
  <c r="I48" i="19"/>
  <c r="J48" i="19" s="1"/>
  <c r="C44" i="19"/>
  <c r="F43" i="19"/>
  <c r="C54" i="20" l="1"/>
  <c r="F53" i="20"/>
  <c r="H53" i="20" s="1"/>
  <c r="E49" i="19"/>
  <c r="I49" i="19"/>
  <c r="J49" i="19" s="1"/>
  <c r="B50" i="19"/>
  <c r="C45" i="19"/>
  <c r="F44" i="19"/>
  <c r="C55" i="20" l="1"/>
  <c r="F54" i="20"/>
  <c r="H54" i="20" s="1"/>
  <c r="I50" i="19"/>
  <c r="J50" i="19" s="1"/>
  <c r="B51" i="19"/>
  <c r="E50" i="19"/>
  <c r="C46" i="19"/>
  <c r="F45" i="19"/>
  <c r="C56" i="20" l="1"/>
  <c r="F55" i="20"/>
  <c r="H55" i="20" s="1"/>
  <c r="C47" i="19"/>
  <c r="F46" i="19"/>
  <c r="E51" i="19"/>
  <c r="B52" i="19"/>
  <c r="I51" i="19"/>
  <c r="J51" i="19" s="1"/>
  <c r="C57" i="20" l="1"/>
  <c r="F56" i="20"/>
  <c r="H56" i="20" s="1"/>
  <c r="C48" i="19"/>
  <c r="F47" i="19"/>
  <c r="B53" i="19"/>
  <c r="E52" i="19"/>
  <c r="I52" i="19"/>
  <c r="J52" i="19" s="1"/>
  <c r="C58" i="20" l="1"/>
  <c r="F57" i="20"/>
  <c r="H57" i="20" s="1"/>
  <c r="B54" i="19"/>
  <c r="I53" i="19"/>
  <c r="J53" i="19" s="1"/>
  <c r="E53" i="19"/>
  <c r="C49" i="19"/>
  <c r="F48" i="19"/>
  <c r="C59" i="20" l="1"/>
  <c r="F58" i="20"/>
  <c r="H58" i="20" s="1"/>
  <c r="C50" i="19"/>
  <c r="F49" i="19"/>
  <c r="I54" i="19"/>
  <c r="J54" i="19" s="1"/>
  <c r="B55" i="19"/>
  <c r="E54" i="19"/>
  <c r="C60" i="20" l="1"/>
  <c r="F59" i="20"/>
  <c r="H59" i="20" s="1"/>
  <c r="C51" i="19"/>
  <c r="F50" i="19"/>
  <c r="B56" i="19"/>
  <c r="I55" i="19"/>
  <c r="J55" i="19" s="1"/>
  <c r="E55" i="19"/>
  <c r="C61" i="20" l="1"/>
  <c r="F60" i="20"/>
  <c r="H60" i="20" s="1"/>
  <c r="B57" i="19"/>
  <c r="E56" i="19"/>
  <c r="I56" i="19"/>
  <c r="J56" i="19" s="1"/>
  <c r="C52" i="19"/>
  <c r="F51" i="19"/>
  <c r="C62" i="20" l="1"/>
  <c r="F61" i="20"/>
  <c r="H61" i="20" s="1"/>
  <c r="E57" i="19"/>
  <c r="B58" i="19"/>
  <c r="I57" i="19"/>
  <c r="J57" i="19" s="1"/>
  <c r="C53" i="19"/>
  <c r="F52" i="19"/>
  <c r="C63" i="20" l="1"/>
  <c r="F62" i="20"/>
  <c r="H62" i="20" s="1"/>
  <c r="I58" i="19"/>
  <c r="J58" i="19" s="1"/>
  <c r="E58" i="19"/>
  <c r="B59" i="19"/>
  <c r="C54" i="19"/>
  <c r="F53" i="19"/>
  <c r="C64" i="20" l="1"/>
  <c r="F63" i="20"/>
  <c r="H63" i="20" s="1"/>
  <c r="I59" i="19"/>
  <c r="J59" i="19" s="1"/>
  <c r="E59" i="19"/>
  <c r="B60" i="19"/>
  <c r="C55" i="19"/>
  <c r="F54" i="19"/>
  <c r="C65" i="20" l="1"/>
  <c r="F64" i="20"/>
  <c r="H64" i="20" s="1"/>
  <c r="C56" i="19"/>
  <c r="F55" i="19"/>
  <c r="B61" i="19"/>
  <c r="E60" i="19"/>
  <c r="I60" i="19"/>
  <c r="J60" i="19" s="1"/>
  <c r="C66" i="20" l="1"/>
  <c r="F65" i="20"/>
  <c r="H65" i="20" s="1"/>
  <c r="B62" i="19"/>
  <c r="I61" i="19"/>
  <c r="J61" i="19" s="1"/>
  <c r="E61" i="19"/>
  <c r="C57" i="19"/>
  <c r="F56" i="19"/>
  <c r="C67" i="20" l="1"/>
  <c r="F66" i="20"/>
  <c r="H66" i="20" s="1"/>
  <c r="C58" i="19"/>
  <c r="F57" i="19"/>
  <c r="I62" i="19"/>
  <c r="J62" i="19" s="1"/>
  <c r="E62" i="19"/>
  <c r="B63" i="19"/>
  <c r="C68" i="20" l="1"/>
  <c r="F67" i="20"/>
  <c r="H67" i="20" s="1"/>
  <c r="C59" i="19"/>
  <c r="F58" i="19"/>
  <c r="E63" i="19"/>
  <c r="B64" i="19"/>
  <c r="I63" i="19"/>
  <c r="J63" i="19" s="1"/>
  <c r="C69" i="20" l="1"/>
  <c r="F68" i="20"/>
  <c r="H68" i="20" s="1"/>
  <c r="B65" i="19"/>
  <c r="E64" i="19"/>
  <c r="I64" i="19"/>
  <c r="J64" i="19" s="1"/>
  <c r="C60" i="19"/>
  <c r="F59" i="19"/>
  <c r="C70" i="20" l="1"/>
  <c r="F69" i="20"/>
  <c r="H69" i="20" s="1"/>
  <c r="C61" i="19"/>
  <c r="F60" i="19"/>
  <c r="I65" i="19"/>
  <c r="J65" i="19" s="1"/>
  <c r="E65" i="19"/>
  <c r="B66" i="19"/>
  <c r="C71" i="20" l="1"/>
  <c r="F70" i="20"/>
  <c r="H70" i="20" s="1"/>
  <c r="C62" i="19"/>
  <c r="F61" i="19"/>
  <c r="I66" i="19"/>
  <c r="J66" i="19" s="1"/>
  <c r="E66" i="19"/>
  <c r="B67" i="19"/>
  <c r="C72" i="20" l="1"/>
  <c r="F71" i="20"/>
  <c r="H71" i="20" s="1"/>
  <c r="I67" i="19"/>
  <c r="J67" i="19" s="1"/>
  <c r="E67" i="19"/>
  <c r="B68" i="19"/>
  <c r="C63" i="19"/>
  <c r="F62" i="19"/>
  <c r="C73" i="20" l="1"/>
  <c r="F72" i="20"/>
  <c r="H72" i="20" s="1"/>
  <c r="B69" i="19"/>
  <c r="E68" i="19"/>
  <c r="I68" i="19"/>
  <c r="J68" i="19" s="1"/>
  <c r="C64" i="19"/>
  <c r="F63" i="19"/>
  <c r="C74" i="20" l="1"/>
  <c r="F73" i="20"/>
  <c r="H73" i="20" s="1"/>
  <c r="B70" i="19"/>
  <c r="I69" i="19"/>
  <c r="J69" i="19" s="1"/>
  <c r="E69" i="19"/>
  <c r="C65" i="19"/>
  <c r="F64" i="19"/>
  <c r="C75" i="20" l="1"/>
  <c r="F74" i="20"/>
  <c r="H74" i="20" s="1"/>
  <c r="C66" i="19"/>
  <c r="F65" i="19"/>
  <c r="I70" i="19"/>
  <c r="J70" i="19" s="1"/>
  <c r="E70" i="19"/>
  <c r="B71" i="19"/>
  <c r="C76" i="20" l="1"/>
  <c r="F75" i="20"/>
  <c r="H75" i="20" s="1"/>
  <c r="C67" i="19"/>
  <c r="F66" i="19"/>
  <c r="E71" i="19"/>
  <c r="B72" i="19"/>
  <c r="I71" i="19"/>
  <c r="J71" i="19" s="1"/>
  <c r="C77" i="20" l="1"/>
  <c r="F76" i="20"/>
  <c r="H76" i="20" s="1"/>
  <c r="B73" i="19"/>
  <c r="E72" i="19"/>
  <c r="I72" i="19"/>
  <c r="J72" i="19" s="1"/>
  <c r="C68" i="19"/>
  <c r="F67" i="19"/>
  <c r="C78" i="20" l="1"/>
  <c r="F77" i="20"/>
  <c r="H77" i="20" s="1"/>
  <c r="I73" i="19"/>
  <c r="J73" i="19" s="1"/>
  <c r="E73" i="19"/>
  <c r="B74" i="19"/>
  <c r="C69" i="19"/>
  <c r="F68" i="19"/>
  <c r="C79" i="20" l="1"/>
  <c r="F78" i="20"/>
  <c r="H78" i="20" s="1"/>
  <c r="I74" i="19"/>
  <c r="J74" i="19" s="1"/>
  <c r="E74" i="19"/>
  <c r="B75" i="19"/>
  <c r="C70" i="19"/>
  <c r="F69" i="19"/>
  <c r="C80" i="20" l="1"/>
  <c r="F79" i="20"/>
  <c r="H79" i="20" s="1"/>
  <c r="I75" i="19"/>
  <c r="J75" i="19" s="1"/>
  <c r="E75" i="19"/>
  <c r="B76" i="19"/>
  <c r="C71" i="19"/>
  <c r="F70" i="19"/>
  <c r="C81" i="20" l="1"/>
  <c r="F80" i="20"/>
  <c r="H80" i="20" s="1"/>
  <c r="B77" i="19"/>
  <c r="E76" i="19"/>
  <c r="I76" i="19"/>
  <c r="J76" i="19" s="1"/>
  <c r="C72" i="19"/>
  <c r="F71" i="19"/>
  <c r="C82" i="20" l="1"/>
  <c r="F81" i="20"/>
  <c r="H81" i="20" s="1"/>
  <c r="C73" i="19"/>
  <c r="F72" i="19"/>
  <c r="B78" i="19"/>
  <c r="I77" i="19"/>
  <c r="J77" i="19" s="1"/>
  <c r="E77" i="19"/>
  <c r="C83" i="20" l="1"/>
  <c r="F82" i="20"/>
  <c r="H82" i="20" s="1"/>
  <c r="I78" i="19"/>
  <c r="J78" i="19" s="1"/>
  <c r="E78" i="19"/>
  <c r="B79" i="19"/>
  <c r="C74" i="19"/>
  <c r="F73" i="19"/>
  <c r="C84" i="20" l="1"/>
  <c r="F83" i="20"/>
  <c r="H83" i="20" s="1"/>
  <c r="E79" i="19"/>
  <c r="B80" i="19"/>
  <c r="I79" i="19"/>
  <c r="J79" i="19" s="1"/>
  <c r="C75" i="19"/>
  <c r="F74" i="19"/>
  <c r="C85" i="20" l="1"/>
  <c r="F84" i="20"/>
  <c r="H84" i="20" s="1"/>
  <c r="B81" i="19"/>
  <c r="E80" i="19"/>
  <c r="I80" i="19"/>
  <c r="J80" i="19" s="1"/>
  <c r="C76" i="19"/>
  <c r="F75" i="19"/>
  <c r="C86" i="20" l="1"/>
  <c r="F85" i="20"/>
  <c r="H85" i="20" s="1"/>
  <c r="C77" i="19"/>
  <c r="F76" i="19"/>
  <c r="I81" i="19"/>
  <c r="J81" i="19" s="1"/>
  <c r="E81" i="19"/>
  <c r="B82" i="19"/>
  <c r="C87" i="20" l="1"/>
  <c r="F86" i="20"/>
  <c r="H86" i="20" s="1"/>
  <c r="I82" i="19"/>
  <c r="J82" i="19" s="1"/>
  <c r="E82" i="19"/>
  <c r="B83" i="19"/>
  <c r="C78" i="19"/>
  <c r="F77" i="19"/>
  <c r="C88" i="20" l="1"/>
  <c r="F87" i="20"/>
  <c r="H87" i="20" s="1"/>
  <c r="C79" i="19"/>
  <c r="F78" i="19"/>
  <c r="B84" i="19"/>
  <c r="I83" i="19"/>
  <c r="J83" i="19" s="1"/>
  <c r="E83" i="19"/>
  <c r="C89" i="20" l="1"/>
  <c r="F88" i="20"/>
  <c r="H88" i="20" s="1"/>
  <c r="I84" i="19"/>
  <c r="J84" i="19" s="1"/>
  <c r="B85" i="19"/>
  <c r="E84" i="19"/>
  <c r="C80" i="19"/>
  <c r="F79" i="19"/>
  <c r="C90" i="20" l="1"/>
  <c r="F89" i="20"/>
  <c r="H89" i="20" s="1"/>
  <c r="E85" i="19"/>
  <c r="I85" i="19"/>
  <c r="J85" i="19" s="1"/>
  <c r="B86" i="19"/>
  <c r="C81" i="19"/>
  <c r="F80" i="19"/>
  <c r="C91" i="20" l="1"/>
  <c r="F90" i="20"/>
  <c r="H90" i="20" s="1"/>
  <c r="B87" i="19"/>
  <c r="E86" i="19"/>
  <c r="I86" i="19"/>
  <c r="J86" i="19" s="1"/>
  <c r="C82" i="19"/>
  <c r="F81" i="19"/>
  <c r="C92" i="20" l="1"/>
  <c r="F91" i="20"/>
  <c r="H91" i="20" s="1"/>
  <c r="C83" i="19"/>
  <c r="F82" i="19"/>
  <c r="I87" i="19"/>
  <c r="J87" i="19" s="1"/>
  <c r="E87" i="19"/>
  <c r="B88" i="19"/>
  <c r="C93" i="20" l="1"/>
  <c r="F92" i="20"/>
  <c r="H92" i="20" s="1"/>
  <c r="C84" i="19"/>
  <c r="F83" i="19"/>
  <c r="I88" i="19"/>
  <c r="J88" i="19" s="1"/>
  <c r="E88" i="19"/>
  <c r="B89" i="19"/>
  <c r="C94" i="20" l="1"/>
  <c r="F93" i="20"/>
  <c r="H93" i="20" s="1"/>
  <c r="I89" i="19"/>
  <c r="J89" i="19" s="1"/>
  <c r="E89" i="19"/>
  <c r="B90" i="19"/>
  <c r="C85" i="19"/>
  <c r="F84" i="19"/>
  <c r="C95" i="20" l="1"/>
  <c r="F94" i="20"/>
  <c r="H94" i="20" s="1"/>
  <c r="B91" i="19"/>
  <c r="E90" i="19"/>
  <c r="I90" i="19"/>
  <c r="J90" i="19" s="1"/>
  <c r="C86" i="19"/>
  <c r="F85" i="19"/>
  <c r="C96" i="20" l="1"/>
  <c r="F95" i="20"/>
  <c r="H95" i="20" s="1"/>
  <c r="B92" i="19"/>
  <c r="E91" i="19"/>
  <c r="I91" i="19"/>
  <c r="J91" i="19" s="1"/>
  <c r="C87" i="19"/>
  <c r="F86" i="19"/>
  <c r="C97" i="20" l="1"/>
  <c r="F96" i="20"/>
  <c r="H96" i="20" s="1"/>
  <c r="C88" i="19"/>
  <c r="F87" i="19"/>
  <c r="I92" i="19"/>
  <c r="J92" i="19" s="1"/>
  <c r="E92" i="19"/>
  <c r="B93" i="19"/>
  <c r="C98" i="20" l="1"/>
  <c r="F97" i="20"/>
  <c r="H97" i="20" s="1"/>
  <c r="C89" i="19"/>
  <c r="F88" i="19"/>
  <c r="E93" i="19"/>
  <c r="B94" i="19"/>
  <c r="I93" i="19"/>
  <c r="J93" i="19" s="1"/>
  <c r="C99" i="20" l="1"/>
  <c r="F98" i="20"/>
  <c r="H98" i="20" s="1"/>
  <c r="B95" i="19"/>
  <c r="E94" i="19"/>
  <c r="I94" i="19"/>
  <c r="J94" i="19" s="1"/>
  <c r="C90" i="19"/>
  <c r="F89" i="19"/>
  <c r="C100" i="20" l="1"/>
  <c r="F99" i="20"/>
  <c r="H99" i="20" s="1"/>
  <c r="C91" i="19"/>
  <c r="F90" i="19"/>
  <c r="I95" i="19"/>
  <c r="J95" i="19" s="1"/>
  <c r="B96" i="19"/>
  <c r="E95" i="19"/>
  <c r="C101" i="20" l="1"/>
  <c r="F100" i="20"/>
  <c r="H100" i="20" s="1"/>
  <c r="C92" i="19"/>
  <c r="F91" i="19"/>
  <c r="I96" i="19"/>
  <c r="J96" i="19" s="1"/>
  <c r="E96" i="19"/>
  <c r="B97" i="19"/>
  <c r="C102" i="20" l="1"/>
  <c r="F101" i="20"/>
  <c r="H101" i="20" s="1"/>
  <c r="I97" i="19"/>
  <c r="J97" i="19" s="1"/>
  <c r="B98" i="19"/>
  <c r="E97" i="19"/>
  <c r="C93" i="19"/>
  <c r="F92" i="19"/>
  <c r="C103" i="20" l="1"/>
  <c r="F102" i="20"/>
  <c r="H102" i="20" s="1"/>
  <c r="C94" i="19"/>
  <c r="F93" i="19"/>
  <c r="B99" i="19"/>
  <c r="E98" i="19"/>
  <c r="I98" i="19"/>
  <c r="J98" i="19" s="1"/>
  <c r="C104" i="20" l="1"/>
  <c r="F103" i="20"/>
  <c r="H103" i="20" s="1"/>
  <c r="B100" i="19"/>
  <c r="I99" i="19"/>
  <c r="J99" i="19" s="1"/>
  <c r="E99" i="19"/>
  <c r="C95" i="19"/>
  <c r="F94" i="19"/>
  <c r="C105" i="20" l="1"/>
  <c r="F104" i="20"/>
  <c r="H104" i="20" s="1"/>
  <c r="C96" i="19"/>
  <c r="F95" i="19"/>
  <c r="I100" i="19"/>
  <c r="J100" i="19" s="1"/>
  <c r="B101" i="19"/>
  <c r="E100" i="19"/>
  <c r="C106" i="20" l="1"/>
  <c r="F105" i="20"/>
  <c r="H105" i="20" s="1"/>
  <c r="C97" i="19"/>
  <c r="F96" i="19"/>
  <c r="E101" i="19"/>
  <c r="I101" i="19"/>
  <c r="J101" i="19" s="1"/>
  <c r="B102" i="19"/>
  <c r="C107" i="20" l="1"/>
  <c r="F106" i="20"/>
  <c r="H106" i="20" s="1"/>
  <c r="B103" i="19"/>
  <c r="E102" i="19"/>
  <c r="I102" i="19"/>
  <c r="J102" i="19" s="1"/>
  <c r="C98" i="19"/>
  <c r="F97" i="19"/>
  <c r="C108" i="20" l="1"/>
  <c r="F107" i="20"/>
  <c r="H107" i="20" s="1"/>
  <c r="I103" i="19"/>
  <c r="J103" i="19" s="1"/>
  <c r="E103" i="19"/>
  <c r="B104" i="19"/>
  <c r="C99" i="19"/>
  <c r="F98" i="19"/>
  <c r="C109" i="20" l="1"/>
  <c r="F108" i="20"/>
  <c r="H108" i="20" s="1"/>
  <c r="I104" i="19"/>
  <c r="J104" i="19" s="1"/>
  <c r="E104" i="19"/>
  <c r="B105" i="19"/>
  <c r="C100" i="19"/>
  <c r="F99" i="19"/>
  <c r="C110" i="20" l="1"/>
  <c r="F109" i="20"/>
  <c r="H109" i="20" s="1"/>
  <c r="I105" i="19"/>
  <c r="J105" i="19" s="1"/>
  <c r="E105" i="19"/>
  <c r="B106" i="19"/>
  <c r="C101" i="19"/>
  <c r="F100" i="19"/>
  <c r="C111" i="20" l="1"/>
  <c r="F110" i="20"/>
  <c r="H110" i="20" s="1"/>
  <c r="C102" i="19"/>
  <c r="F101" i="19"/>
  <c r="B107" i="19"/>
  <c r="E106" i="19"/>
  <c r="I106" i="19"/>
  <c r="J106" i="19" s="1"/>
  <c r="C112" i="20" l="1"/>
  <c r="F111" i="20"/>
  <c r="H111" i="20" s="1"/>
  <c r="I107" i="19"/>
  <c r="J107" i="19" s="1"/>
  <c r="B108" i="19"/>
  <c r="E107" i="19"/>
  <c r="C103" i="19"/>
  <c r="F102" i="19"/>
  <c r="C113" i="20" l="1"/>
  <c r="F112" i="20"/>
  <c r="H112" i="20" s="1"/>
  <c r="C104" i="19"/>
  <c r="F103" i="19"/>
  <c r="I108" i="19"/>
  <c r="J108" i="19" s="1"/>
  <c r="E108" i="19"/>
  <c r="B109" i="19"/>
  <c r="C114" i="20" l="1"/>
  <c r="F113" i="20"/>
  <c r="H113" i="20" s="1"/>
  <c r="C105" i="19"/>
  <c r="F104" i="19"/>
  <c r="I109" i="19"/>
  <c r="J109" i="19" s="1"/>
  <c r="E109" i="19"/>
  <c r="B110" i="19"/>
  <c r="C115" i="20" l="1"/>
  <c r="F114" i="20"/>
  <c r="H114" i="20" s="1"/>
  <c r="B111" i="19"/>
  <c r="E110" i="19"/>
  <c r="I110" i="19"/>
  <c r="J110" i="19" s="1"/>
  <c r="C106" i="19"/>
  <c r="F105" i="19"/>
  <c r="C116" i="20" l="1"/>
  <c r="F115" i="20"/>
  <c r="H115" i="20" s="1"/>
  <c r="B112" i="19"/>
  <c r="I111" i="19"/>
  <c r="J111" i="19" s="1"/>
  <c r="E111" i="19"/>
  <c r="C107" i="19"/>
  <c r="F106" i="19"/>
  <c r="C117" i="20" l="1"/>
  <c r="F116" i="20"/>
  <c r="H116" i="20" s="1"/>
  <c r="C108" i="19"/>
  <c r="F107" i="19"/>
  <c r="I112" i="19"/>
  <c r="J112" i="19" s="1"/>
  <c r="E112" i="19"/>
  <c r="B113" i="19"/>
  <c r="C118" i="20" l="1"/>
  <c r="F117" i="20"/>
  <c r="H117" i="20" s="1"/>
  <c r="C109" i="19"/>
  <c r="F108" i="19"/>
  <c r="E113" i="19"/>
  <c r="B114" i="19"/>
  <c r="I113" i="19"/>
  <c r="J113" i="19" s="1"/>
  <c r="C119" i="20" l="1"/>
  <c r="F118" i="20"/>
  <c r="H118" i="20" s="1"/>
  <c r="B115" i="19"/>
  <c r="E114" i="19"/>
  <c r="I114" i="19"/>
  <c r="J114" i="19" s="1"/>
  <c r="C110" i="19"/>
  <c r="F109" i="19"/>
  <c r="C120" i="20" l="1"/>
  <c r="F119" i="20"/>
  <c r="H119" i="20" s="1"/>
  <c r="I115" i="19"/>
  <c r="J115" i="19" s="1"/>
  <c r="E115" i="19"/>
  <c r="B116" i="19"/>
  <c r="C111" i="19"/>
  <c r="F110" i="19"/>
  <c r="C121" i="20" l="1"/>
  <c r="F120" i="20"/>
  <c r="H120" i="20" s="1"/>
  <c r="I116" i="19"/>
  <c r="J116" i="19" s="1"/>
  <c r="E116" i="19"/>
  <c r="B117" i="19"/>
  <c r="C112" i="19"/>
  <c r="F111" i="19"/>
  <c r="C122" i="20" l="1"/>
  <c r="F121" i="20"/>
  <c r="H121" i="20" s="1"/>
  <c r="C113" i="19"/>
  <c r="F112" i="19"/>
  <c r="I117" i="19"/>
  <c r="J117" i="19" s="1"/>
  <c r="E117" i="19"/>
  <c r="B118" i="19"/>
  <c r="C123" i="20" l="1"/>
  <c r="F122" i="20"/>
  <c r="H122" i="20" s="1"/>
  <c r="B119" i="19"/>
  <c r="E118" i="19"/>
  <c r="I118" i="19"/>
  <c r="J118" i="19" s="1"/>
  <c r="C114" i="19"/>
  <c r="F113" i="19"/>
  <c r="C124" i="20" l="1"/>
  <c r="F123" i="20"/>
  <c r="H123" i="20" s="1"/>
  <c r="B120" i="19"/>
  <c r="I119" i="19"/>
  <c r="J119" i="19" s="1"/>
  <c r="E119" i="19"/>
  <c r="C115" i="19"/>
  <c r="F114" i="19"/>
  <c r="C125" i="20" l="1"/>
  <c r="F124" i="20"/>
  <c r="H124" i="20" s="1"/>
  <c r="I120" i="19"/>
  <c r="J120" i="19" s="1"/>
  <c r="E120" i="19"/>
  <c r="B121" i="19"/>
  <c r="C116" i="19"/>
  <c r="F115" i="19"/>
  <c r="C126" i="20" l="1"/>
  <c r="F125" i="20"/>
  <c r="H125" i="20" s="1"/>
  <c r="E121" i="19"/>
  <c r="B122" i="19"/>
  <c r="I121" i="19"/>
  <c r="J121" i="19" s="1"/>
  <c r="C117" i="19"/>
  <c r="F116" i="19"/>
  <c r="C127" i="20" l="1"/>
  <c r="F126" i="20"/>
  <c r="H126" i="20" s="1"/>
  <c r="B123" i="19"/>
  <c r="E122" i="19"/>
  <c r="I122" i="19"/>
  <c r="J122" i="19" s="1"/>
  <c r="C118" i="19"/>
  <c r="F117" i="19"/>
  <c r="C128" i="20" l="1"/>
  <c r="F127" i="20"/>
  <c r="H127" i="20" s="1"/>
  <c r="C119" i="19"/>
  <c r="F118" i="19"/>
  <c r="I123" i="19"/>
  <c r="J123" i="19" s="1"/>
  <c r="E123" i="19"/>
  <c r="B124" i="19"/>
  <c r="C129" i="20" l="1"/>
  <c r="F128" i="20"/>
  <c r="H128" i="20" s="1"/>
  <c r="I124" i="19"/>
  <c r="J124" i="19" s="1"/>
  <c r="E124" i="19"/>
  <c r="B125" i="19"/>
  <c r="C120" i="19"/>
  <c r="F119" i="19"/>
  <c r="C130" i="20" l="1"/>
  <c r="F129" i="20"/>
  <c r="H129" i="20" s="1"/>
  <c r="C121" i="19"/>
  <c r="F120" i="19"/>
  <c r="I125" i="19"/>
  <c r="J125" i="19" s="1"/>
  <c r="E125" i="19"/>
  <c r="B126" i="19"/>
  <c r="C131" i="20" l="1"/>
  <c r="F130" i="20"/>
  <c r="H130" i="20" s="1"/>
  <c r="B127" i="19"/>
  <c r="E126" i="19"/>
  <c r="I126" i="19"/>
  <c r="J126" i="19" s="1"/>
  <c r="C122" i="19"/>
  <c r="F121" i="19"/>
  <c r="C132" i="20" l="1"/>
  <c r="F131" i="20"/>
  <c r="H131" i="20" s="1"/>
  <c r="B128" i="19"/>
  <c r="I127" i="19"/>
  <c r="J127" i="19" s="1"/>
  <c r="E127" i="19"/>
  <c r="C123" i="19"/>
  <c r="F122" i="19"/>
  <c r="C133" i="20" l="1"/>
  <c r="F132" i="20"/>
  <c r="H132" i="20" s="1"/>
  <c r="I128" i="19"/>
  <c r="J128" i="19" s="1"/>
  <c r="E128" i="19"/>
  <c r="B129" i="19"/>
  <c r="C124" i="19"/>
  <c r="F123" i="19"/>
  <c r="C134" i="20" l="1"/>
  <c r="F133" i="20"/>
  <c r="H133" i="20" s="1"/>
  <c r="E129" i="19"/>
  <c r="B130" i="19"/>
  <c r="I129" i="19"/>
  <c r="J129" i="19" s="1"/>
  <c r="C125" i="19"/>
  <c r="F124" i="19"/>
  <c r="C135" i="20" l="1"/>
  <c r="F134" i="20"/>
  <c r="H134" i="20" s="1"/>
  <c r="B131" i="19"/>
  <c r="E130" i="19"/>
  <c r="I130" i="19"/>
  <c r="J130" i="19" s="1"/>
  <c r="C126" i="19"/>
  <c r="F125" i="19"/>
  <c r="C136" i="20" l="1"/>
  <c r="F135" i="20"/>
  <c r="H135" i="20" s="1"/>
  <c r="C127" i="19"/>
  <c r="F126" i="19"/>
  <c r="I131" i="19"/>
  <c r="J131" i="19" s="1"/>
  <c r="E131" i="19"/>
  <c r="B132" i="19"/>
  <c r="C137" i="20" l="1"/>
  <c r="F136" i="20"/>
  <c r="H136" i="20" s="1"/>
  <c r="I132" i="19"/>
  <c r="J132" i="19" s="1"/>
  <c r="E132" i="19"/>
  <c r="B133" i="19"/>
  <c r="C128" i="19"/>
  <c r="F127" i="19"/>
  <c r="C138" i="20" l="1"/>
  <c r="F137" i="20"/>
  <c r="H137" i="20" s="1"/>
  <c r="C129" i="19"/>
  <c r="F128" i="19"/>
  <c r="I133" i="19"/>
  <c r="J133" i="19" s="1"/>
  <c r="E133" i="19"/>
  <c r="B134" i="19"/>
  <c r="C139" i="20" l="1"/>
  <c r="F138" i="20"/>
  <c r="H138" i="20" s="1"/>
  <c r="I134" i="19"/>
  <c r="J134" i="19" s="1"/>
  <c r="B135" i="19"/>
  <c r="E134" i="19"/>
  <c r="C130" i="19"/>
  <c r="F129" i="19"/>
  <c r="C140" i="20" l="1"/>
  <c r="F139" i="20"/>
  <c r="H139" i="20" s="1"/>
  <c r="I135" i="19"/>
  <c r="J135" i="19" s="1"/>
  <c r="E135" i="19"/>
  <c r="B136" i="19"/>
  <c r="C131" i="19"/>
  <c r="F130" i="19"/>
  <c r="C141" i="20" l="1"/>
  <c r="F140" i="20"/>
  <c r="H140" i="20" s="1"/>
  <c r="B137" i="19"/>
  <c r="E136" i="19"/>
  <c r="I136" i="19"/>
  <c r="J136" i="19" s="1"/>
  <c r="C132" i="19"/>
  <c r="F131" i="19"/>
  <c r="C142" i="20" l="1"/>
  <c r="F141" i="20"/>
  <c r="H141" i="20" s="1"/>
  <c r="C133" i="19"/>
  <c r="F132" i="19"/>
  <c r="I137" i="19"/>
  <c r="J137" i="19" s="1"/>
  <c r="E137" i="19"/>
  <c r="B138" i="19"/>
  <c r="C143" i="20" l="1"/>
  <c r="F142" i="20"/>
  <c r="H142" i="20" s="1"/>
  <c r="C134" i="19"/>
  <c r="F133" i="19"/>
  <c r="I138" i="19"/>
  <c r="J138" i="19" s="1"/>
  <c r="B139" i="19"/>
  <c r="E138" i="19"/>
  <c r="C144" i="20" l="1"/>
  <c r="F143" i="20"/>
  <c r="H143" i="20" s="1"/>
  <c r="I139" i="19"/>
  <c r="J139" i="19" s="1"/>
  <c r="E139" i="19"/>
  <c r="C135" i="19"/>
  <c r="F134" i="19"/>
  <c r="C145" i="20" l="1"/>
  <c r="F144" i="20"/>
  <c r="H144" i="20" s="1"/>
  <c r="C136" i="19"/>
  <c r="F135" i="19"/>
  <c r="F145" i="20" l="1"/>
  <c r="H145" i="20" s="1"/>
  <c r="C146" i="20"/>
  <c r="C137" i="19"/>
  <c r="F136" i="19"/>
  <c r="C147" i="20" l="1"/>
  <c r="F146" i="20"/>
  <c r="H146" i="20" s="1"/>
  <c r="C138" i="19"/>
  <c r="F137" i="19"/>
  <c r="C148" i="20" l="1"/>
  <c r="F147" i="20"/>
  <c r="H147" i="20" s="1"/>
  <c r="C139" i="19"/>
  <c r="F139" i="19" s="1"/>
  <c r="F138" i="19"/>
  <c r="C149" i="20" l="1"/>
  <c r="F148" i="20"/>
  <c r="H148" i="20" s="1"/>
  <c r="C150" i="20" l="1"/>
  <c r="F149" i="20"/>
  <c r="H149" i="20" s="1"/>
  <c r="C151" i="20" l="1"/>
  <c r="F150" i="20"/>
  <c r="H150" i="20" s="1"/>
  <c r="C152" i="20" l="1"/>
  <c r="F151" i="20"/>
  <c r="H151" i="20" s="1"/>
  <c r="C153" i="20" l="1"/>
  <c r="F152" i="20"/>
  <c r="H152" i="20" s="1"/>
  <c r="C154" i="20" l="1"/>
  <c r="F153" i="20"/>
  <c r="H153" i="20" s="1"/>
  <c r="C155" i="20" l="1"/>
  <c r="F154" i="20"/>
  <c r="H154" i="20" s="1"/>
  <c r="C156" i="20" l="1"/>
  <c r="F155" i="20"/>
  <c r="H155" i="20" s="1"/>
  <c r="C157" i="20" l="1"/>
  <c r="F156" i="20"/>
  <c r="H156" i="20" s="1"/>
  <c r="C158" i="20" l="1"/>
  <c r="F157" i="20"/>
  <c r="H157" i="20" s="1"/>
  <c r="C159" i="20" l="1"/>
  <c r="F158" i="20"/>
  <c r="H158" i="20" s="1"/>
  <c r="C160" i="20" l="1"/>
  <c r="F159" i="20"/>
  <c r="H159" i="20" s="1"/>
  <c r="C161" i="20" l="1"/>
  <c r="F160" i="20"/>
  <c r="H160" i="20" s="1"/>
  <c r="C162" i="20" l="1"/>
  <c r="F161" i="20"/>
  <c r="H161" i="20" s="1"/>
  <c r="C163" i="20" l="1"/>
  <c r="F162" i="20"/>
  <c r="H162" i="20" s="1"/>
  <c r="C164" i="20" l="1"/>
  <c r="F163" i="20"/>
  <c r="H163" i="20" s="1"/>
  <c r="C165" i="20" l="1"/>
  <c r="F164" i="20"/>
  <c r="H164" i="20" s="1"/>
  <c r="C166" i="20" l="1"/>
  <c r="F165" i="20"/>
  <c r="H165" i="20" s="1"/>
  <c r="C167" i="20" l="1"/>
  <c r="F166" i="20"/>
  <c r="H166" i="20" s="1"/>
  <c r="C168" i="20" l="1"/>
  <c r="F167" i="20"/>
  <c r="H167" i="20" s="1"/>
  <c r="C169" i="20" l="1"/>
  <c r="F168" i="20"/>
  <c r="H168" i="20" s="1"/>
  <c r="C170" i="20" l="1"/>
  <c r="F169" i="20"/>
  <c r="H169" i="20" s="1"/>
  <c r="C171" i="20" l="1"/>
  <c r="F170" i="20"/>
  <c r="H170" i="20" s="1"/>
  <c r="C172" i="20" l="1"/>
  <c r="F171" i="20"/>
  <c r="H171" i="20" s="1"/>
  <c r="C173" i="20" l="1"/>
  <c r="F172" i="20"/>
  <c r="H172" i="20" s="1"/>
  <c r="C174" i="20" l="1"/>
  <c r="F173" i="20"/>
  <c r="H173" i="20" s="1"/>
  <c r="C175" i="20" l="1"/>
  <c r="F174" i="20"/>
  <c r="H174" i="20" s="1"/>
  <c r="C176" i="20" l="1"/>
  <c r="F175" i="20"/>
  <c r="H175" i="20" s="1"/>
  <c r="C177" i="20" l="1"/>
  <c r="F176" i="20"/>
  <c r="H176" i="20" s="1"/>
  <c r="C178" i="20" l="1"/>
  <c r="F177" i="20"/>
  <c r="H177" i="20" s="1"/>
  <c r="C179" i="20" l="1"/>
  <c r="F178" i="20"/>
  <c r="H178" i="20" s="1"/>
  <c r="C180" i="20" l="1"/>
  <c r="F179" i="20"/>
  <c r="H179" i="20" s="1"/>
  <c r="C181" i="20" l="1"/>
  <c r="F180" i="20"/>
  <c r="H180" i="20" s="1"/>
  <c r="C182" i="20" l="1"/>
  <c r="F181" i="20"/>
  <c r="H181" i="20" s="1"/>
  <c r="C183" i="20" l="1"/>
  <c r="F182" i="20"/>
  <c r="H182" i="20" s="1"/>
  <c r="C184" i="20" l="1"/>
  <c r="F183" i="20"/>
  <c r="H183" i="20" s="1"/>
  <c r="F184" i="20" l="1"/>
  <c r="H184" i="20" s="1"/>
  <c r="C185" i="20"/>
  <c r="C186" i="20" l="1"/>
  <c r="F185" i="20"/>
  <c r="H185" i="20" s="1"/>
  <c r="C187" i="20" l="1"/>
  <c r="F186" i="20"/>
  <c r="H186" i="20" s="1"/>
  <c r="C188" i="20" l="1"/>
  <c r="F187" i="20"/>
  <c r="H187" i="20" s="1"/>
  <c r="F188" i="20" l="1"/>
  <c r="H188" i="20" s="1"/>
  <c r="C189" i="20"/>
  <c r="C190" i="20" l="1"/>
  <c r="F189" i="20"/>
  <c r="H189" i="20" s="1"/>
  <c r="C191" i="20" l="1"/>
  <c r="F190" i="20"/>
  <c r="H190" i="20" s="1"/>
  <c r="C192" i="20" l="1"/>
  <c r="F191" i="20"/>
  <c r="H191" i="20" s="1"/>
  <c r="F192" i="20" l="1"/>
  <c r="H192" i="20" s="1"/>
  <c r="C193" i="20"/>
  <c r="C194" i="20" l="1"/>
  <c r="F193" i="20"/>
  <c r="H193" i="20" s="1"/>
  <c r="C195" i="20" l="1"/>
  <c r="F194" i="20"/>
  <c r="H194" i="20" s="1"/>
  <c r="C196" i="20" l="1"/>
  <c r="F195" i="20"/>
  <c r="H195" i="20" s="1"/>
  <c r="F196" i="20" l="1"/>
  <c r="H196" i="20" s="1"/>
  <c r="C197" i="20"/>
  <c r="C198" i="20" l="1"/>
  <c r="F197" i="20"/>
  <c r="H197" i="20" s="1"/>
  <c r="C199" i="20" l="1"/>
  <c r="F198" i="20"/>
  <c r="H198" i="20" s="1"/>
  <c r="C200" i="20" l="1"/>
  <c r="F199" i="20"/>
  <c r="H199" i="20" s="1"/>
  <c r="F200" i="20" l="1"/>
  <c r="H200" i="20" s="1"/>
  <c r="C201" i="20"/>
  <c r="C202" i="20" l="1"/>
  <c r="F201" i="20"/>
  <c r="H201" i="20" s="1"/>
  <c r="C203" i="20" l="1"/>
  <c r="F202" i="20"/>
  <c r="H202" i="20" s="1"/>
  <c r="C204" i="20" l="1"/>
  <c r="F203" i="20"/>
  <c r="H203" i="20" s="1"/>
  <c r="F204" i="20" l="1"/>
  <c r="H204" i="20" s="1"/>
  <c r="C205" i="20"/>
  <c r="C206" i="20" l="1"/>
  <c r="F205" i="20"/>
  <c r="H205" i="20" s="1"/>
  <c r="C207" i="20" l="1"/>
  <c r="F206" i="20"/>
  <c r="H206" i="20" s="1"/>
  <c r="C208" i="20" l="1"/>
  <c r="F207" i="20"/>
  <c r="H207" i="20" s="1"/>
  <c r="C209" i="20" l="1"/>
  <c r="F208" i="20"/>
  <c r="H208" i="20" s="1"/>
  <c r="C210" i="20" l="1"/>
  <c r="F209" i="20"/>
  <c r="H209" i="20" s="1"/>
  <c r="C211" i="20" l="1"/>
  <c r="F210" i="20"/>
  <c r="H210" i="20" s="1"/>
  <c r="F211" i="20" l="1"/>
  <c r="H211" i="20" s="1"/>
  <c r="C212" i="20"/>
  <c r="C213" i="20" l="1"/>
  <c r="F212" i="20"/>
  <c r="H212" i="20" s="1"/>
  <c r="C214" i="20" l="1"/>
  <c r="F213" i="20"/>
  <c r="H213" i="20" s="1"/>
  <c r="C215" i="20" l="1"/>
  <c r="F214" i="20"/>
  <c r="H214" i="20" s="1"/>
  <c r="F215" i="20" l="1"/>
  <c r="H215" i="20" s="1"/>
  <c r="C216" i="20"/>
  <c r="C217" i="20" l="1"/>
  <c r="F216" i="20"/>
  <c r="H216" i="20" s="1"/>
  <c r="C218" i="20" l="1"/>
  <c r="F217" i="20"/>
  <c r="H217" i="20" s="1"/>
  <c r="C219" i="20" l="1"/>
  <c r="F218" i="20"/>
  <c r="H218" i="20" s="1"/>
  <c r="F219" i="20" l="1"/>
  <c r="H219" i="20" s="1"/>
  <c r="C220" i="20"/>
  <c r="C221" i="20" l="1"/>
  <c r="F220" i="20"/>
  <c r="H220" i="20" s="1"/>
  <c r="C222" i="20" l="1"/>
  <c r="F221" i="20"/>
  <c r="H221" i="20" s="1"/>
  <c r="C223" i="20" l="1"/>
  <c r="F222" i="20"/>
  <c r="H222" i="20" s="1"/>
  <c r="F223" i="20" l="1"/>
  <c r="H223" i="20" s="1"/>
  <c r="C224" i="20"/>
  <c r="C225" i="20" l="1"/>
  <c r="F224" i="20"/>
  <c r="H224" i="20" s="1"/>
  <c r="C226" i="20" l="1"/>
  <c r="F225" i="20"/>
  <c r="H225" i="20" s="1"/>
  <c r="C227" i="20" l="1"/>
  <c r="F227" i="20" s="1"/>
  <c r="H227" i="20" s="1"/>
  <c r="F226" i="20"/>
  <c r="H226" i="20" s="1"/>
</calcChain>
</file>

<file path=xl/comments1.xml><?xml version="1.0" encoding="utf-8"?>
<comments xmlns="http://schemas.openxmlformats.org/spreadsheetml/2006/main">
  <authors>
    <author>Roni Cleber Bonizio</author>
  </authors>
  <commentList>
    <comment ref="E11" authorId="0" shapeId="0">
      <text>
        <r>
          <rPr>
            <sz val="9"/>
            <color indexed="81"/>
            <rFont val="Segoe UI"/>
            <family val="2"/>
          </rPr>
          <t>Valor resgistrado no ativo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b/>
            <u/>
            <sz val="9"/>
            <color indexed="81"/>
            <rFont val="Segoe UI"/>
            <family val="2"/>
          </rPr>
          <t>ANTES DA VENDA</t>
        </r>
      </text>
    </comment>
  </commentList>
</comments>
</file>

<file path=xl/comments2.xml><?xml version="1.0" encoding="utf-8"?>
<comments xmlns="http://schemas.openxmlformats.org/spreadsheetml/2006/main">
  <authors>
    <author>Roni Cleber Bonizio</author>
  </authors>
  <commentList>
    <comment ref="B4" authorId="0" shapeId="0">
      <text>
        <r>
          <rPr>
            <sz val="9"/>
            <color indexed="81"/>
            <rFont val="Segoe UI"/>
            <family val="2"/>
          </rPr>
          <t xml:space="preserve">Cinco vezes, sem entrada
</t>
        </r>
      </text>
    </comment>
  </commentList>
</comments>
</file>

<file path=xl/comments3.xml><?xml version="1.0" encoding="utf-8"?>
<comments xmlns="http://schemas.openxmlformats.org/spreadsheetml/2006/main">
  <authors>
    <author>Roni Cleber Bonizio</author>
  </authors>
  <commentList>
    <comment ref="D4" authorId="0" shapeId="0">
      <text>
        <r>
          <rPr>
            <sz val="9"/>
            <color indexed="81"/>
            <rFont val="Segoe UI"/>
            <family val="2"/>
          </rPr>
          <t>$55.000 dos estoques
+
$385.000 do período</t>
        </r>
      </text>
    </comment>
  </commentList>
</comments>
</file>

<file path=xl/comments4.xml><?xml version="1.0" encoding="utf-8"?>
<comments xmlns="http://schemas.openxmlformats.org/spreadsheetml/2006/main">
  <authors>
    <author>Roni Cleber Bonizio</author>
  </authors>
  <commentList>
    <comment ref="E22" authorId="0" shapeId="0">
      <text>
        <r>
          <rPr>
            <b/>
            <sz val="9"/>
            <color indexed="81"/>
            <rFont val="Segoe UI"/>
            <family val="2"/>
          </rPr>
          <t>20.000 unidades x $8,0/unidade - de custos fixos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</rPr>
          <t>20.000 unidades x $8,0/unidade - de custos fixos</t>
        </r>
      </text>
    </comment>
    <comment ref="E23" authorId="0" shapeId="0">
      <text>
        <r>
          <rPr>
            <b/>
            <sz val="9"/>
            <color indexed="81"/>
            <rFont val="Segoe UI"/>
            <family val="2"/>
          </rPr>
          <t>10.000 unidades x $12,0 por unidade - de custo fixo</t>
        </r>
      </text>
    </comment>
  </commentList>
</comments>
</file>

<file path=xl/sharedStrings.xml><?xml version="1.0" encoding="utf-8"?>
<sst xmlns="http://schemas.openxmlformats.org/spreadsheetml/2006/main" count="837" uniqueCount="439">
  <si>
    <t>01/01/X1 - Compra equipamento à vista</t>
  </si>
  <si>
    <t>Vida útil (anos)</t>
  </si>
  <si>
    <t>Valor residual</t>
  </si>
  <si>
    <t>Depreciação anual</t>
  </si>
  <si>
    <t>ATIVO</t>
  </si>
  <si>
    <t>Imobilizado (equipamento)</t>
  </si>
  <si>
    <t>31/12/X1</t>
  </si>
  <si>
    <t>31/12/X2</t>
  </si>
  <si>
    <t>31/12/X3</t>
  </si>
  <si>
    <t>(-) Depreciação acumulada</t>
  </si>
  <si>
    <t>TOTAL</t>
  </si>
  <si>
    <t>31/12/X3 - venda do equipamento à vista</t>
  </si>
  <si>
    <t>RESULTADO</t>
  </si>
  <si>
    <t>ANO X1</t>
  </si>
  <si>
    <t>ANO X2</t>
  </si>
  <si>
    <t>ANO X3</t>
  </si>
  <si>
    <t>Depreciação do período</t>
  </si>
  <si>
    <t>Resultado da venda do imobilizado</t>
  </si>
  <si>
    <t>CAIXA</t>
  </si>
  <si>
    <t>Compra do equipamento</t>
  </si>
  <si>
    <t>Venda do equipamento</t>
  </si>
  <si>
    <t>ABR</t>
  </si>
  <si>
    <t>MAI</t>
  </si>
  <si>
    <t>JUN</t>
  </si>
  <si>
    <t>Compra de livros à vista</t>
  </si>
  <si>
    <r>
      <t xml:space="preserve">Venda de </t>
    </r>
    <r>
      <rPr>
        <b/>
        <u/>
        <sz val="11"/>
        <color theme="1"/>
        <rFont val="Calibri"/>
        <family val="2"/>
        <scheme val="minor"/>
      </rPr>
      <t>todos</t>
    </r>
    <r>
      <rPr>
        <sz val="11"/>
        <color theme="1"/>
        <rFont val="Calibri"/>
        <family val="2"/>
        <scheme val="minor"/>
      </rPr>
      <t xml:space="preserve"> os livros</t>
    </r>
  </si>
  <si>
    <t>FLUXO DE CAIXA</t>
  </si>
  <si>
    <t>Vendas de livros</t>
  </si>
  <si>
    <t>(-) Compras de livros</t>
  </si>
  <si>
    <t>(=) TOTAL</t>
  </si>
  <si>
    <t>Saldo inicial de caixa</t>
  </si>
  <si>
    <t>Saldo final de caixa</t>
  </si>
  <si>
    <t>Receitas de vendas</t>
  </si>
  <si>
    <t>(-) CMV</t>
  </si>
  <si>
    <t>(=) Lucro bruto</t>
  </si>
  <si>
    <t>(=) Lucro líquido</t>
  </si>
  <si>
    <t>ASPECTO ECONÔMICO (DESEMPENHO)</t>
  </si>
  <si>
    <t>ASPECTO FINANCEIRO (FÔLEGO)</t>
  </si>
  <si>
    <t>BALANÇOS PATRIMONIAIS</t>
  </si>
  <si>
    <t>Disponibilidades</t>
  </si>
  <si>
    <t>Contas a receber</t>
  </si>
  <si>
    <t>PASSIVO + PL</t>
  </si>
  <si>
    <t>Capital social</t>
  </si>
  <si>
    <t>Lucros reinvestidos</t>
  </si>
  <si>
    <t>(-) PECLD</t>
  </si>
  <si>
    <t>ASPECTO PATRIMONIAL</t>
  </si>
  <si>
    <t>CUSTEIO DIRETO/VARIÁVEL</t>
  </si>
  <si>
    <t>JULHO</t>
  </si>
  <si>
    <t>AGOSTO</t>
  </si>
  <si>
    <t>Custos variáveis de produção</t>
  </si>
  <si>
    <t>Custos variáveis de produção - resultado</t>
  </si>
  <si>
    <t>Custos variáveis de produção - estoque</t>
  </si>
  <si>
    <t>Preço de venda ($/unid)</t>
  </si>
  <si>
    <t>Margem de contribuição ($/unid)</t>
  </si>
  <si>
    <t>Custos e despesas variáveis ($/unid)</t>
  </si>
  <si>
    <t>Custos e despesas fixos ($/mês)</t>
  </si>
  <si>
    <t>Ponto de equilíbrio contábil (unid/mês)</t>
  </si>
  <si>
    <t>Vendas (unidad/mês)</t>
  </si>
  <si>
    <t>Lucro operacional (unid/mês)</t>
  </si>
  <si>
    <t>Lucro operacional ($/mês)</t>
  </si>
  <si>
    <t>Estoques finais ($/mês)</t>
  </si>
  <si>
    <t>Custos fixos de produção</t>
  </si>
  <si>
    <t>Custos totais de produção</t>
  </si>
  <si>
    <t>CPV</t>
  </si>
  <si>
    <t>Estoques finais</t>
  </si>
  <si>
    <t>CUSTEIO POR ABSORÇÃO ($)</t>
  </si>
  <si>
    <t>CONCILIAÇÃO DOS RESULTADOS</t>
  </si>
  <si>
    <t>Resultado gerencial (direto/variável)</t>
  </si>
  <si>
    <t>Resultado societário (absorção)</t>
  </si>
  <si>
    <t>Estocagem de custos fixos</t>
  </si>
  <si>
    <t>"Desestocagem" de custos fixos</t>
  </si>
  <si>
    <t>ANO 1</t>
  </si>
  <si>
    <t>ANO 2</t>
  </si>
  <si>
    <t>ANO 3</t>
  </si>
  <si>
    <t>Estoques finais ($/)</t>
  </si>
  <si>
    <t>(-) "Desestocagem" de custos fixos</t>
  </si>
  <si>
    <t>(+) Estocagem de custos fixos</t>
  </si>
  <si>
    <t>(=) Resultado societário (absorção)</t>
  </si>
  <si>
    <t>Margem</t>
  </si>
  <si>
    <t>Apoio</t>
  </si>
  <si>
    <t>Receita de venda</t>
  </si>
  <si>
    <t>SERVIÇO REALIZADO NO RANCHO FLYING N</t>
  </si>
  <si>
    <t>Remuneração presidente</t>
  </si>
  <si>
    <t>Despesas escritório</t>
  </si>
  <si>
    <t>Despesas veículos</t>
  </si>
  <si>
    <t>Deprec equipam limpeza</t>
  </si>
  <si>
    <t>Materiais de limpeza</t>
  </si>
  <si>
    <t>Salários</t>
  </si>
  <si>
    <t>$ tot</t>
  </si>
  <si>
    <t>$ unit</t>
  </si>
  <si>
    <t>serviços</t>
  </si>
  <si>
    <t>km</t>
  </si>
  <si>
    <t>centenas de m2</t>
  </si>
  <si>
    <t>Direcionadores</t>
  </si>
  <si>
    <t>Outras</t>
  </si>
  <si>
    <t>Viagens</t>
  </si>
  <si>
    <t>Limpeza de carpetes</t>
  </si>
  <si>
    <t>CUSTOS TOTAIS</t>
  </si>
  <si>
    <t>por centena de m2</t>
  </si>
  <si>
    <t>Custo unitário</t>
  </si>
  <si>
    <t>Volume de serviços</t>
  </si>
  <si>
    <t>Custo total</t>
  </si>
  <si>
    <t>$</t>
  </si>
  <si>
    <t>Recurso</t>
  </si>
  <si>
    <t>RECURSOS CONSUMIDOS NO PERÍODO</t>
  </si>
  <si>
    <t>Taxas de custos por atividade</t>
  </si>
  <si>
    <t>UNIDADE ORLY</t>
  </si>
  <si>
    <t>UNIDADE CDG</t>
  </si>
  <si>
    <t>clientes</t>
  </si>
  <si>
    <t>vôos</t>
  </si>
  <si>
    <t>de refeições</t>
  </si>
  <si>
    <t>Quantidades</t>
  </si>
  <si>
    <t>Custos de uso de prédio</t>
  </si>
  <si>
    <t>Salários de pessoal administrativo</t>
  </si>
  <si>
    <t>Depreciação de equipamento</t>
  </si>
  <si>
    <t>Salários de chefes de cozinha</t>
  </si>
  <si>
    <t>Materiais de cozinha</t>
  </si>
  <si>
    <t>Salários de cozinheiros e pessoal de entrega</t>
  </si>
  <si>
    <t>Total</t>
  </si>
  <si>
    <t>Outros</t>
  </si>
  <si>
    <t>Atendimento de Clientes</t>
  </si>
  <si>
    <t>Relacionadas a Vôos</t>
  </si>
  <si>
    <t>Preparação de Refeições</t>
  </si>
  <si>
    <t>Distribuição do Consumo de Recursos entre Atividades nas Operações em CDG</t>
  </si>
  <si>
    <t>Custo de uso de prédio</t>
  </si>
  <si>
    <t>Custo Anual das Operações em CDG</t>
  </si>
  <si>
    <t>MÊS</t>
  </si>
  <si>
    <t>CUSTO DE PROCESSAMENTO</t>
  </si>
  <si>
    <t>UNIDADES PRODUZIDAS</t>
  </si>
  <si>
    <t>ANO</t>
  </si>
  <si>
    <t>TRIMESTRE</t>
  </si>
  <si>
    <t>UNIDADES VENDIDAS</t>
  </si>
  <si>
    <t>DESPESAS DE TRANSPORTE</t>
  </si>
  <si>
    <t>Primeiro</t>
  </si>
  <si>
    <t>Segundo</t>
  </si>
  <si>
    <t>Terceiro</t>
  </si>
  <si>
    <t>Quarto</t>
  </si>
  <si>
    <t>Camisas</t>
  </si>
  <si>
    <t>Blusas</t>
  </si>
  <si>
    <t>Calças</t>
  </si>
  <si>
    <t>Vendas mensais (unidades)</t>
  </si>
  <si>
    <t>Preço unitário</t>
  </si>
  <si>
    <t>Custos e despesas variáveis por unidade</t>
  </si>
  <si>
    <t>Alíquota de IR</t>
  </si>
  <si>
    <t>Custos e despesas fixos por ano</t>
  </si>
  <si>
    <t>Vendas mensais (%)</t>
  </si>
  <si>
    <t>Capital investido no negócio</t>
  </si>
  <si>
    <t>$/mês</t>
  </si>
  <si>
    <t>Depreciação</t>
  </si>
  <si>
    <t>Custo do capital investido</t>
  </si>
  <si>
    <t>Preço unitário médio</t>
  </si>
  <si>
    <t>Custos e despesas variáveis médios/unid</t>
  </si>
  <si>
    <t>MARGEM DE CONTRIBUIÇÃO MÉDIA - BRUTA</t>
  </si>
  <si>
    <t>(-) IR/CSSLL</t>
  </si>
  <si>
    <t>MARGEM DE CONTRIBUIÇÃO MÉDIA - LÍQ</t>
  </si>
  <si>
    <t>Peças/mês</t>
  </si>
  <si>
    <t>Ponto de equilíbrio contábil</t>
  </si>
  <si>
    <t>Ponto de equilíbrio econômico</t>
  </si>
  <si>
    <t>Ponto de equilíbrio financeiro</t>
  </si>
  <si>
    <t>REFERENCIAIS</t>
  </si>
  <si>
    <t>ASPECTO ECONÔMICO</t>
  </si>
  <si>
    <t>ASPECTO FINANCEIRO</t>
  </si>
  <si>
    <t>NOPAT</t>
  </si>
  <si>
    <t>EVA®</t>
  </si>
  <si>
    <t>Caixa operacional</t>
  </si>
  <si>
    <r>
      <t xml:space="preserve">Custos e despesas </t>
    </r>
    <r>
      <rPr>
        <b/>
        <u/>
        <sz val="10"/>
        <color theme="1"/>
        <rFont val="Calibri"/>
        <family val="2"/>
      </rPr>
      <t>operacionais</t>
    </r>
    <r>
      <rPr>
        <sz val="10"/>
        <color theme="1"/>
        <rFont val="Calibri"/>
        <family val="2"/>
      </rPr>
      <t xml:space="preserve"> fixos</t>
    </r>
  </si>
  <si>
    <t>FOGÕES</t>
  </si>
  <si>
    <t>MICROONDAS</t>
  </si>
  <si>
    <t>LAVADORAS</t>
  </si>
  <si>
    <t>REFIRGERADORES</t>
  </si>
  <si>
    <t>Receita bruta de vendas</t>
  </si>
  <si>
    <t>$/unid</t>
  </si>
  <si>
    <t>(-) Tributos sobre vendas</t>
  </si>
  <si>
    <t>(=) Receita líquida de venda</t>
  </si>
  <si>
    <t>(-) Comissões sobre vendas</t>
  </si>
  <si>
    <t>(-) Matéria prima</t>
  </si>
  <si>
    <t>(-) Custo da MOD</t>
  </si>
  <si>
    <t>(=) MC1</t>
  </si>
  <si>
    <t>(-) Custos fixos identificados</t>
  </si>
  <si>
    <t>(=) MC2</t>
  </si>
  <si>
    <t>(-) Custos e desp fixos comuns</t>
  </si>
  <si>
    <t>(=) RESULTADO OPERACIONAL</t>
  </si>
  <si>
    <t>Margem operacional</t>
  </si>
  <si>
    <t>Fogões</t>
  </si>
  <si>
    <t>Micro-ondas</t>
  </si>
  <si>
    <t>Lavadoras</t>
  </si>
  <si>
    <t>Refrigeradores</t>
  </si>
  <si>
    <t>Comum</t>
  </si>
  <si>
    <t>Estoque médio de matéria-prima</t>
  </si>
  <si>
    <t>Imobilizado</t>
  </si>
  <si>
    <t>Capital investido</t>
  </si>
  <si>
    <t>Giro do investimento</t>
  </si>
  <si>
    <t>RETORNO DO INVESTIM</t>
  </si>
  <si>
    <t>CAPITAL INVESTIDO</t>
  </si>
  <si>
    <t>COMUM</t>
  </si>
  <si>
    <t>VDAS LÍQ</t>
  </si>
  <si>
    <t>==</t>
  </si>
  <si>
    <t>L OPER</t>
  </si>
  <si>
    <t>Mg</t>
  </si>
  <si>
    <t>Giro</t>
  </si>
  <si>
    <t>RETORN</t>
  </si>
  <si>
    <t>PEC (peças/período)</t>
  </si>
  <si>
    <t>Vendas (peças/período)</t>
  </si>
  <si>
    <t>Lucro operacional (peças)</t>
  </si>
  <si>
    <t>Lucro operacional ($)</t>
  </si>
  <si>
    <t>LINHA: MADEIRA</t>
  </si>
  <si>
    <t>LINHA: AÇO</t>
  </si>
  <si>
    <t>GUARDA-ROUPAS</t>
  </si>
  <si>
    <t>CAMAS</t>
  </si>
  <si>
    <t>MESAS</t>
  </si>
  <si>
    <t>CADEIRAS</t>
  </si>
  <si>
    <t>Volume de produção e venda mensal (unidades)</t>
  </si>
  <si>
    <t>Preço de venda ($/unidade)</t>
  </si>
  <si>
    <t>Materiais diretos ($/unidade)</t>
  </si>
  <si>
    <t>Mão-de-obra direta ($/unidade)</t>
  </si>
  <si>
    <t>Outros custos variáveis ($/unidade)</t>
  </si>
  <si>
    <t>Investimentos identificados</t>
  </si>
  <si>
    <t>Custos e despesas fixos identificados ($/mês)</t>
  </si>
  <si>
    <t>Custos e despesas fixos comuns ($/mês)</t>
  </si>
  <si>
    <t>$/UNID</t>
  </si>
  <si>
    <t>Receita bruta de venda</t>
  </si>
  <si>
    <t>(-) Tributos sobre venda</t>
  </si>
  <si>
    <t>(-) Materiais diretos</t>
  </si>
  <si>
    <t>(-) Mão de obra direta</t>
  </si>
  <si>
    <t>(-) Outros custos variáveis</t>
  </si>
  <si>
    <t>(=) MC 1</t>
  </si>
  <si>
    <t>$ TOT</t>
  </si>
  <si>
    <t>(=) MC 2</t>
  </si>
  <si>
    <t>(-) Custos e despesas fixos identif</t>
  </si>
  <si>
    <t>(-) Custos e despesas fixos comuns</t>
  </si>
  <si>
    <t>(=) EBIT</t>
  </si>
  <si>
    <t>(=) Receita líq de venda</t>
  </si>
  <si>
    <t>(=) NOPAT</t>
  </si>
  <si>
    <t>ROI</t>
  </si>
  <si>
    <t>(-) Custo do capital investido</t>
  </si>
  <si>
    <t xml:space="preserve">(=) EVA® </t>
  </si>
  <si>
    <t xml:space="preserve">EVA® </t>
  </si>
  <si>
    <t>MADEIRA</t>
  </si>
  <si>
    <t>AÇO</t>
  </si>
  <si>
    <t>Rec vda</t>
  </si>
  <si>
    <t>EBIT</t>
  </si>
  <si>
    <t>Preço de venda - líquido</t>
  </si>
  <si>
    <t>(-) Custos e despesas variáveis</t>
  </si>
  <si>
    <t>(=) MC1 ($/unidade)</t>
  </si>
  <si>
    <t>Preço médio de venda - líquido</t>
  </si>
  <si>
    <t>MÉDIA</t>
  </si>
  <si>
    <t>Cst/desp variáveis</t>
  </si>
  <si>
    <t>Custos e desp operac fixos</t>
  </si>
  <si>
    <t>Depreciações</t>
  </si>
  <si>
    <t>Custo do capital</t>
  </si>
  <si>
    <t>PEC (peças/mês)</t>
  </si>
  <si>
    <t>MC1 - média - BRUTA</t>
  </si>
  <si>
    <t>IR/CSSLL</t>
  </si>
  <si>
    <t>MC1 - média - LÍQUIDA</t>
  </si>
  <si>
    <t>PEE (peças/mês)</t>
  </si>
  <si>
    <t>Vendas (peças/mês)</t>
  </si>
  <si>
    <t>NOPAT (peças/mês)</t>
  </si>
  <si>
    <t>EVA® (peças/mês)</t>
  </si>
  <si>
    <t>PEF (peças/mês)</t>
  </si>
  <si>
    <t>pçs/mês</t>
  </si>
  <si>
    <t>FRIGORÍFICO TURIASSÚ</t>
  </si>
  <si>
    <t>DRE – 20X1</t>
  </si>
  <si>
    <t>Receita líquida de vendas</t>
  </si>
  <si>
    <t>(-) Gastos operacionais variáveis</t>
  </si>
  <si>
    <t>(-) Gastos operacionais fixos</t>
  </si>
  <si>
    <t>(-) Despesas financeiras</t>
  </si>
  <si>
    <t>(=) Lucro antes do IR-CSSL</t>
  </si>
  <si>
    <t>(-) IR-CSLL</t>
  </si>
  <si>
    <t>(=) Resultado líquido</t>
  </si>
  <si>
    <t>(-) Custo de oportunidade do capital</t>
  </si>
  <si>
    <t>(=) EVA®</t>
  </si>
  <si>
    <t>Terceiros</t>
  </si>
  <si>
    <t>Sócios</t>
  </si>
  <si>
    <t>EBIT (lucro operacional bruto)</t>
  </si>
  <si>
    <t>NOPAT (lucro operacional líquido)</t>
  </si>
  <si>
    <t>Ki - custo líquido da dívida</t>
  </si>
  <si>
    <t>Ke - custo de oportunidade</t>
  </si>
  <si>
    <t>We</t>
  </si>
  <si>
    <t>Wi</t>
  </si>
  <si>
    <t>WACC</t>
  </si>
  <si>
    <t>UNIDADE NORTE</t>
  </si>
  <si>
    <t>CARNES</t>
  </si>
  <si>
    <t>EMBUTIDOS</t>
  </si>
  <si>
    <t>$/ton</t>
  </si>
  <si>
    <t>Receita de venda - líquida</t>
  </si>
  <si>
    <t>(-) Custos e despes fixos identificadops</t>
  </si>
  <si>
    <t>UNIDADE LESTE</t>
  </si>
  <si>
    <t>(-) Custos e despes fixos comuns</t>
  </si>
  <si>
    <t>Unidade Norte</t>
  </si>
  <si>
    <t>Unidade Leste</t>
  </si>
  <si>
    <t>IR/CS</t>
  </si>
  <si>
    <t>VDAS</t>
  </si>
  <si>
    <t>FRIGORÍFICO COMO UM TODO</t>
  </si>
  <si>
    <t>Preço médio de venda ($/ton)</t>
  </si>
  <si>
    <t>(-) Gastoa variáveis ($/ton)</t>
  </si>
  <si>
    <t>(=) MC MÉDIA - BRT</t>
  </si>
  <si>
    <t>(=) MC MÉDIA - LÍQ</t>
  </si>
  <si>
    <t>Gastos operacion fixos ($/ano)</t>
  </si>
  <si>
    <t>Custo do capital investido ($/ano)</t>
  </si>
  <si>
    <t>PEC (ton/ano)</t>
  </si>
  <si>
    <t>PEE (ton/ano)</t>
  </si>
  <si>
    <t>Vendas (ton/ano)</t>
  </si>
  <si>
    <t>TON</t>
  </si>
  <si>
    <t>Depreciação ($/ano)</t>
  </si>
  <si>
    <t>PEF (ton/ano)</t>
  </si>
  <si>
    <t>FÁBRICA</t>
  </si>
  <si>
    <t>GRANJAS</t>
  </si>
  <si>
    <t>FÁB RAÇÃO</t>
  </si>
  <si>
    <t>TRANSP</t>
  </si>
  <si>
    <t>(-) Gastos variáveis próprios</t>
  </si>
  <si>
    <t>(-) Custo dos animais</t>
  </si>
  <si>
    <t>(-) Custo da ração</t>
  </si>
  <si>
    <t>(-) Custo do transporte</t>
  </si>
  <si>
    <t>(-) Custos e despes fixos identific</t>
  </si>
  <si>
    <t>(=) MC2 - EBIT</t>
  </si>
  <si>
    <t>DIVISÃO DE VÁLVULAS</t>
  </si>
  <si>
    <t>$/válv</t>
  </si>
  <si>
    <t>Preço de venda</t>
  </si>
  <si>
    <t>(-) Custos e desp variáveis</t>
  </si>
  <si>
    <t>(=) MC</t>
  </si>
  <si>
    <t>$/ano</t>
  </si>
  <si>
    <t>válv/ano</t>
  </si>
  <si>
    <t>PEC</t>
  </si>
  <si>
    <t>PEE</t>
  </si>
  <si>
    <t>Vendas</t>
  </si>
  <si>
    <t>Lucro operacional</t>
  </si>
  <si>
    <t>ITEM</t>
  </si>
  <si>
    <t>I</t>
  </si>
  <si>
    <t>II</t>
  </si>
  <si>
    <t>Cst/desp operacionais fixos</t>
  </si>
  <si>
    <t>III</t>
  </si>
  <si>
    <t>IV</t>
  </si>
  <si>
    <t>DIVISÃO COMPRADORA</t>
  </si>
  <si>
    <t>Preço atualmente pago por válvula</t>
  </si>
  <si>
    <t>Preço pago internamente</t>
  </si>
  <si>
    <t>Economia por válvula</t>
  </si>
  <si>
    <t>ECONOMIA TOTAL DA DIVISÃO COMPRADORA</t>
  </si>
  <si>
    <t>INCREMENTO NA BENDIX COMO UM TODO</t>
  </si>
  <si>
    <t>Custos para o nível de capacidade de 30.000 Rets</t>
  </si>
  <si>
    <t>Matéria prima</t>
  </si>
  <si>
    <t>MOD</t>
  </si>
  <si>
    <t>Custos gerais variáveis</t>
  </si>
  <si>
    <t>Custos gerais fixos</t>
  </si>
  <si>
    <t>Despesas variáveis de venda</t>
  </si>
  <si>
    <t>Despesas fixas</t>
  </si>
  <si>
    <t>MC</t>
  </si>
  <si>
    <t>1 - CONTA DO GESTOR</t>
  </si>
  <si>
    <t>Preço normal praticado</t>
  </si>
  <si>
    <t>(-) Desconto de 16%</t>
  </si>
  <si>
    <t>(=) Preço líquido</t>
  </si>
  <si>
    <t>(-) MOD</t>
  </si>
  <si>
    <t>(-) Custos gerais variáveis</t>
  </si>
  <si>
    <t>(-) Custos gerais fixos</t>
  </si>
  <si>
    <t>(-) Despesas variáveis</t>
  </si>
  <si>
    <t>(-) Despesas fixas</t>
  </si>
  <si>
    <t>(-) Custo da máquina</t>
  </si>
  <si>
    <t>(=) RESULTADO DO PEDIDO</t>
  </si>
  <si>
    <t>1 - RESPOSTA CORRETA</t>
  </si>
  <si>
    <t>O gestor poderia não aceitar a proposta com a falsa impressão de que seu resultado diminuiria em $10.000 (ERRO = $75.000)</t>
  </si>
  <si>
    <t>O gestor DEVE aceitar a proposta, pois seu resultado aumentaria em $65.000 (-10.000 + erro de $75.000)</t>
  </si>
  <si>
    <t>2 - PROPOSTA DO EXÉRCITO AMERICANO</t>
  </si>
  <si>
    <t>Taxa</t>
  </si>
  <si>
    <t>PREÇO PROPOSTO PELO EXÉRC</t>
  </si>
  <si>
    <t>O gestor DEVE aceitar a proposta, pois seu resultado aumentaria em $54.000 ([1,8+9,0]*5.000)</t>
  </si>
  <si>
    <t>3 - PROPOSTA DO EXÉRCITO AMERICANO</t>
  </si>
  <si>
    <t>(-) Custo de oportunidade</t>
  </si>
  <si>
    <t>(=) EFEITO NO RESULTADO OPERAC</t>
  </si>
  <si>
    <t>Sob o ponto de vista exclusivamente econômico, ele não deve aceitar, pois isso reduziria seu resultado operacional em $46.000</t>
  </si>
  <si>
    <t>PRODUTO</t>
  </si>
  <si>
    <t>DEMANDA (UNIDADES)</t>
  </si>
  <si>
    <t>Debbie</t>
  </si>
  <si>
    <t>Trish</t>
  </si>
  <si>
    <t>Sarah</t>
  </si>
  <si>
    <t>Mike</t>
  </si>
  <si>
    <t>Kit costura</t>
  </si>
  <si>
    <t>PREÇO UNIT</t>
  </si>
  <si>
    <t>MP ($)</t>
  </si>
  <si>
    <t>MOD ($)</t>
  </si>
  <si>
    <t>H MOD/UNID</t>
  </si>
  <si>
    <t>H MOD TOT</t>
  </si>
  <si>
    <t>CST GER VAR ($)</t>
  </si>
  <si>
    <t>MC - $/UNID</t>
  </si>
  <si>
    <t>MC - $/HMOD</t>
  </si>
  <si>
    <t>PRIORIDADE</t>
  </si>
  <si>
    <t>(UNIDADES)</t>
  </si>
  <si>
    <t>QUANTIDADE</t>
  </si>
  <si>
    <t>HMOD</t>
  </si>
  <si>
    <t>MC TOT</t>
  </si>
  <si>
    <t>Qualquer hora adicional pode ter um custo maior em até $6,0, pois é exatamente o efeito que a hora adicional proporcionará na MC total da empresa.</t>
  </si>
  <si>
    <t>RESULTADO (CUSTEIO DIRETO/VARIÁVEL)</t>
  </si>
  <si>
    <t>(=) MARGEM DE CONTRIBUIÇÃO</t>
  </si>
  <si>
    <t>$/TUBO</t>
  </si>
  <si>
    <t>$/ANO</t>
  </si>
  <si>
    <t>Custos fixos</t>
  </si>
  <si>
    <t>tubos/ano</t>
  </si>
  <si>
    <t>Mão de obra direta</t>
  </si>
  <si>
    <t>Custo de oportunidade</t>
  </si>
  <si>
    <t>Preço mínimo aceitável pela divisão de tubos</t>
  </si>
  <si>
    <t>ITEM 1</t>
  </si>
  <si>
    <t>ITEM 2 - Preço de transferência = $200,00</t>
  </si>
  <si>
    <t>Redução no resulado da Divisão de tubos ($/tubo)</t>
  </si>
  <si>
    <t>Redução no resulado da Divisão de tubos ($/ano)</t>
  </si>
  <si>
    <t>Efeito no resultado da empresa como um todo</t>
  </si>
  <si>
    <t>Efeito no resultado da divisão de TV ($/ano)</t>
  </si>
  <si>
    <t>Efeito no resultado da divisão de TV ($/tubo)</t>
  </si>
  <si>
    <t>ITEM 2 - Preço de transferência = $235,00</t>
  </si>
  <si>
    <t>PREÇO</t>
  </si>
  <si>
    <t>QUANT</t>
  </si>
  <si>
    <t>CST VAR</t>
  </si>
  <si>
    <t>MC UNIT</t>
  </si>
  <si>
    <t>LUCR OPERAC</t>
  </si>
  <si>
    <t>DESP FIX/SEM</t>
  </si>
  <si>
    <t>Elasticidade da demanda</t>
  </si>
  <si>
    <t>VAR PRÇ</t>
  </si>
  <si>
    <t>VAR QUANT</t>
  </si>
  <si>
    <t>Preço ótimo</t>
  </si>
  <si>
    <t>LUCRO OPERAC</t>
  </si>
  <si>
    <t>GRATHIN</t>
  </si>
  <si>
    <t>ABLE</t>
  </si>
  <si>
    <t>FACET</t>
  </si>
  <si>
    <t>ALTERNATIVA 1 - PRODUZIR OS MOTORES PARA A FACET A UM PREÇO UNITÁRIOO DE $1.600</t>
  </si>
  <si>
    <t>$/MOT</t>
  </si>
  <si>
    <t>(-) Compon da Grathin</t>
  </si>
  <si>
    <t>(-) Outros custos variáv</t>
  </si>
  <si>
    <t>(=) EFEITO NO RESULTADO</t>
  </si>
  <si>
    <t>Preço que ela tem no mercado</t>
  </si>
  <si>
    <t>(-) Preço pago à Able</t>
  </si>
  <si>
    <t>(=) EFEITO NO RESULTADO DA UBERIN</t>
  </si>
  <si>
    <t>ALTERNATIVA 2 - NÃO PRODUZIR OS MOTORES PARA A FACET E ATENDER O PEDIDO DA HIGHTEC</t>
  </si>
  <si>
    <t>(-) Preço pago à Waverly</t>
  </si>
  <si>
    <t>Receita de venda interna</t>
  </si>
  <si>
    <t>(-) Cst var - venda interna</t>
  </si>
  <si>
    <t>Receita de venda externa</t>
  </si>
  <si>
    <t>(-) Cst var - venda externa</t>
  </si>
  <si>
    <t>RESULTADO DA UBERIN</t>
  </si>
  <si>
    <t>GRAT</t>
  </si>
  <si>
    <t>TOT</t>
  </si>
  <si>
    <t>(-) Custo na Able</t>
  </si>
  <si>
    <t>(-) Custo na Grathin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</si>
</sst>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$-416]d\-mmm;@"/>
    <numFmt numFmtId="165" formatCode="#,##0.0"/>
    <numFmt numFmtId="166" formatCode="#,##0.000"/>
    <numFmt numFmtId="167" formatCode="#,##0_ ;[Red]\-#,##0\ "/>
    <numFmt numFmtId="168" formatCode="#,##0.00_ ;[Red]\-#,##0.00\ "/>
    <numFmt numFmtId="169" formatCode="0.0"/>
    <numFmt numFmtId="170" formatCode="0.000"/>
    <numFmt numFmtId="171" formatCode="0.0%"/>
    <numFmt numFmtId="172" formatCode="#,##0.00000"/>
    <numFmt numFmtId="173" formatCode="#,##0.0000"/>
  </numFmts>
  <fonts count="7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u/>
      <sz val="9"/>
      <color indexed="81"/>
      <name val="Segoe UI"/>
      <family val="2"/>
    </font>
    <font>
      <b/>
      <u/>
      <sz val="11"/>
      <color theme="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i/>
      <sz val="11"/>
      <color theme="7" tint="-0.499984740745262"/>
      <name val="Calibri"/>
      <family val="2"/>
      <scheme val="minor"/>
    </font>
    <font>
      <b/>
      <i/>
      <sz val="11"/>
      <color theme="7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8" tint="-0.499984740745262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2" tint="-0.499984740745262"/>
      <name val="Calibri"/>
      <family val="2"/>
    </font>
    <font>
      <b/>
      <sz val="10"/>
      <color theme="2" tint="-0.499984740745262"/>
      <name val="Calibri"/>
      <family val="2"/>
    </font>
    <font>
      <u/>
      <sz val="10"/>
      <color theme="1"/>
      <name val="Calibri"/>
      <family val="2"/>
    </font>
    <font>
      <i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u/>
      <sz val="11"/>
      <color theme="5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b/>
      <i/>
      <sz val="11"/>
      <color theme="3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510">
    <xf numFmtId="0" fontId="0" fillId="0" borderId="0" xfId="0"/>
    <xf numFmtId="3" fontId="0" fillId="2" borderId="0" xfId="0" applyNumberFormat="1" applyFill="1" applyAlignment="1">
      <alignment horizontal="center" vertical="center" wrapText="1"/>
    </xf>
    <xf numFmtId="3" fontId="0" fillId="2" borderId="0" xfId="0" applyNumberFormat="1" applyFill="1" applyAlignment="1">
      <alignment horizontal="left" vertical="center" wrapText="1"/>
    </xf>
    <xf numFmtId="3" fontId="1" fillId="3" borderId="0" xfId="0" applyNumberFormat="1" applyFont="1" applyFill="1" applyAlignment="1">
      <alignment horizontal="center" vertical="center" wrapText="1"/>
    </xf>
    <xf numFmtId="3" fontId="3" fillId="4" borderId="0" xfId="0" applyNumberFormat="1" applyFont="1" applyFill="1" applyAlignment="1">
      <alignment horizontal="left" vertical="center" wrapText="1"/>
    </xf>
    <xf numFmtId="3" fontId="3" fillId="4" borderId="0" xfId="0" applyNumberFormat="1" applyFont="1" applyFill="1" applyAlignment="1">
      <alignment horizontal="center" vertical="center" wrapText="1"/>
    </xf>
    <xf numFmtId="3" fontId="4" fillId="5" borderId="0" xfId="0" applyNumberFormat="1" applyFont="1" applyFill="1" applyAlignment="1">
      <alignment horizontal="left" vertical="center" wrapText="1"/>
    </xf>
    <xf numFmtId="3" fontId="4" fillId="5" borderId="0" xfId="0" applyNumberFormat="1" applyFont="1" applyFill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 wrapText="1"/>
    </xf>
    <xf numFmtId="3" fontId="6" fillId="4" borderId="0" xfId="0" applyNumberFormat="1" applyFont="1" applyFill="1" applyAlignment="1">
      <alignment horizontal="left" vertical="center" wrapText="1"/>
    </xf>
    <xf numFmtId="3" fontId="6" fillId="4" borderId="0" xfId="0" applyNumberFormat="1" applyFont="1" applyFill="1" applyAlignment="1">
      <alignment horizontal="center" vertical="center" wrapText="1"/>
    </xf>
    <xf numFmtId="3" fontId="7" fillId="5" borderId="0" xfId="0" applyNumberFormat="1" applyFont="1" applyFill="1" applyAlignment="1">
      <alignment horizontal="left" vertical="center" wrapText="1"/>
    </xf>
    <xf numFmtId="3" fontId="7" fillId="5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3" fontId="1" fillId="7" borderId="0" xfId="0" applyNumberFormat="1" applyFont="1" applyFill="1" applyAlignment="1">
      <alignment horizontal="center" vertical="center" wrapText="1"/>
    </xf>
    <xf numFmtId="3" fontId="12" fillId="9" borderId="0" xfId="0" applyNumberFormat="1" applyFont="1" applyFill="1" applyAlignment="1">
      <alignment horizontal="left" vertical="center" wrapText="1"/>
    </xf>
    <xf numFmtId="3" fontId="12" fillId="9" borderId="0" xfId="0" applyNumberFormat="1" applyFont="1" applyFill="1" applyAlignment="1">
      <alignment horizontal="center" vertical="center" wrapText="1"/>
    </xf>
    <xf numFmtId="3" fontId="13" fillId="8" borderId="0" xfId="0" applyNumberFormat="1" applyFont="1" applyFill="1" applyAlignment="1">
      <alignment horizontal="left" vertical="center" wrapText="1"/>
    </xf>
    <xf numFmtId="3" fontId="13" fillId="8" borderId="0" xfId="0" applyNumberFormat="1" applyFont="1" applyFill="1" applyAlignment="1">
      <alignment horizontal="center" vertical="center" wrapText="1"/>
    </xf>
    <xf numFmtId="3" fontId="14" fillId="9" borderId="0" xfId="0" applyNumberFormat="1" applyFont="1" applyFill="1" applyAlignment="1">
      <alignment horizontal="left" vertical="center" wrapText="1"/>
    </xf>
    <xf numFmtId="3" fontId="14" fillId="9" borderId="0" xfId="0" applyNumberFormat="1" applyFont="1" applyFill="1" applyAlignment="1">
      <alignment horizontal="center" vertical="center" wrapText="1"/>
    </xf>
    <xf numFmtId="3" fontId="5" fillId="10" borderId="0" xfId="0" applyNumberFormat="1" applyFont="1" applyFill="1" applyAlignment="1">
      <alignment horizontal="center" vertical="center" wrapText="1"/>
    </xf>
    <xf numFmtId="164" fontId="5" fillId="10" borderId="0" xfId="0" applyNumberFormat="1" applyFont="1" applyFill="1" applyAlignment="1">
      <alignment horizontal="center" vertical="center" wrapText="1"/>
    </xf>
    <xf numFmtId="3" fontId="15" fillId="8" borderId="0" xfId="0" applyNumberFormat="1" applyFont="1" applyFill="1" applyAlignment="1">
      <alignment horizontal="left" vertical="center" wrapText="1"/>
    </xf>
    <xf numFmtId="3" fontId="15" fillId="8" borderId="0" xfId="0" applyNumberFormat="1" applyFont="1" applyFill="1" applyAlignment="1">
      <alignment horizontal="center" vertical="center" wrapText="1"/>
    </xf>
    <xf numFmtId="3" fontId="14" fillId="5" borderId="0" xfId="0" applyNumberFormat="1" applyFont="1" applyFill="1" applyAlignment="1">
      <alignment horizontal="left" vertical="center" wrapText="1"/>
    </xf>
    <xf numFmtId="3" fontId="14" fillId="5" borderId="0" xfId="0" applyNumberFormat="1" applyFont="1" applyFill="1" applyAlignment="1">
      <alignment horizontal="center" vertical="center" wrapText="1"/>
    </xf>
    <xf numFmtId="3" fontId="12" fillId="5" borderId="0" xfId="0" applyNumberFormat="1" applyFont="1" applyFill="1" applyAlignment="1">
      <alignment horizontal="left" vertical="center" wrapText="1"/>
    </xf>
    <xf numFmtId="3" fontId="12" fillId="5" borderId="0" xfId="0" applyNumberFormat="1" applyFont="1" applyFill="1" applyAlignment="1">
      <alignment horizontal="center" vertical="center" wrapText="1"/>
    </xf>
    <xf numFmtId="165" fontId="3" fillId="4" borderId="0" xfId="0" applyNumberFormat="1" applyFont="1" applyFill="1" applyAlignment="1">
      <alignment horizontal="center" vertical="center" wrapText="1"/>
    </xf>
    <xf numFmtId="3" fontId="4" fillId="4" borderId="0" xfId="0" applyNumberFormat="1" applyFont="1" applyFill="1" applyAlignment="1">
      <alignment horizontal="left" vertical="center" wrapText="1"/>
    </xf>
    <xf numFmtId="3" fontId="4" fillId="4" borderId="0" xfId="0" applyNumberFormat="1" applyFont="1" applyFill="1" applyAlignment="1">
      <alignment horizontal="center" vertical="center" wrapText="1"/>
    </xf>
    <xf numFmtId="165" fontId="4" fillId="4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165" fontId="2" fillId="11" borderId="0" xfId="0" applyNumberFormat="1" applyFont="1" applyFill="1" applyAlignment="1">
      <alignment horizontal="center" vertical="center" wrapText="1"/>
    </xf>
    <xf numFmtId="3" fontId="2" fillId="11" borderId="0" xfId="0" applyNumberFormat="1" applyFont="1" applyFill="1" applyAlignment="1">
      <alignment horizontal="left" vertical="center" wrapText="1"/>
    </xf>
    <xf numFmtId="165" fontId="0" fillId="11" borderId="0" xfId="0" applyNumberFormat="1" applyFill="1" applyAlignment="1">
      <alignment horizontal="center" vertical="center" wrapText="1"/>
    </xf>
    <xf numFmtId="3" fontId="0" fillId="11" borderId="0" xfId="0" applyNumberFormat="1" applyFill="1" applyAlignment="1">
      <alignment horizontal="left" vertical="center" wrapText="1"/>
    </xf>
    <xf numFmtId="3" fontId="2" fillId="12" borderId="0" xfId="0" applyNumberFormat="1" applyFont="1" applyFill="1" applyAlignment="1">
      <alignment horizontal="center" vertical="center" wrapText="1"/>
    </xf>
    <xf numFmtId="3" fontId="17" fillId="12" borderId="0" xfId="0" applyNumberFormat="1" applyFont="1" applyFill="1" applyAlignment="1">
      <alignment horizontal="center" vertical="center" wrapText="1"/>
    </xf>
    <xf numFmtId="166" fontId="17" fillId="12" borderId="0" xfId="0" applyNumberFormat="1" applyFont="1" applyFill="1" applyAlignment="1">
      <alignment horizontal="center" vertical="center" wrapText="1"/>
    </xf>
    <xf numFmtId="3" fontId="17" fillId="12" borderId="0" xfId="0" applyNumberFormat="1" applyFont="1" applyFill="1" applyAlignment="1">
      <alignment horizontal="left" vertical="center" wrapText="1"/>
    </xf>
    <xf numFmtId="3" fontId="0" fillId="11" borderId="0" xfId="0" applyNumberFormat="1" applyFill="1" applyAlignment="1">
      <alignment horizontal="center" vertical="center" wrapText="1"/>
    </xf>
    <xf numFmtId="166" fontId="0" fillId="11" borderId="0" xfId="0" applyNumberFormat="1" applyFill="1" applyAlignment="1">
      <alignment horizontal="center" vertical="center" wrapText="1"/>
    </xf>
    <xf numFmtId="3" fontId="0" fillId="12" borderId="0" xfId="0" applyNumberFormat="1" applyFill="1" applyAlignment="1">
      <alignment horizontal="center" vertical="center" wrapText="1"/>
    </xf>
    <xf numFmtId="4" fontId="0" fillId="11" borderId="0" xfId="0" applyNumberFormat="1" applyFill="1" applyAlignment="1">
      <alignment horizontal="center" vertical="center" wrapText="1"/>
    </xf>
    <xf numFmtId="3" fontId="18" fillId="13" borderId="0" xfId="0" applyNumberFormat="1" applyFont="1" applyFill="1" applyAlignment="1">
      <alignment horizontal="center" vertical="center" wrapText="1"/>
    </xf>
    <xf numFmtId="3" fontId="2" fillId="11" borderId="0" xfId="0" applyNumberFormat="1" applyFont="1" applyFill="1" applyAlignment="1">
      <alignment horizontal="center" vertical="center" wrapText="1"/>
    </xf>
    <xf numFmtId="167" fontId="0" fillId="2" borderId="0" xfId="0" applyNumberFormat="1" applyFill="1" applyAlignment="1">
      <alignment horizontal="center" vertical="center" wrapText="1"/>
    </xf>
    <xf numFmtId="167" fontId="0" fillId="14" borderId="1" xfId="0" applyNumberFormat="1" applyFont="1" applyFill="1" applyBorder="1" applyAlignment="1">
      <alignment horizontal="center" vertical="center" wrapText="1"/>
    </xf>
    <xf numFmtId="168" fontId="0" fillId="2" borderId="2" xfId="0" applyNumberFormat="1" applyFont="1" applyFill="1" applyBorder="1" applyAlignment="1">
      <alignment horizontal="center" vertical="center" wrapText="1"/>
    </xf>
    <xf numFmtId="167" fontId="0" fillId="2" borderId="3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7" fontId="0" fillId="2" borderId="1" xfId="0" applyNumberFormat="1" applyFont="1" applyFill="1" applyBorder="1" applyAlignment="1">
      <alignment horizontal="center" vertical="center" wrapText="1"/>
    </xf>
    <xf numFmtId="168" fontId="0" fillId="14" borderId="2" xfId="0" applyNumberFormat="1" applyFont="1" applyFill="1" applyBorder="1" applyAlignment="1">
      <alignment horizontal="center" vertical="center" wrapText="1"/>
    </xf>
    <xf numFmtId="167" fontId="18" fillId="14" borderId="0" xfId="0" applyNumberFormat="1" applyFont="1" applyFill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 wrapText="1"/>
    </xf>
    <xf numFmtId="9" fontId="2" fillId="2" borderId="0" xfId="1" applyFont="1" applyFill="1" applyBorder="1" applyAlignment="1">
      <alignment horizontal="center" vertical="center" wrapText="1"/>
    </xf>
    <xf numFmtId="9" fontId="16" fillId="2" borderId="0" xfId="1" applyFont="1" applyFill="1" applyBorder="1" applyAlignment="1">
      <alignment horizontal="center" vertical="center" wrapText="1"/>
    </xf>
    <xf numFmtId="167" fontId="2" fillId="2" borderId="0" xfId="0" applyNumberFormat="1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left" vertical="center" wrapText="1"/>
    </xf>
    <xf numFmtId="167" fontId="20" fillId="2" borderId="7" xfId="0" applyNumberFormat="1" applyFont="1" applyFill="1" applyBorder="1" applyAlignment="1">
      <alignment horizontal="center" vertical="center"/>
    </xf>
    <xf numFmtId="167" fontId="21" fillId="2" borderId="0" xfId="0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vertical="center"/>
    </xf>
    <xf numFmtId="167" fontId="20" fillId="2" borderId="4" xfId="0" applyNumberFormat="1" applyFont="1" applyFill="1" applyBorder="1" applyAlignment="1">
      <alignment horizontal="center" vertical="center"/>
    </xf>
    <xf numFmtId="167" fontId="21" fillId="2" borderId="5" xfId="0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vertical="center"/>
    </xf>
    <xf numFmtId="9" fontId="21" fillId="2" borderId="1" xfId="0" applyNumberFormat="1" applyFont="1" applyFill="1" applyBorder="1" applyAlignment="1">
      <alignment horizontal="center" vertical="center"/>
    </xf>
    <xf numFmtId="9" fontId="21" fillId="2" borderId="2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/>
    </xf>
    <xf numFmtId="9" fontId="21" fillId="2" borderId="7" xfId="0" applyNumberFormat="1" applyFont="1" applyFill="1" applyBorder="1" applyAlignment="1">
      <alignment horizontal="center" vertical="center"/>
    </xf>
    <xf numFmtId="9" fontId="21" fillId="2" borderId="0" xfId="0" applyNumberFormat="1" applyFont="1" applyFill="1" applyBorder="1" applyAlignment="1">
      <alignment horizontal="center" vertical="center"/>
    </xf>
    <xf numFmtId="167" fontId="20" fillId="2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167" fontId="21" fillId="2" borderId="7" xfId="0" applyNumberFormat="1" applyFont="1" applyFill="1" applyBorder="1" applyAlignment="1">
      <alignment horizontal="center" vertical="center"/>
    </xf>
    <xf numFmtId="3" fontId="1" fillId="7" borderId="0" xfId="0" applyNumberFormat="1" applyFont="1" applyFill="1" applyAlignment="1">
      <alignment horizontal="center" vertical="center" wrapText="1"/>
    </xf>
    <xf numFmtId="3" fontId="1" fillId="15" borderId="0" xfId="0" applyNumberFormat="1" applyFont="1" applyFill="1" applyAlignment="1">
      <alignment horizontal="center" vertical="center" wrapText="1"/>
    </xf>
    <xf numFmtId="3" fontId="22" fillId="16" borderId="0" xfId="0" applyNumberFormat="1" applyFont="1" applyFill="1" applyAlignment="1">
      <alignment horizontal="center" vertical="center" wrapText="1"/>
    </xf>
    <xf numFmtId="3" fontId="2" fillId="12" borderId="0" xfId="0" applyNumberFormat="1" applyFont="1" applyFill="1" applyAlignment="1">
      <alignment horizontal="center" vertical="center" wrapText="1"/>
    </xf>
    <xf numFmtId="0" fontId="24" fillId="17" borderId="0" xfId="0" applyFont="1" applyFill="1" applyBorder="1" applyAlignment="1">
      <alignment horizontal="justify" vertical="center"/>
    </xf>
    <xf numFmtId="0" fontId="23" fillId="11" borderId="0" xfId="0" applyFont="1" applyFill="1" applyBorder="1" applyAlignment="1">
      <alignment horizontal="center" vertical="center"/>
    </xf>
    <xf numFmtId="3" fontId="24" fillId="17" borderId="0" xfId="0" applyNumberFormat="1" applyFont="1" applyFill="1" applyBorder="1" applyAlignment="1">
      <alignment horizontal="center" vertical="center"/>
    </xf>
    <xf numFmtId="169" fontId="24" fillId="17" borderId="0" xfId="0" applyNumberFormat="1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justify" vertical="center"/>
    </xf>
    <xf numFmtId="3" fontId="25" fillId="9" borderId="0" xfId="0" applyNumberFormat="1" applyFont="1" applyFill="1" applyBorder="1" applyAlignment="1">
      <alignment horizontal="center" vertical="center"/>
    </xf>
    <xf numFmtId="9" fontId="25" fillId="9" borderId="0" xfId="1" applyNumberFormat="1" applyFont="1" applyFill="1" applyBorder="1" applyAlignment="1">
      <alignment horizontal="center" vertical="center"/>
    </xf>
    <xf numFmtId="3" fontId="26" fillId="8" borderId="0" xfId="0" applyNumberFormat="1" applyFont="1" applyFill="1" applyBorder="1" applyAlignment="1">
      <alignment horizontal="center" vertical="center"/>
    </xf>
    <xf numFmtId="9" fontId="26" fillId="8" borderId="0" xfId="1" applyNumberFormat="1" applyFont="1" applyFill="1" applyBorder="1" applyAlignment="1">
      <alignment horizontal="center" vertical="center"/>
    </xf>
    <xf numFmtId="170" fontId="27" fillId="17" borderId="0" xfId="0" applyNumberFormat="1" applyFont="1" applyFill="1" applyBorder="1" applyAlignment="1">
      <alignment horizontal="center" vertical="center"/>
    </xf>
    <xf numFmtId="170" fontId="23" fillId="11" borderId="0" xfId="0" applyNumberFormat="1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horizontal="justify" vertical="center"/>
    </xf>
    <xf numFmtId="170" fontId="28" fillId="11" borderId="0" xfId="0" applyNumberFormat="1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 wrapText="1"/>
    </xf>
    <xf numFmtId="0" fontId="24" fillId="17" borderId="6" xfId="0" applyFont="1" applyFill="1" applyBorder="1" applyAlignment="1">
      <alignment horizontal="justify" vertical="center"/>
    </xf>
    <xf numFmtId="3" fontId="25" fillId="9" borderId="5" xfId="0" applyNumberFormat="1" applyFont="1" applyFill="1" applyBorder="1" applyAlignment="1">
      <alignment horizontal="center" vertical="center"/>
    </xf>
    <xf numFmtId="0" fontId="24" fillId="17" borderId="3" xfId="0" applyFont="1" applyFill="1" applyBorder="1" applyAlignment="1">
      <alignment horizontal="justify" vertical="center"/>
    </xf>
    <xf numFmtId="3" fontId="25" fillId="9" borderId="2" xfId="0" applyNumberFormat="1" applyFont="1" applyFill="1" applyBorder="1" applyAlignment="1">
      <alignment horizontal="center" vertical="center"/>
    </xf>
    <xf numFmtId="0" fontId="24" fillId="17" borderId="9" xfId="0" applyFont="1" applyFill="1" applyBorder="1" applyAlignment="1">
      <alignment horizontal="justify" vertical="center"/>
    </xf>
    <xf numFmtId="3" fontId="25" fillId="9" borderId="10" xfId="0" applyNumberFormat="1" applyFont="1" applyFill="1" applyBorder="1" applyAlignment="1">
      <alignment horizontal="center" vertical="center"/>
    </xf>
    <xf numFmtId="3" fontId="2" fillId="11" borderId="2" xfId="0" applyNumberFormat="1" applyFont="1" applyFill="1" applyBorder="1" applyAlignment="1">
      <alignment horizontal="center" vertical="center" wrapText="1"/>
    </xf>
    <xf numFmtId="3" fontId="2" fillId="11" borderId="1" xfId="0" applyNumberFormat="1" applyFont="1" applyFill="1" applyBorder="1" applyAlignment="1">
      <alignment horizontal="center" vertical="center" wrapText="1"/>
    </xf>
    <xf numFmtId="3" fontId="24" fillId="17" borderId="5" xfId="0" applyNumberFormat="1" applyFont="1" applyFill="1" applyBorder="1" applyAlignment="1">
      <alignment horizontal="center" vertical="center"/>
    </xf>
    <xf numFmtId="0" fontId="24" fillId="17" borderId="8" xfId="0" applyFont="1" applyFill="1" applyBorder="1" applyAlignment="1">
      <alignment horizontal="justify" vertical="center"/>
    </xf>
    <xf numFmtId="3" fontId="2" fillId="11" borderId="7" xfId="0" applyNumberFormat="1" applyFont="1" applyFill="1" applyBorder="1" applyAlignment="1">
      <alignment horizontal="center" vertical="center" wrapText="1"/>
    </xf>
    <xf numFmtId="0" fontId="23" fillId="17" borderId="3" xfId="0" applyFont="1" applyFill="1" applyBorder="1" applyAlignment="1">
      <alignment horizontal="justify" vertical="center"/>
    </xf>
    <xf numFmtId="3" fontId="24" fillId="17" borderId="2" xfId="0" applyNumberFormat="1" applyFont="1" applyFill="1" applyBorder="1" applyAlignment="1">
      <alignment horizontal="center" vertical="center"/>
    </xf>
    <xf numFmtId="3" fontId="29" fillId="17" borderId="0" xfId="0" applyNumberFormat="1" applyFont="1" applyFill="1" applyBorder="1" applyAlignment="1">
      <alignment horizontal="center" vertical="center"/>
    </xf>
    <xf numFmtId="3" fontId="30" fillId="9" borderId="0" xfId="0" applyNumberFormat="1" applyFont="1" applyFill="1" applyBorder="1" applyAlignment="1">
      <alignment horizontal="center" vertical="center"/>
    </xf>
    <xf numFmtId="3" fontId="33" fillId="12" borderId="8" xfId="0" applyNumberFormat="1" applyFont="1" applyFill="1" applyBorder="1" applyAlignment="1">
      <alignment horizontal="center" vertical="center" wrapText="1"/>
    </xf>
    <xf numFmtId="3" fontId="33" fillId="12" borderId="7" xfId="0" applyNumberFormat="1" applyFont="1" applyFill="1" applyBorder="1" applyAlignment="1">
      <alignment horizontal="center" vertical="center" wrapText="1"/>
    </xf>
    <xf numFmtId="165" fontId="2" fillId="11" borderId="8" xfId="0" applyNumberFormat="1" applyFont="1" applyFill="1" applyBorder="1" applyAlignment="1">
      <alignment horizontal="center" vertical="center" wrapText="1"/>
    </xf>
    <xf numFmtId="165" fontId="0" fillId="11" borderId="8" xfId="0" applyNumberFormat="1" applyFill="1" applyBorder="1" applyAlignment="1">
      <alignment horizontal="center" vertical="center" wrapText="1"/>
    </xf>
    <xf numFmtId="3" fontId="0" fillId="11" borderId="7" xfId="0" applyNumberFormat="1" applyFont="1" applyFill="1" applyBorder="1" applyAlignment="1">
      <alignment horizontal="center" vertical="center" wrapText="1"/>
    </xf>
    <xf numFmtId="3" fontId="0" fillId="11" borderId="3" xfId="0" applyNumberFormat="1" applyFill="1" applyBorder="1" applyAlignment="1">
      <alignment horizontal="center" vertical="center" wrapText="1"/>
    </xf>
    <xf numFmtId="3" fontId="33" fillId="12" borderId="0" xfId="0" applyNumberFormat="1" applyFont="1" applyFill="1" applyBorder="1" applyAlignment="1">
      <alignment horizontal="center" vertical="center" wrapText="1"/>
    </xf>
    <xf numFmtId="165" fontId="2" fillId="11" borderId="0" xfId="0" applyNumberFormat="1" applyFont="1" applyFill="1" applyBorder="1" applyAlignment="1">
      <alignment horizontal="center" vertical="center" wrapText="1"/>
    </xf>
    <xf numFmtId="165" fontId="0" fillId="11" borderId="0" xfId="0" applyNumberFormat="1" applyFill="1" applyBorder="1" applyAlignment="1">
      <alignment horizontal="center" vertical="center" wrapText="1"/>
    </xf>
    <xf numFmtId="3" fontId="0" fillId="11" borderId="2" xfId="0" applyNumberFormat="1" applyFill="1" applyBorder="1" applyAlignment="1">
      <alignment horizontal="center" vertical="center" wrapText="1"/>
    </xf>
    <xf numFmtId="3" fontId="32" fillId="18" borderId="4" xfId="0" applyNumberFormat="1" applyFont="1" applyFill="1" applyBorder="1" applyAlignment="1">
      <alignment horizontal="center" vertical="center" wrapText="1"/>
    </xf>
    <xf numFmtId="3" fontId="34" fillId="11" borderId="7" xfId="0" applyNumberFormat="1" applyFont="1" applyFill="1" applyBorder="1" applyAlignment="1">
      <alignment horizontal="center" vertical="center" wrapText="1"/>
    </xf>
    <xf numFmtId="3" fontId="34" fillId="11" borderId="1" xfId="0" applyNumberFormat="1" applyFont="1" applyFill="1" applyBorder="1" applyAlignment="1">
      <alignment horizontal="center" vertical="center" wrapText="1"/>
    </xf>
    <xf numFmtId="3" fontId="32" fillId="18" borderId="12" xfId="0" applyNumberFormat="1" applyFont="1" applyFill="1" applyBorder="1" applyAlignment="1">
      <alignment horizontal="center" vertical="center" wrapText="1"/>
    </xf>
    <xf numFmtId="3" fontId="33" fillId="12" borderId="13" xfId="0" applyNumberFormat="1" applyFont="1" applyFill="1" applyBorder="1" applyAlignment="1">
      <alignment horizontal="center" vertical="center" wrapText="1"/>
    </xf>
    <xf numFmtId="3" fontId="2" fillId="11" borderId="13" xfId="0" applyNumberFormat="1" applyFont="1" applyFill="1" applyBorder="1" applyAlignment="1">
      <alignment horizontal="left" vertical="center" wrapText="1"/>
    </xf>
    <xf numFmtId="3" fontId="0" fillId="11" borderId="13" xfId="0" applyNumberFormat="1" applyFill="1" applyBorder="1" applyAlignment="1">
      <alignment horizontal="left" vertical="center" wrapText="1"/>
    </xf>
    <xf numFmtId="3" fontId="2" fillId="11" borderId="14" xfId="0" applyNumberFormat="1" applyFont="1" applyFill="1" applyBorder="1" applyAlignment="1">
      <alignment horizontal="left" vertical="center" wrapText="1"/>
    </xf>
    <xf numFmtId="3" fontId="0" fillId="11" borderId="8" xfId="0" applyNumberFormat="1" applyFill="1" applyBorder="1" applyAlignment="1">
      <alignment horizontal="left" vertical="center" wrapText="1"/>
    </xf>
    <xf numFmtId="3" fontId="0" fillId="11" borderId="0" xfId="0" applyNumberFormat="1" applyFill="1" applyBorder="1" applyAlignment="1">
      <alignment horizontal="center" vertical="center" wrapText="1"/>
    </xf>
    <xf numFmtId="3" fontId="2" fillId="11" borderId="3" xfId="0" applyNumberFormat="1" applyFont="1" applyFill="1" applyBorder="1" applyAlignment="1">
      <alignment horizontal="left" vertical="center" wrapText="1"/>
    </xf>
    <xf numFmtId="3" fontId="35" fillId="11" borderId="13" xfId="0" applyNumberFormat="1" applyFont="1" applyFill="1" applyBorder="1" applyAlignment="1">
      <alignment horizontal="left" vertical="center" wrapText="1"/>
    </xf>
    <xf numFmtId="165" fontId="35" fillId="11" borderId="8" xfId="0" applyNumberFormat="1" applyFont="1" applyFill="1" applyBorder="1" applyAlignment="1">
      <alignment horizontal="center" vertical="center" wrapText="1"/>
    </xf>
    <xf numFmtId="3" fontId="35" fillId="11" borderId="7" xfId="0" applyNumberFormat="1" applyFont="1" applyFill="1" applyBorder="1" applyAlignment="1">
      <alignment horizontal="center" vertical="center" wrapText="1"/>
    </xf>
    <xf numFmtId="165" fontId="35" fillId="11" borderId="0" xfId="0" applyNumberFormat="1" applyFont="1" applyFill="1" applyBorder="1" applyAlignment="1">
      <alignment horizontal="center" vertical="center" wrapText="1"/>
    </xf>
    <xf numFmtId="3" fontId="36" fillId="11" borderId="7" xfId="0" applyNumberFormat="1" applyFont="1" applyFill="1" applyBorder="1" applyAlignment="1">
      <alignment horizontal="center" vertical="center" wrapText="1"/>
    </xf>
    <xf numFmtId="3" fontId="37" fillId="11" borderId="13" xfId="0" applyNumberFormat="1" applyFont="1" applyFill="1" applyBorder="1" applyAlignment="1">
      <alignment horizontal="left" vertical="center" wrapText="1"/>
    </xf>
    <xf numFmtId="165" fontId="37" fillId="11" borderId="8" xfId="0" applyNumberFormat="1" applyFont="1" applyFill="1" applyBorder="1" applyAlignment="1">
      <alignment horizontal="center" vertical="center" wrapText="1"/>
    </xf>
    <xf numFmtId="3" fontId="37" fillId="11" borderId="7" xfId="0" applyNumberFormat="1" applyFont="1" applyFill="1" applyBorder="1" applyAlignment="1">
      <alignment horizontal="center" vertical="center" wrapText="1"/>
    </xf>
    <xf numFmtId="165" fontId="37" fillId="11" borderId="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3" fontId="0" fillId="0" borderId="0" xfId="0" applyNumberFormat="1"/>
    <xf numFmtId="3" fontId="0" fillId="0" borderId="18" xfId="0" applyNumberFormat="1" applyBorder="1" applyAlignment="1">
      <alignment horizontal="center" vertical="center" wrapText="1"/>
    </xf>
    <xf numFmtId="3" fontId="0" fillId="11" borderId="9" xfId="0" applyNumberFormat="1" applyFill="1" applyBorder="1" applyAlignment="1">
      <alignment horizontal="center" vertical="center" wrapText="1"/>
    </xf>
    <xf numFmtId="3" fontId="0" fillId="11" borderId="11" xfId="0" applyNumberFormat="1" applyFill="1" applyBorder="1" applyAlignment="1">
      <alignment horizontal="center" vertical="center" wrapText="1"/>
    </xf>
    <xf numFmtId="3" fontId="0" fillId="11" borderId="6" xfId="0" applyNumberFormat="1" applyFill="1" applyBorder="1" applyAlignment="1">
      <alignment horizontal="center" vertical="center" wrapText="1"/>
    </xf>
    <xf numFmtId="171" fontId="0" fillId="11" borderId="4" xfId="1" applyNumberFormat="1" applyFont="1" applyFill="1" applyBorder="1" applyAlignment="1">
      <alignment horizontal="center" vertical="center" wrapText="1"/>
    </xf>
    <xf numFmtId="3" fontId="0" fillId="11" borderId="8" xfId="0" applyNumberFormat="1" applyFill="1" applyBorder="1" applyAlignment="1">
      <alignment horizontal="center" vertical="center" wrapText="1"/>
    </xf>
    <xf numFmtId="4" fontId="0" fillId="11" borderId="7" xfId="0" applyNumberFormat="1" applyFill="1" applyBorder="1" applyAlignment="1">
      <alignment horizontal="center" vertical="center" wrapText="1"/>
    </xf>
    <xf numFmtId="3" fontId="2" fillId="12" borderId="3" xfId="0" applyNumberFormat="1" applyFont="1" applyFill="1" applyBorder="1" applyAlignment="1">
      <alignment horizontal="center" vertical="center" wrapText="1"/>
    </xf>
    <xf numFmtId="171" fontId="2" fillId="12" borderId="1" xfId="1" applyNumberFormat="1" applyFont="1" applyFill="1" applyBorder="1" applyAlignment="1">
      <alignment horizontal="center" vertical="center" wrapText="1"/>
    </xf>
    <xf numFmtId="171" fontId="0" fillId="11" borderId="0" xfId="1" applyNumberFormat="1" applyFont="1" applyFill="1" applyBorder="1" applyAlignment="1">
      <alignment horizontal="center" vertical="center" wrapText="1"/>
    </xf>
    <xf numFmtId="4" fontId="0" fillId="11" borderId="0" xfId="0" applyNumberFormat="1" applyFill="1" applyBorder="1" applyAlignment="1">
      <alignment horizontal="center" vertical="center" wrapText="1"/>
    </xf>
    <xf numFmtId="3" fontId="2" fillId="12" borderId="0" xfId="0" applyNumberFormat="1" applyFont="1" applyFill="1" applyBorder="1" applyAlignment="1">
      <alignment horizontal="center" vertical="center" wrapText="1"/>
    </xf>
    <xf numFmtId="3" fontId="1" fillId="19" borderId="0" xfId="0" applyNumberFormat="1" applyFont="1" applyFill="1" applyAlignment="1">
      <alignment horizontal="center" vertical="center" wrapText="1"/>
    </xf>
    <xf numFmtId="9" fontId="0" fillId="11" borderId="0" xfId="1" applyFont="1" applyFill="1" applyBorder="1" applyAlignment="1">
      <alignment horizontal="center" vertical="center" wrapText="1"/>
    </xf>
    <xf numFmtId="9" fontId="2" fillId="12" borderId="0" xfId="1" applyFont="1" applyFill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/>
    <xf numFmtId="0" fontId="2" fillId="0" borderId="19" xfId="0" applyFont="1" applyFill="1" applyBorder="1" applyAlignment="1">
      <alignment horizontal="center" vertical="center" wrapText="1"/>
    </xf>
    <xf numFmtId="3" fontId="0" fillId="11" borderId="0" xfId="0" quotePrefix="1" applyNumberFormat="1" applyFill="1" applyBorder="1" applyAlignment="1">
      <alignment horizontal="center" vertical="center" wrapText="1"/>
    </xf>
    <xf numFmtId="171" fontId="2" fillId="12" borderId="0" xfId="1" applyNumberFormat="1" applyFont="1" applyFill="1" applyBorder="1" applyAlignment="1">
      <alignment horizontal="center" vertical="center" wrapText="1"/>
    </xf>
    <xf numFmtId="4" fontId="0" fillId="11" borderId="0" xfId="0" quotePrefix="1" applyNumberFormat="1" applyFill="1" applyBorder="1" applyAlignment="1">
      <alignment horizontal="center" vertical="center" wrapText="1"/>
    </xf>
    <xf numFmtId="4" fontId="2" fillId="12" borderId="0" xfId="0" applyNumberFormat="1" applyFont="1" applyFill="1" applyBorder="1" applyAlignment="1">
      <alignment horizontal="center" vertical="center" wrapText="1"/>
    </xf>
    <xf numFmtId="171" fontId="0" fillId="11" borderId="0" xfId="1" quotePrefix="1" applyNumberFormat="1" applyFont="1" applyFill="1" applyBorder="1" applyAlignment="1">
      <alignment horizontal="center" vertical="center" wrapText="1"/>
    </xf>
    <xf numFmtId="172" fontId="37" fillId="11" borderId="0" xfId="0" applyNumberFormat="1" applyFont="1" applyFill="1" applyBorder="1" applyAlignment="1">
      <alignment horizontal="center" vertical="center" wrapText="1"/>
    </xf>
    <xf numFmtId="3" fontId="32" fillId="18" borderId="4" xfId="0" applyNumberFormat="1" applyFont="1" applyFill="1" applyBorder="1" applyAlignment="1">
      <alignment vertical="center" wrapText="1"/>
    </xf>
    <xf numFmtId="0" fontId="24" fillId="2" borderId="6" xfId="0" applyFont="1" applyFill="1" applyBorder="1" applyAlignment="1">
      <alignment horizontal="justify" vertical="center" wrapText="1"/>
    </xf>
    <xf numFmtId="0" fontId="24" fillId="2" borderId="8" xfId="0" applyFont="1" applyFill="1" applyBorder="1" applyAlignment="1">
      <alignment horizontal="justify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justify" vertical="center" wrapText="1"/>
    </xf>
    <xf numFmtId="0" fontId="24" fillId="2" borderId="9" xfId="0" applyFont="1" applyFill="1" applyBorder="1" applyAlignment="1">
      <alignment horizontal="justify" vertical="center" wrapText="1"/>
    </xf>
    <xf numFmtId="3" fontId="24" fillId="2" borderId="11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3" fontId="24" fillId="2" borderId="6" xfId="0" applyNumberFormat="1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3" fontId="38" fillId="21" borderId="0" xfId="0" applyNumberFormat="1" applyFont="1" applyFill="1" applyAlignment="1">
      <alignment horizontal="center" vertical="center" wrapText="1"/>
    </xf>
    <xf numFmtId="3" fontId="38" fillId="21" borderId="0" xfId="0" applyNumberFormat="1" applyFont="1" applyFill="1" applyAlignment="1">
      <alignment horizontal="left" vertical="center" wrapText="1"/>
    </xf>
    <xf numFmtId="3" fontId="39" fillId="22" borderId="0" xfId="0" applyNumberFormat="1" applyFont="1" applyFill="1" applyAlignment="1">
      <alignment horizontal="center" vertical="center" wrapText="1"/>
    </xf>
    <xf numFmtId="3" fontId="39" fillId="22" borderId="8" xfId="0" applyNumberFormat="1" applyFont="1" applyFill="1" applyBorder="1" applyAlignment="1">
      <alignment horizontal="center" vertical="center" wrapText="1"/>
    </xf>
    <xf numFmtId="3" fontId="39" fillId="22" borderId="0" xfId="0" applyNumberFormat="1" applyFont="1" applyFill="1" applyBorder="1" applyAlignment="1">
      <alignment horizontal="center" vertical="center" wrapText="1"/>
    </xf>
    <xf numFmtId="3" fontId="38" fillId="21" borderId="0" xfId="0" applyNumberFormat="1" applyFont="1" applyFill="1" applyBorder="1" applyAlignment="1">
      <alignment horizontal="center" vertical="center" wrapText="1"/>
    </xf>
    <xf numFmtId="3" fontId="38" fillId="21" borderId="8" xfId="0" applyNumberFormat="1" applyFont="1" applyFill="1" applyBorder="1" applyAlignment="1">
      <alignment horizontal="center" vertical="center" wrapText="1"/>
    </xf>
    <xf numFmtId="3" fontId="39" fillId="22" borderId="8" xfId="0" applyNumberFormat="1" applyFont="1" applyFill="1" applyBorder="1" applyAlignment="1">
      <alignment horizontal="left" vertical="center" wrapText="1"/>
    </xf>
    <xf numFmtId="3" fontId="39" fillId="21" borderId="8" xfId="0" applyNumberFormat="1" applyFont="1" applyFill="1" applyBorder="1" applyAlignment="1">
      <alignment horizontal="left" vertical="center" wrapText="1"/>
    </xf>
    <xf numFmtId="3" fontId="38" fillId="21" borderId="8" xfId="0" applyNumberFormat="1" applyFont="1" applyFill="1" applyBorder="1" applyAlignment="1">
      <alignment horizontal="left" vertical="center" wrapText="1"/>
    </xf>
    <xf numFmtId="0" fontId="40" fillId="20" borderId="7" xfId="0" applyFont="1" applyFill="1" applyBorder="1" applyAlignment="1">
      <alignment horizontal="center" vertical="center" wrapText="1"/>
    </xf>
    <xf numFmtId="3" fontId="42" fillId="22" borderId="7" xfId="0" applyNumberFormat="1" applyFont="1" applyFill="1" applyBorder="1" applyAlignment="1">
      <alignment horizontal="center" vertical="center" wrapText="1"/>
    </xf>
    <xf numFmtId="3" fontId="42" fillId="21" borderId="7" xfId="0" applyNumberFormat="1" applyFont="1" applyFill="1" applyBorder="1" applyAlignment="1">
      <alignment horizontal="center" vertical="center" wrapText="1"/>
    </xf>
    <xf numFmtId="3" fontId="43" fillId="21" borderId="7" xfId="0" applyNumberFormat="1" applyFont="1" applyFill="1" applyBorder="1" applyAlignment="1">
      <alignment horizontal="center" vertical="center" wrapText="1"/>
    </xf>
    <xf numFmtId="3" fontId="44" fillId="22" borderId="7" xfId="0" applyNumberFormat="1" applyFont="1" applyFill="1" applyBorder="1" applyAlignment="1">
      <alignment horizontal="center" vertical="center" wrapText="1"/>
    </xf>
    <xf numFmtId="3" fontId="44" fillId="21" borderId="7" xfId="0" applyNumberFormat="1" applyFont="1" applyFill="1" applyBorder="1" applyAlignment="1">
      <alignment horizontal="center" vertical="center" wrapText="1"/>
    </xf>
    <xf numFmtId="3" fontId="45" fillId="21" borderId="7" xfId="0" applyNumberFormat="1" applyFont="1" applyFill="1" applyBorder="1" applyAlignment="1">
      <alignment horizontal="center" vertical="center" wrapText="1"/>
    </xf>
    <xf numFmtId="3" fontId="44" fillId="22" borderId="1" xfId="0" applyNumberFormat="1" applyFont="1" applyFill="1" applyBorder="1" applyAlignment="1">
      <alignment horizontal="center" vertical="center" wrapText="1"/>
    </xf>
    <xf numFmtId="3" fontId="44" fillId="22" borderId="0" xfId="0" applyNumberFormat="1" applyFont="1" applyFill="1" applyAlignment="1">
      <alignment horizontal="center" vertical="center" wrapText="1"/>
    </xf>
    <xf numFmtId="3" fontId="44" fillId="22" borderId="3" xfId="0" applyNumberFormat="1" applyFont="1" applyFill="1" applyBorder="1" applyAlignment="1">
      <alignment horizontal="left" vertical="center" wrapText="1"/>
    </xf>
    <xf numFmtId="3" fontId="44" fillId="22" borderId="2" xfId="0" applyNumberFormat="1" applyFont="1" applyFill="1" applyBorder="1" applyAlignment="1">
      <alignment horizontal="center" vertical="center" wrapText="1"/>
    </xf>
    <xf numFmtId="3" fontId="44" fillId="22" borderId="8" xfId="0" applyNumberFormat="1" applyFont="1" applyFill="1" applyBorder="1" applyAlignment="1">
      <alignment horizontal="left" vertical="center" wrapText="1"/>
    </xf>
    <xf numFmtId="165" fontId="44" fillId="22" borderId="8" xfId="0" applyNumberFormat="1" applyFont="1" applyFill="1" applyBorder="1" applyAlignment="1">
      <alignment horizontal="center" vertical="center" wrapText="1"/>
    </xf>
    <xf numFmtId="3" fontId="44" fillId="22" borderId="0" xfId="0" applyNumberFormat="1" applyFont="1" applyFill="1" applyBorder="1" applyAlignment="1">
      <alignment horizontal="center" vertical="center" wrapText="1"/>
    </xf>
    <xf numFmtId="165" fontId="44" fillId="22" borderId="0" xfId="0" applyNumberFormat="1" applyFont="1" applyFill="1" applyBorder="1" applyAlignment="1">
      <alignment horizontal="center" vertical="center" wrapText="1"/>
    </xf>
    <xf numFmtId="3" fontId="44" fillId="21" borderId="8" xfId="0" applyNumberFormat="1" applyFont="1" applyFill="1" applyBorder="1" applyAlignment="1">
      <alignment horizontal="left" vertical="center" wrapText="1"/>
    </xf>
    <xf numFmtId="165" fontId="44" fillId="21" borderId="8" xfId="0" applyNumberFormat="1" applyFont="1" applyFill="1" applyBorder="1" applyAlignment="1">
      <alignment horizontal="center" vertical="center" wrapText="1"/>
    </xf>
    <xf numFmtId="3" fontId="44" fillId="21" borderId="0" xfId="0" applyNumberFormat="1" applyFont="1" applyFill="1" applyBorder="1" applyAlignment="1">
      <alignment horizontal="center" vertical="center" wrapText="1"/>
    </xf>
    <xf numFmtId="165" fontId="44" fillId="21" borderId="0" xfId="0" applyNumberFormat="1" applyFont="1" applyFill="1" applyBorder="1" applyAlignment="1">
      <alignment horizontal="center" vertical="center" wrapText="1"/>
    </xf>
    <xf numFmtId="165" fontId="46" fillId="21" borderId="8" xfId="0" applyNumberFormat="1" applyFont="1" applyFill="1" applyBorder="1" applyAlignment="1">
      <alignment horizontal="center" vertical="center" wrapText="1"/>
    </xf>
    <xf numFmtId="3" fontId="46" fillId="21" borderId="0" xfId="0" applyNumberFormat="1" applyFont="1" applyFill="1" applyBorder="1" applyAlignment="1">
      <alignment horizontal="center" vertical="center" wrapText="1"/>
    </xf>
    <xf numFmtId="165" fontId="46" fillId="21" borderId="0" xfId="0" applyNumberFormat="1" applyFont="1" applyFill="1" applyBorder="1" applyAlignment="1">
      <alignment horizontal="center" vertical="center" wrapText="1"/>
    </xf>
    <xf numFmtId="165" fontId="47" fillId="21" borderId="8" xfId="0" applyNumberFormat="1" applyFont="1" applyFill="1" applyBorder="1" applyAlignment="1">
      <alignment horizontal="center" vertical="center" wrapText="1"/>
    </xf>
    <xf numFmtId="3" fontId="47" fillId="21" borderId="0" xfId="0" applyNumberFormat="1" applyFont="1" applyFill="1" applyBorder="1" applyAlignment="1">
      <alignment horizontal="center" vertical="center" wrapText="1"/>
    </xf>
    <xf numFmtId="165" fontId="47" fillId="21" borderId="0" xfId="0" applyNumberFormat="1" applyFont="1" applyFill="1" applyBorder="1" applyAlignment="1">
      <alignment horizontal="center" vertical="center" wrapText="1"/>
    </xf>
    <xf numFmtId="3" fontId="38" fillId="21" borderId="5" xfId="0" applyNumberFormat="1" applyFont="1" applyFill="1" applyBorder="1" applyAlignment="1">
      <alignment horizontal="center" vertical="center" wrapText="1"/>
    </xf>
    <xf numFmtId="3" fontId="45" fillId="21" borderId="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Alignment="1">
      <alignment horizontal="center" vertical="center" wrapText="1"/>
    </xf>
    <xf numFmtId="171" fontId="38" fillId="21" borderId="0" xfId="1" applyNumberFormat="1" applyFont="1" applyFill="1" applyAlignment="1">
      <alignment horizontal="center" vertical="center" wrapText="1"/>
    </xf>
    <xf numFmtId="4" fontId="38" fillId="21" borderId="0" xfId="0" applyNumberFormat="1" applyFont="1" applyFill="1" applyAlignment="1">
      <alignment horizontal="center" vertical="center" wrapText="1"/>
    </xf>
    <xf numFmtId="171" fontId="39" fillId="22" borderId="0" xfId="1" applyNumberFormat="1" applyFont="1" applyFill="1" applyAlignment="1">
      <alignment horizontal="center" vertical="center" wrapText="1"/>
    </xf>
    <xf numFmtId="3" fontId="32" fillId="20" borderId="0" xfId="0" applyNumberFormat="1" applyFont="1" applyFill="1" applyAlignment="1">
      <alignment horizontal="center" vertical="center" wrapText="1"/>
    </xf>
    <xf numFmtId="9" fontId="38" fillId="21" borderId="0" xfId="1" applyFont="1" applyFill="1" applyAlignment="1">
      <alignment horizontal="center" vertical="center" wrapText="1"/>
    </xf>
    <xf numFmtId="3" fontId="38" fillId="21" borderId="0" xfId="0" quotePrefix="1" applyNumberFormat="1" applyFont="1" applyFill="1" applyAlignment="1">
      <alignment horizontal="center" vertical="center" wrapText="1"/>
    </xf>
    <xf numFmtId="171" fontId="38" fillId="21" borderId="0" xfId="1" quotePrefix="1" applyNumberFormat="1" applyFont="1" applyFill="1" applyAlignment="1">
      <alignment horizontal="center" vertical="center" wrapText="1"/>
    </xf>
    <xf numFmtId="4" fontId="38" fillId="21" borderId="0" xfId="0" quotePrefix="1" applyNumberFormat="1" applyFont="1" applyFill="1" applyAlignment="1">
      <alignment horizontal="center" vertical="center" wrapText="1"/>
    </xf>
    <xf numFmtId="173" fontId="48" fillId="21" borderId="0" xfId="0" applyNumberFormat="1" applyFont="1" applyFill="1" applyAlignment="1">
      <alignment horizontal="center" vertical="center" wrapText="1"/>
    </xf>
    <xf numFmtId="3" fontId="44" fillId="23" borderId="0" xfId="0" applyNumberFormat="1" applyFont="1" applyFill="1" applyAlignment="1">
      <alignment horizontal="center" vertical="center" wrapText="1"/>
    </xf>
    <xf numFmtId="3" fontId="44" fillId="23" borderId="0" xfId="0" applyNumberFormat="1" applyFont="1" applyFill="1" applyAlignment="1">
      <alignment horizontal="left" vertical="center" wrapText="1"/>
    </xf>
    <xf numFmtId="9" fontId="44" fillId="23" borderId="0" xfId="1" applyFont="1" applyFill="1" applyAlignment="1">
      <alignment horizontal="center" vertical="center" wrapText="1"/>
    </xf>
    <xf numFmtId="171" fontId="44" fillId="23" borderId="0" xfId="1" applyNumberFormat="1" applyFont="1" applyFill="1" applyAlignment="1">
      <alignment horizontal="center" vertical="center" wrapText="1"/>
    </xf>
    <xf numFmtId="4" fontId="44" fillId="23" borderId="0" xfId="0" applyNumberFormat="1" applyFont="1" applyFill="1" applyAlignment="1">
      <alignment horizontal="center" vertical="center" wrapText="1"/>
    </xf>
    <xf numFmtId="3" fontId="18" fillId="13" borderId="0" xfId="0" applyNumberFormat="1" applyFont="1" applyFill="1" applyAlignment="1">
      <alignment horizontal="left" vertical="center" wrapText="1"/>
    </xf>
    <xf numFmtId="3" fontId="18" fillId="13" borderId="0" xfId="0" applyNumberFormat="1" applyFont="1" applyFill="1" applyAlignment="1">
      <alignment horizontal="center" vertical="center" wrapText="1"/>
    </xf>
    <xf numFmtId="3" fontId="18" fillId="2" borderId="0" xfId="0" applyNumberFormat="1" applyFont="1" applyFill="1" applyAlignment="1">
      <alignment horizontal="center" vertical="center" wrapText="1"/>
    </xf>
    <xf numFmtId="3" fontId="18" fillId="5" borderId="0" xfId="0" applyNumberFormat="1" applyFont="1" applyFill="1" applyAlignment="1">
      <alignment horizontal="center" vertical="center" wrapText="1"/>
    </xf>
    <xf numFmtId="3" fontId="18" fillId="4" borderId="0" xfId="0" applyNumberFormat="1" applyFont="1" applyFill="1" applyAlignment="1">
      <alignment horizontal="center" vertical="center" wrapText="1"/>
    </xf>
    <xf numFmtId="3" fontId="1" fillId="26" borderId="0" xfId="0" applyNumberFormat="1" applyFont="1" applyFill="1" applyAlignment="1">
      <alignment horizontal="center" vertical="center" wrapText="1"/>
    </xf>
    <xf numFmtId="3" fontId="50" fillId="16" borderId="0" xfId="0" applyNumberFormat="1" applyFont="1" applyFill="1" applyAlignment="1">
      <alignment horizontal="center" vertical="center" wrapText="1"/>
    </xf>
    <xf numFmtId="9" fontId="18" fillId="4" borderId="0" xfId="1" applyFont="1" applyFill="1" applyAlignment="1">
      <alignment horizontal="center" vertical="center" wrapText="1"/>
    </xf>
    <xf numFmtId="3" fontId="51" fillId="4" borderId="0" xfId="0" applyNumberFormat="1" applyFont="1" applyFill="1" applyAlignment="1">
      <alignment horizontal="center" vertical="center" wrapText="1"/>
    </xf>
    <xf numFmtId="9" fontId="51" fillId="4" borderId="0" xfId="1" applyFont="1" applyFill="1" applyAlignment="1">
      <alignment horizontal="center" vertical="center" wrapText="1"/>
    </xf>
    <xf numFmtId="9" fontId="18" fillId="2" borderId="0" xfId="1" applyFont="1" applyFill="1" applyAlignment="1">
      <alignment horizontal="center" vertical="center" wrapText="1"/>
    </xf>
    <xf numFmtId="9" fontId="51" fillId="2" borderId="0" xfId="1" applyFont="1" applyFill="1" applyAlignment="1">
      <alignment horizontal="center" vertical="center" wrapText="1"/>
    </xf>
    <xf numFmtId="3" fontId="50" fillId="16" borderId="0" xfId="0" applyNumberFormat="1" applyFont="1" applyFill="1" applyAlignment="1">
      <alignment horizontal="left" vertical="center" wrapText="1"/>
    </xf>
    <xf numFmtId="4" fontId="50" fillId="16" borderId="0" xfId="0" applyNumberFormat="1" applyFont="1" applyFill="1" applyAlignment="1">
      <alignment horizontal="center" vertical="center" wrapText="1"/>
    </xf>
    <xf numFmtId="3" fontId="52" fillId="16" borderId="0" xfId="0" applyNumberFormat="1" applyFont="1" applyFill="1" applyAlignment="1">
      <alignment horizontal="left" vertical="center" wrapText="1"/>
    </xf>
    <xf numFmtId="4" fontId="52" fillId="16" borderId="0" xfId="0" applyNumberFormat="1" applyFont="1" applyFill="1" applyAlignment="1">
      <alignment horizontal="center" vertical="center" wrapText="1"/>
    </xf>
    <xf numFmtId="3" fontId="52" fillId="24" borderId="0" xfId="0" applyNumberFormat="1" applyFont="1" applyFill="1" applyAlignment="1">
      <alignment horizontal="left" vertical="center" wrapText="1"/>
    </xf>
    <xf numFmtId="4" fontId="52" fillId="24" borderId="0" xfId="0" applyNumberFormat="1" applyFont="1" applyFill="1" applyAlignment="1">
      <alignment horizontal="center" vertical="center" wrapText="1"/>
    </xf>
    <xf numFmtId="4" fontId="53" fillId="24" borderId="0" xfId="0" applyNumberFormat="1" applyFont="1" applyFill="1" applyAlignment="1">
      <alignment horizontal="center" vertical="center" wrapText="1"/>
    </xf>
    <xf numFmtId="3" fontId="50" fillId="24" borderId="0" xfId="0" applyNumberFormat="1" applyFont="1" applyFill="1" applyAlignment="1">
      <alignment horizontal="left" vertical="center" wrapText="1"/>
    </xf>
    <xf numFmtId="4" fontId="49" fillId="24" borderId="0" xfId="0" applyNumberFormat="1" applyFont="1" applyFill="1" applyAlignment="1">
      <alignment horizontal="center" vertical="center" wrapText="1"/>
    </xf>
    <xf numFmtId="4" fontId="50" fillId="24" borderId="0" xfId="0" applyNumberFormat="1" applyFont="1" applyFill="1" applyAlignment="1">
      <alignment horizontal="center" vertical="center" wrapText="1"/>
    </xf>
    <xf numFmtId="3" fontId="54" fillId="16" borderId="0" xfId="0" applyNumberFormat="1" applyFont="1" applyFill="1" applyAlignment="1">
      <alignment horizontal="center" vertical="center" wrapText="1"/>
    </xf>
    <xf numFmtId="3" fontId="55" fillId="16" borderId="0" xfId="0" applyNumberFormat="1" applyFont="1" applyFill="1" applyAlignment="1">
      <alignment horizontal="left" vertical="center" wrapText="1"/>
    </xf>
    <xf numFmtId="3" fontId="52" fillId="24" borderId="0" xfId="0" applyNumberFormat="1" applyFont="1" applyFill="1" applyAlignment="1">
      <alignment horizontal="center" vertical="center" wrapText="1"/>
    </xf>
    <xf numFmtId="0" fontId="24" fillId="27" borderId="0" xfId="0" applyFont="1" applyFill="1" applyAlignment="1">
      <alignment horizontal="justify" vertical="center" wrapText="1"/>
    </xf>
    <xf numFmtId="3" fontId="24" fillId="27" borderId="0" xfId="0" applyNumberFormat="1" applyFont="1" applyFill="1" applyAlignment="1">
      <alignment horizontal="center" vertical="center" wrapText="1"/>
    </xf>
    <xf numFmtId="0" fontId="23" fillId="27" borderId="0" xfId="0" applyFont="1" applyFill="1" applyAlignment="1">
      <alignment horizontal="justify" vertical="center" wrapText="1"/>
    </xf>
    <xf numFmtId="3" fontId="23" fillId="27" borderId="0" xfId="0" applyNumberFormat="1" applyFont="1" applyFill="1" applyAlignment="1">
      <alignment horizontal="center" vertical="center" wrapText="1"/>
    </xf>
    <xf numFmtId="171" fontId="24" fillId="27" borderId="0" xfId="1" applyNumberFormat="1" applyFont="1" applyFill="1" applyAlignment="1">
      <alignment horizontal="center" vertical="center" wrapText="1"/>
    </xf>
    <xf numFmtId="0" fontId="23" fillId="4" borderId="0" xfId="0" applyFont="1" applyFill="1" applyAlignment="1">
      <alignment horizontal="justify" vertical="center" wrapText="1"/>
    </xf>
    <xf numFmtId="3" fontId="23" fillId="4" borderId="0" xfId="0" applyNumberFormat="1" applyFont="1" applyFill="1" applyAlignment="1">
      <alignment horizontal="center" vertical="center" wrapText="1"/>
    </xf>
    <xf numFmtId="0" fontId="24" fillId="4" borderId="0" xfId="0" applyFont="1" applyFill="1" applyAlignment="1">
      <alignment horizontal="justify" vertical="center" wrapText="1"/>
    </xf>
    <xf numFmtId="3" fontId="24" fillId="4" borderId="0" xfId="0" applyNumberFormat="1" applyFont="1" applyFill="1" applyAlignment="1">
      <alignment horizontal="center" vertical="center" wrapText="1"/>
    </xf>
    <xf numFmtId="171" fontId="24" fillId="4" borderId="0" xfId="1" applyNumberFormat="1" applyFont="1" applyFill="1" applyAlignment="1">
      <alignment horizontal="center" vertical="center" wrapText="1"/>
    </xf>
    <xf numFmtId="165" fontId="24" fillId="4" borderId="0" xfId="0" applyNumberFormat="1" applyFont="1" applyFill="1" applyAlignment="1">
      <alignment horizontal="center" vertical="center" wrapText="1"/>
    </xf>
    <xf numFmtId="0" fontId="23" fillId="5" borderId="0" xfId="0" applyFont="1" applyFill="1" applyAlignment="1">
      <alignment horizontal="justify" vertical="center" wrapText="1"/>
    </xf>
    <xf numFmtId="171" fontId="23" fillId="5" borderId="0" xfId="1" applyNumberFormat="1" applyFont="1" applyFill="1" applyAlignment="1">
      <alignment horizontal="center" vertical="center" wrapText="1"/>
    </xf>
    <xf numFmtId="0" fontId="24" fillId="21" borderId="0" xfId="0" applyFont="1" applyFill="1" applyAlignment="1">
      <alignment horizontal="justify" vertical="center" wrapText="1"/>
    </xf>
    <xf numFmtId="3" fontId="24" fillId="21" borderId="0" xfId="0" applyNumberFormat="1" applyFont="1" applyFill="1" applyAlignment="1">
      <alignment horizontal="center" vertical="center" wrapText="1"/>
    </xf>
    <xf numFmtId="3" fontId="0" fillId="21" borderId="0" xfId="0" applyNumberFormat="1" applyFill="1" applyAlignment="1">
      <alignment horizontal="left" vertical="center" wrapText="1"/>
    </xf>
    <xf numFmtId="171" fontId="0" fillId="21" borderId="0" xfId="1" applyNumberFormat="1" applyFont="1" applyFill="1" applyAlignment="1">
      <alignment horizontal="center" vertical="center" wrapText="1"/>
    </xf>
    <xf numFmtId="0" fontId="56" fillId="27" borderId="0" xfId="0" applyFont="1" applyFill="1" applyAlignment="1">
      <alignment horizontal="justify" vertical="center" wrapText="1"/>
    </xf>
    <xf numFmtId="3" fontId="56" fillId="27" borderId="0" xfId="0" applyNumberFormat="1" applyFont="1" applyFill="1" applyAlignment="1">
      <alignment horizontal="center" vertical="center" wrapText="1"/>
    </xf>
    <xf numFmtId="3" fontId="32" fillId="3" borderId="0" xfId="0" applyNumberFormat="1" applyFont="1" applyFill="1" applyAlignment="1">
      <alignment horizontal="center" vertical="center" wrapText="1"/>
    </xf>
    <xf numFmtId="3" fontId="57" fillId="25" borderId="0" xfId="0" applyNumberFormat="1" applyFont="1" applyFill="1" applyAlignment="1">
      <alignment horizontal="center" vertical="center" wrapText="1"/>
    </xf>
    <xf numFmtId="3" fontId="58" fillId="4" borderId="0" xfId="0" applyNumberFormat="1" applyFont="1" applyFill="1" applyAlignment="1">
      <alignment horizontal="center" vertical="center" wrapText="1"/>
    </xf>
    <xf numFmtId="3" fontId="58" fillId="4" borderId="0" xfId="0" applyNumberFormat="1" applyFont="1" applyFill="1" applyAlignment="1">
      <alignment horizontal="left" vertical="center" wrapText="1"/>
    </xf>
    <xf numFmtId="4" fontId="58" fillId="4" borderId="0" xfId="0" applyNumberFormat="1" applyFont="1" applyFill="1" applyAlignment="1">
      <alignment horizontal="center" vertical="center" wrapText="1"/>
    </xf>
    <xf numFmtId="3" fontId="59" fillId="4" borderId="0" xfId="0" applyNumberFormat="1" applyFont="1" applyFill="1" applyAlignment="1">
      <alignment horizontal="left" vertical="center" wrapText="1"/>
    </xf>
    <xf numFmtId="4" fontId="59" fillId="4" borderId="0" xfId="0" applyNumberFormat="1" applyFont="1" applyFill="1" applyAlignment="1">
      <alignment horizontal="center" vertical="center" wrapText="1"/>
    </xf>
    <xf numFmtId="3" fontId="59" fillId="4" borderId="0" xfId="0" applyNumberFormat="1" applyFont="1" applyFill="1" applyAlignment="1">
      <alignment horizontal="center" vertical="center" wrapText="1"/>
    </xf>
    <xf numFmtId="3" fontId="60" fillId="5" borderId="0" xfId="0" applyNumberFormat="1" applyFont="1" applyFill="1" applyAlignment="1">
      <alignment horizontal="center" vertical="center" wrapText="1"/>
    </xf>
    <xf numFmtId="3" fontId="60" fillId="4" borderId="0" xfId="0" applyNumberFormat="1" applyFont="1" applyFill="1" applyAlignment="1">
      <alignment horizontal="center" vertical="center" wrapText="1"/>
    </xf>
    <xf numFmtId="3" fontId="61" fillId="4" borderId="0" xfId="0" applyNumberFormat="1" applyFont="1" applyFill="1" applyAlignment="1">
      <alignment horizontal="center" vertical="center" wrapText="1"/>
    </xf>
    <xf numFmtId="3" fontId="60" fillId="5" borderId="0" xfId="0" applyNumberFormat="1" applyFont="1" applyFill="1" applyAlignment="1">
      <alignment horizontal="left" vertical="center" wrapText="1"/>
    </xf>
    <xf numFmtId="4" fontId="60" fillId="5" borderId="0" xfId="0" applyNumberFormat="1" applyFont="1" applyFill="1" applyAlignment="1">
      <alignment horizontal="center" vertical="center" wrapText="1"/>
    </xf>
    <xf numFmtId="3" fontId="62" fillId="2" borderId="0" xfId="0" applyNumberFormat="1" applyFont="1" applyFill="1" applyAlignment="1">
      <alignment horizontal="center" vertical="center" wrapText="1"/>
    </xf>
    <xf numFmtId="3" fontId="63" fillId="5" borderId="0" xfId="0" applyNumberFormat="1" applyFont="1" applyFill="1" applyAlignment="1">
      <alignment horizontal="center" vertical="center" wrapText="1"/>
    </xf>
    <xf numFmtId="9" fontId="58" fillId="4" borderId="0" xfId="1" applyFont="1" applyFill="1" applyAlignment="1">
      <alignment horizontal="center" vertical="center" wrapText="1"/>
    </xf>
    <xf numFmtId="3" fontId="58" fillId="4" borderId="0" xfId="0" quotePrefix="1" applyNumberFormat="1" applyFont="1" applyFill="1" applyAlignment="1">
      <alignment horizontal="center" vertical="center" wrapText="1"/>
    </xf>
    <xf numFmtId="171" fontId="58" fillId="4" borderId="0" xfId="1" applyNumberFormat="1" applyFont="1" applyFill="1" applyAlignment="1">
      <alignment horizontal="center" vertical="center" wrapText="1"/>
    </xf>
    <xf numFmtId="171" fontId="58" fillId="4" borderId="0" xfId="1" quotePrefix="1" applyNumberFormat="1" applyFont="1" applyFill="1" applyAlignment="1">
      <alignment horizontal="center" vertical="center" wrapText="1"/>
    </xf>
    <xf numFmtId="9" fontId="4" fillId="5" borderId="0" xfId="1" applyNumberFormat="1" applyFont="1" applyFill="1" applyAlignment="1">
      <alignment horizontal="center" vertical="center" wrapText="1"/>
    </xf>
    <xf numFmtId="171" fontId="4" fillId="5" borderId="0" xfId="1" applyNumberFormat="1" applyFont="1" applyFill="1" applyAlignment="1">
      <alignment horizontal="center" vertical="center" wrapText="1"/>
    </xf>
    <xf numFmtId="4" fontId="58" fillId="4" borderId="0" xfId="0" quotePrefix="1" applyNumberFormat="1" applyFont="1" applyFill="1" applyAlignment="1">
      <alignment horizontal="center" vertical="center" wrapText="1"/>
    </xf>
    <xf numFmtId="4" fontId="4" fillId="5" borderId="0" xfId="0" applyNumberFormat="1" applyFont="1" applyFill="1" applyAlignment="1">
      <alignment horizontal="center" vertical="center" wrapText="1"/>
    </xf>
    <xf numFmtId="171" fontId="4" fillId="28" borderId="0" xfId="1" applyNumberFormat="1" applyFont="1" applyFill="1" applyAlignment="1">
      <alignment horizontal="center" vertical="center" wrapText="1"/>
    </xf>
    <xf numFmtId="171" fontId="58" fillId="5" borderId="0" xfId="1" applyNumberFormat="1" applyFont="1" applyFill="1" applyAlignment="1">
      <alignment horizontal="center" vertical="center" wrapText="1"/>
    </xf>
    <xf numFmtId="173" fontId="58" fillId="5" borderId="0" xfId="0" applyNumberFormat="1" applyFont="1" applyFill="1" applyAlignment="1">
      <alignment horizontal="center" vertical="center" wrapText="1"/>
    </xf>
    <xf numFmtId="4" fontId="57" fillId="3" borderId="0" xfId="0" applyNumberFormat="1" applyFont="1" applyFill="1" applyAlignment="1">
      <alignment horizontal="center" vertical="center" wrapText="1"/>
    </xf>
    <xf numFmtId="3" fontId="1" fillId="25" borderId="0" xfId="0" applyNumberFormat="1" applyFont="1" applyFill="1" applyAlignment="1">
      <alignment horizontal="center" vertical="center" wrapText="1"/>
    </xf>
    <xf numFmtId="3" fontId="4" fillId="28" borderId="0" xfId="0" applyNumberFormat="1" applyFont="1" applyFill="1" applyAlignment="1">
      <alignment horizontal="center" vertical="center" wrapText="1"/>
    </xf>
    <xf numFmtId="3" fontId="2" fillId="22" borderId="0" xfId="0" applyNumberFormat="1" applyFont="1" applyFill="1" applyAlignment="1">
      <alignment horizontal="left" vertical="center" wrapText="1"/>
    </xf>
    <xf numFmtId="171" fontId="2" fillId="22" borderId="0" xfId="1" applyNumberFormat="1" applyFont="1" applyFill="1" applyAlignment="1">
      <alignment horizontal="center" vertical="center" wrapText="1"/>
    </xf>
    <xf numFmtId="3" fontId="51" fillId="13" borderId="0" xfId="0" applyNumberFormat="1" applyFont="1" applyFill="1" applyAlignment="1">
      <alignment horizontal="center" vertical="center" wrapText="1"/>
    </xf>
    <xf numFmtId="3" fontId="4" fillId="5" borderId="6" xfId="0" applyNumberFormat="1" applyFont="1" applyFill="1" applyBorder="1" applyAlignment="1">
      <alignment horizontal="left" vertical="center" wrapText="1"/>
    </xf>
    <xf numFmtId="3" fontId="18" fillId="13" borderId="5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left" vertical="center" wrapText="1"/>
    </xf>
    <xf numFmtId="3" fontId="18" fillId="13" borderId="2" xfId="0" applyNumberFormat="1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3" fontId="64" fillId="5" borderId="6" xfId="0" applyNumberFormat="1" applyFont="1" applyFill="1" applyBorder="1" applyAlignment="1">
      <alignment horizontal="left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3" fontId="3" fillId="4" borderId="8" xfId="0" applyNumberFormat="1" applyFont="1" applyFill="1" applyBorder="1" applyAlignment="1">
      <alignment horizontal="left" vertical="center" wrapText="1"/>
    </xf>
    <xf numFmtId="3" fontId="18" fillId="13" borderId="0" xfId="0" applyNumberFormat="1" applyFont="1" applyFill="1" applyBorder="1" applyAlignment="1">
      <alignment horizontal="center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3" fontId="60" fillId="5" borderId="8" xfId="0" applyNumberFormat="1" applyFont="1" applyFill="1" applyBorder="1" applyAlignment="1">
      <alignment horizontal="center" vertical="center" wrapText="1"/>
    </xf>
    <xf numFmtId="3" fontId="60" fillId="5" borderId="7" xfId="0" applyNumberFormat="1" applyFont="1" applyFill="1" applyBorder="1" applyAlignment="1">
      <alignment horizontal="center" vertical="center" wrapText="1"/>
    </xf>
    <xf numFmtId="4" fontId="59" fillId="4" borderId="8" xfId="0" applyNumberFormat="1" applyFont="1" applyFill="1" applyBorder="1" applyAlignment="1">
      <alignment horizontal="center" vertical="center" wrapText="1"/>
    </xf>
    <xf numFmtId="3" fontId="59" fillId="4" borderId="7" xfId="0" applyNumberFormat="1" applyFont="1" applyFill="1" applyBorder="1" applyAlignment="1">
      <alignment horizontal="center" vertical="center" wrapText="1"/>
    </xf>
    <xf numFmtId="4" fontId="58" fillId="9" borderId="8" xfId="0" applyNumberFormat="1" applyFont="1" applyFill="1" applyBorder="1" applyAlignment="1">
      <alignment horizontal="center" vertical="center" wrapText="1"/>
    </xf>
    <xf numFmtId="3" fontId="58" fillId="9" borderId="7" xfId="0" applyNumberFormat="1" applyFont="1" applyFill="1" applyBorder="1" applyAlignment="1">
      <alignment horizontal="center" vertical="center" wrapText="1"/>
    </xf>
    <xf numFmtId="4" fontId="58" fillId="4" borderId="8" xfId="0" applyNumberFormat="1" applyFont="1" applyFill="1" applyBorder="1" applyAlignment="1">
      <alignment horizontal="center" vertical="center" wrapText="1"/>
    </xf>
    <xf numFmtId="3" fontId="58" fillId="4" borderId="7" xfId="0" applyNumberFormat="1" applyFont="1" applyFill="1" applyBorder="1" applyAlignment="1">
      <alignment horizontal="center" vertical="center" wrapText="1"/>
    </xf>
    <xf numFmtId="3" fontId="58" fillId="4" borderId="8" xfId="0" applyNumberFormat="1" applyFont="1" applyFill="1" applyBorder="1" applyAlignment="1">
      <alignment vertical="center" wrapText="1"/>
    </xf>
    <xf numFmtId="4" fontId="60" fillId="5" borderId="3" xfId="0" applyNumberFormat="1" applyFont="1" applyFill="1" applyBorder="1" applyAlignment="1">
      <alignment horizontal="center" vertical="center" wrapText="1"/>
    </xf>
    <xf numFmtId="3" fontId="60" fillId="5" borderId="1" xfId="0" applyNumberFormat="1" applyFont="1" applyFill="1" applyBorder="1" applyAlignment="1">
      <alignment horizontal="center" vertical="center" wrapText="1"/>
    </xf>
    <xf numFmtId="4" fontId="59" fillId="9" borderId="8" xfId="0" applyNumberFormat="1" applyFont="1" applyFill="1" applyBorder="1" applyAlignment="1">
      <alignment horizontal="center" vertical="center" wrapText="1"/>
    </xf>
    <xf numFmtId="3" fontId="59" fillId="9" borderId="7" xfId="0" applyNumberFormat="1" applyFont="1" applyFill="1" applyBorder="1" applyAlignment="1">
      <alignment horizontal="center" vertical="center" wrapText="1"/>
    </xf>
    <xf numFmtId="3" fontId="58" fillId="4" borderId="8" xfId="0" applyNumberFormat="1" applyFont="1" applyFill="1" applyBorder="1" applyAlignment="1">
      <alignment horizontal="center" vertical="center" wrapText="1"/>
    </xf>
    <xf numFmtId="3" fontId="32" fillId="3" borderId="6" xfId="0" applyNumberFormat="1" applyFont="1" applyFill="1" applyBorder="1" applyAlignment="1">
      <alignment horizontal="center" vertical="center" wrapText="1"/>
    </xf>
    <xf numFmtId="3" fontId="32" fillId="3" borderId="4" xfId="0" applyNumberFormat="1" applyFont="1" applyFill="1" applyBorder="1" applyAlignment="1">
      <alignment horizontal="center" vertical="center" wrapText="1"/>
    </xf>
    <xf numFmtId="3" fontId="60" fillId="5" borderId="0" xfId="0" applyNumberFormat="1" applyFont="1" applyFill="1" applyBorder="1" applyAlignment="1">
      <alignment horizontal="center" vertical="center" wrapText="1"/>
    </xf>
    <xf numFmtId="3" fontId="59" fillId="4" borderId="8" xfId="0" applyNumberFormat="1" applyFont="1" applyFill="1" applyBorder="1" applyAlignment="1">
      <alignment horizontal="left" vertical="center" wrapText="1"/>
    </xf>
    <xf numFmtId="3" fontId="63" fillId="5" borderId="7" xfId="0" applyNumberFormat="1" applyFont="1" applyFill="1" applyBorder="1" applyAlignment="1">
      <alignment horizontal="center" vertical="center" wrapText="1"/>
    </xf>
    <xf numFmtId="3" fontId="58" fillId="9" borderId="8" xfId="0" applyNumberFormat="1" applyFont="1" applyFill="1" applyBorder="1" applyAlignment="1">
      <alignment horizontal="left" vertical="center" wrapText="1"/>
    </xf>
    <xf numFmtId="3" fontId="58" fillId="4" borderId="0" xfId="0" applyNumberFormat="1" applyFont="1" applyFill="1" applyBorder="1" applyAlignment="1">
      <alignment horizontal="center" vertical="center" wrapText="1"/>
    </xf>
    <xf numFmtId="3" fontId="58" fillId="4" borderId="8" xfId="0" applyNumberFormat="1" applyFont="1" applyFill="1" applyBorder="1" applyAlignment="1">
      <alignment horizontal="left" vertical="center" wrapText="1"/>
    </xf>
    <xf numFmtId="3" fontId="32" fillId="3" borderId="12" xfId="0" applyNumberFormat="1" applyFont="1" applyFill="1" applyBorder="1" applyAlignment="1">
      <alignment horizontal="center" vertical="center" wrapText="1"/>
    </xf>
    <xf numFmtId="3" fontId="60" fillId="5" borderId="13" xfId="0" applyNumberFormat="1" applyFont="1" applyFill="1" applyBorder="1" applyAlignment="1">
      <alignment horizontal="center" vertical="center" wrapText="1"/>
    </xf>
    <xf numFmtId="3" fontId="59" fillId="4" borderId="13" xfId="0" applyNumberFormat="1" applyFont="1" applyFill="1" applyBorder="1" applyAlignment="1">
      <alignment horizontal="center" vertical="center" wrapText="1"/>
    </xf>
    <xf numFmtId="3" fontId="58" fillId="4" borderId="13" xfId="0" applyNumberFormat="1" applyFont="1" applyFill="1" applyBorder="1" applyAlignment="1">
      <alignment horizontal="center" vertical="center" wrapText="1"/>
    </xf>
    <xf numFmtId="3" fontId="60" fillId="5" borderId="3" xfId="0" applyNumberFormat="1" applyFont="1" applyFill="1" applyBorder="1" applyAlignment="1">
      <alignment horizontal="left" vertical="center" wrapText="1"/>
    </xf>
    <xf numFmtId="4" fontId="58" fillId="4" borderId="0" xfId="0" applyNumberFormat="1" applyFont="1" applyFill="1" applyBorder="1" applyAlignment="1">
      <alignment horizontal="center" vertical="center" wrapText="1"/>
    </xf>
    <xf numFmtId="4" fontId="60" fillId="5" borderId="0" xfId="0" applyNumberFormat="1" applyFont="1" applyFill="1" applyBorder="1" applyAlignment="1">
      <alignment horizontal="center" vertical="center" wrapText="1"/>
    </xf>
    <xf numFmtId="3" fontId="60" fillId="5" borderId="8" xfId="0" applyNumberFormat="1" applyFont="1" applyFill="1" applyBorder="1" applyAlignment="1">
      <alignment horizontal="left" vertical="center" wrapText="1"/>
    </xf>
    <xf numFmtId="4" fontId="60" fillId="5" borderId="2" xfId="0" applyNumberFormat="1" applyFont="1" applyFill="1" applyBorder="1" applyAlignment="1">
      <alignment horizontal="center" vertical="center" wrapText="1"/>
    </xf>
    <xf numFmtId="3" fontId="60" fillId="5" borderId="2" xfId="0" applyNumberFormat="1" applyFont="1" applyFill="1" applyBorder="1" applyAlignment="1">
      <alignment horizontal="center" vertical="center" wrapText="1"/>
    </xf>
    <xf numFmtId="4" fontId="60" fillId="5" borderId="8" xfId="0" applyNumberFormat="1" applyFont="1" applyFill="1" applyBorder="1" applyAlignment="1">
      <alignment horizontal="center" vertical="center" wrapText="1"/>
    </xf>
    <xf numFmtId="4" fontId="60" fillId="5" borderId="10" xfId="0" applyNumberFormat="1" applyFont="1" applyFill="1" applyBorder="1" applyAlignment="1">
      <alignment horizontal="center" vertical="center" wrapText="1"/>
    </xf>
    <xf numFmtId="3" fontId="60" fillId="5" borderId="10" xfId="0" applyNumberFormat="1" applyFont="1" applyFill="1" applyBorder="1" applyAlignment="1">
      <alignment horizontal="center" vertical="center" wrapText="1"/>
    </xf>
    <xf numFmtId="3" fontId="63" fillId="5" borderId="11" xfId="0" applyNumberFormat="1" applyFont="1" applyFill="1" applyBorder="1" applyAlignment="1">
      <alignment horizontal="center" vertical="center" wrapText="1"/>
    </xf>
    <xf numFmtId="3" fontId="60" fillId="5" borderId="11" xfId="0" applyNumberFormat="1" applyFont="1" applyFill="1" applyBorder="1" applyAlignment="1">
      <alignment horizontal="center" vertical="center" wrapText="1"/>
    </xf>
    <xf numFmtId="3" fontId="60" fillId="5" borderId="20" xfId="0" applyNumberFormat="1" applyFont="1" applyFill="1" applyBorder="1" applyAlignment="1">
      <alignment horizontal="left" vertical="center" wrapText="1"/>
    </xf>
    <xf numFmtId="3" fontId="58" fillId="4" borderId="6" xfId="0" applyNumberFormat="1" applyFont="1" applyFill="1" applyBorder="1" applyAlignment="1">
      <alignment horizontal="left" vertical="center" wrapText="1"/>
    </xf>
    <xf numFmtId="4" fontId="58" fillId="4" borderId="5" xfId="0" applyNumberFormat="1" applyFont="1" applyFill="1" applyBorder="1" applyAlignment="1">
      <alignment horizontal="center" vertical="center" wrapText="1"/>
    </xf>
    <xf numFmtId="3" fontId="58" fillId="4" borderId="5" xfId="0" applyNumberFormat="1" applyFont="1" applyFill="1" applyBorder="1" applyAlignment="1">
      <alignment horizontal="center" vertical="center" wrapText="1"/>
    </xf>
    <xf numFmtId="171" fontId="63" fillId="5" borderId="4" xfId="1" applyNumberFormat="1" applyFont="1" applyFill="1" applyBorder="1" applyAlignment="1">
      <alignment horizontal="center" vertical="center" wrapText="1"/>
    </xf>
    <xf numFmtId="165" fontId="63" fillId="5" borderId="7" xfId="0" applyNumberFormat="1" applyFont="1" applyFill="1" applyBorder="1" applyAlignment="1">
      <alignment horizontal="center" vertical="center" wrapText="1"/>
    </xf>
    <xf numFmtId="171" fontId="60" fillId="5" borderId="7" xfId="1" applyNumberFormat="1" applyFont="1" applyFill="1" applyBorder="1" applyAlignment="1">
      <alignment horizontal="center" vertical="center" wrapText="1"/>
    </xf>
    <xf numFmtId="4" fontId="57" fillId="3" borderId="3" xfId="0" applyNumberFormat="1" applyFont="1" applyFill="1" applyBorder="1" applyAlignment="1">
      <alignment horizontal="left" vertical="center" wrapText="1"/>
    </xf>
    <xf numFmtId="4" fontId="57" fillId="3" borderId="2" xfId="0" applyNumberFormat="1" applyFont="1" applyFill="1" applyBorder="1" applyAlignment="1">
      <alignment horizontal="center" vertical="center" wrapText="1"/>
    </xf>
    <xf numFmtId="3" fontId="57" fillId="3" borderId="1" xfId="0" applyNumberFormat="1" applyFont="1" applyFill="1" applyBorder="1" applyAlignment="1">
      <alignment horizontal="center" vertical="center" wrapText="1"/>
    </xf>
    <xf numFmtId="4" fontId="60" fillId="5" borderId="9" xfId="0" applyNumberFormat="1" applyFont="1" applyFill="1" applyBorder="1" applyAlignment="1">
      <alignment horizontal="center" vertical="center" wrapText="1"/>
    </xf>
    <xf numFmtId="171" fontId="58" fillId="4" borderId="4" xfId="1" applyNumberFormat="1" applyFont="1" applyFill="1" applyBorder="1" applyAlignment="1">
      <alignment horizontal="center" vertical="center" wrapText="1"/>
    </xf>
    <xf numFmtId="4" fontId="58" fillId="4" borderId="7" xfId="0" applyNumberFormat="1" applyFont="1" applyFill="1" applyBorder="1" applyAlignment="1">
      <alignment horizontal="center" vertical="center" wrapText="1"/>
    </xf>
    <xf numFmtId="4" fontId="57" fillId="3" borderId="3" xfId="0" applyNumberFormat="1" applyFont="1" applyFill="1" applyBorder="1" applyAlignment="1">
      <alignment horizontal="center" vertical="center" wrapText="1"/>
    </xf>
    <xf numFmtId="3" fontId="58" fillId="4" borderId="4" xfId="0" quotePrefix="1" applyNumberFormat="1" applyFont="1" applyFill="1" applyBorder="1" applyAlignment="1">
      <alignment horizontal="center" vertical="center" wrapText="1"/>
    </xf>
    <xf numFmtId="3" fontId="58" fillId="4" borderId="7" xfId="0" quotePrefix="1" applyNumberFormat="1" applyFont="1" applyFill="1" applyBorder="1" applyAlignment="1">
      <alignment horizontal="center" vertical="center" wrapText="1"/>
    </xf>
    <xf numFmtId="3" fontId="22" fillId="16" borderId="0" xfId="0" applyNumberFormat="1" applyFont="1" applyFill="1" applyAlignment="1">
      <alignment horizontal="left" vertical="center" wrapText="1"/>
    </xf>
    <xf numFmtId="3" fontId="65" fillId="16" borderId="0" xfId="0" applyNumberFormat="1" applyFont="1" applyFill="1" applyAlignment="1">
      <alignment horizontal="center" vertical="center" wrapText="1"/>
    </xf>
    <xf numFmtId="165" fontId="22" fillId="16" borderId="0" xfId="0" applyNumberFormat="1" applyFont="1" applyFill="1" applyAlignment="1">
      <alignment horizontal="center" vertical="center" wrapText="1"/>
    </xf>
    <xf numFmtId="3" fontId="22" fillId="24" borderId="0" xfId="0" applyNumberFormat="1" applyFont="1" applyFill="1" applyAlignment="1">
      <alignment horizontal="left" vertical="center" wrapText="1"/>
    </xf>
    <xf numFmtId="3" fontId="65" fillId="24" borderId="0" xfId="0" applyNumberFormat="1" applyFont="1" applyFill="1" applyAlignment="1">
      <alignment horizontal="center" vertical="center" wrapText="1"/>
    </xf>
    <xf numFmtId="3" fontId="65" fillId="24" borderId="0" xfId="0" applyNumberFormat="1" applyFont="1" applyFill="1" applyAlignment="1">
      <alignment horizontal="left" vertical="center" wrapText="1"/>
    </xf>
    <xf numFmtId="165" fontId="65" fillId="24" borderId="0" xfId="0" applyNumberFormat="1" applyFont="1" applyFill="1" applyAlignment="1">
      <alignment horizontal="center" vertical="center" wrapText="1"/>
    </xf>
    <xf numFmtId="3" fontId="0" fillId="8" borderId="0" xfId="0" applyNumberFormat="1" applyFill="1" applyAlignment="1">
      <alignment horizontal="center" vertical="center" wrapText="1"/>
    </xf>
    <xf numFmtId="3" fontId="2" fillId="8" borderId="0" xfId="0" applyNumberFormat="1" applyFont="1" applyFill="1" applyAlignment="1">
      <alignment horizontal="center" vertical="center" wrapText="1"/>
    </xf>
    <xf numFmtId="3" fontId="18" fillId="9" borderId="0" xfId="0" applyNumberFormat="1" applyFont="1" applyFill="1" applyAlignment="1">
      <alignment horizontal="left" vertical="center" wrapText="1"/>
    </xf>
    <xf numFmtId="3" fontId="18" fillId="9" borderId="0" xfId="0" applyNumberFormat="1" applyFont="1" applyFill="1" applyAlignment="1">
      <alignment horizontal="center" vertical="center" wrapText="1"/>
    </xf>
    <xf numFmtId="171" fontId="22" fillId="16" borderId="0" xfId="1" applyNumberFormat="1" applyFont="1" applyFill="1" applyAlignment="1">
      <alignment horizontal="center" vertical="center" wrapText="1"/>
    </xf>
    <xf numFmtId="171" fontId="65" fillId="24" borderId="0" xfId="1" applyNumberFormat="1" applyFont="1" applyFill="1" applyAlignment="1">
      <alignment horizontal="center" vertical="center" wrapText="1"/>
    </xf>
    <xf numFmtId="3" fontId="1" fillId="15" borderId="0" xfId="0" applyNumberFormat="1" applyFont="1" applyFill="1" applyAlignment="1">
      <alignment horizontal="left" vertical="center" wrapText="1"/>
    </xf>
    <xf numFmtId="4" fontId="22" fillId="16" borderId="0" xfId="0" applyNumberFormat="1" applyFont="1" applyFill="1" applyAlignment="1">
      <alignment horizontal="center" vertical="center" wrapText="1"/>
    </xf>
    <xf numFmtId="4" fontId="65" fillId="24" borderId="0" xfId="0" applyNumberFormat="1" applyFont="1" applyFill="1" applyAlignment="1">
      <alignment horizontal="center" vertical="center" wrapText="1"/>
    </xf>
    <xf numFmtId="3" fontId="66" fillId="31" borderId="0" xfId="0" applyNumberFormat="1" applyFont="1" applyFill="1" applyAlignment="1">
      <alignment horizontal="center" vertical="center" wrapText="1"/>
    </xf>
    <xf numFmtId="3" fontId="66" fillId="31" borderId="0" xfId="0" applyNumberFormat="1" applyFont="1" applyFill="1" applyAlignment="1">
      <alignment horizontal="left" vertical="center" wrapText="1"/>
    </xf>
    <xf numFmtId="3" fontId="57" fillId="29" borderId="0" xfId="0" applyNumberFormat="1" applyFont="1" applyFill="1" applyAlignment="1">
      <alignment horizontal="center" vertical="center" wrapText="1"/>
    </xf>
    <xf numFmtId="3" fontId="67" fillId="31" borderId="0" xfId="0" applyNumberFormat="1" applyFont="1" applyFill="1" applyAlignment="1">
      <alignment horizontal="left" vertical="center" wrapText="1"/>
    </xf>
    <xf numFmtId="3" fontId="67" fillId="31" borderId="0" xfId="0" applyNumberFormat="1" applyFont="1" applyFill="1" applyAlignment="1">
      <alignment horizontal="center" vertical="center" wrapText="1"/>
    </xf>
    <xf numFmtId="3" fontId="68" fillId="32" borderId="0" xfId="0" applyNumberFormat="1" applyFont="1" applyFill="1" applyAlignment="1">
      <alignment horizontal="left" vertical="center" wrapText="1"/>
    </xf>
    <xf numFmtId="3" fontId="68" fillId="32" borderId="0" xfId="0" applyNumberFormat="1" applyFont="1" applyFill="1" applyAlignment="1">
      <alignment horizontal="center" vertical="center" wrapText="1"/>
    </xf>
    <xf numFmtId="165" fontId="66" fillId="31" borderId="0" xfId="0" applyNumberFormat="1" applyFont="1" applyFill="1" applyAlignment="1">
      <alignment horizontal="center" vertical="center" wrapText="1"/>
    </xf>
    <xf numFmtId="165" fontId="68" fillId="32" borderId="0" xfId="0" applyNumberFormat="1" applyFont="1" applyFill="1" applyAlignment="1">
      <alignment horizontal="center" vertical="center" wrapText="1"/>
    </xf>
    <xf numFmtId="165" fontId="67" fillId="31" borderId="0" xfId="0" applyNumberFormat="1" applyFont="1" applyFill="1" applyAlignment="1">
      <alignment horizontal="center" vertical="center" wrapText="1"/>
    </xf>
    <xf numFmtId="3" fontId="66" fillId="32" borderId="0" xfId="0" applyNumberFormat="1" applyFont="1" applyFill="1" applyAlignment="1">
      <alignment horizontal="left" vertical="center" wrapText="1"/>
    </xf>
    <xf numFmtId="165" fontId="66" fillId="32" borderId="0" xfId="0" applyNumberFormat="1" applyFont="1" applyFill="1" applyAlignment="1">
      <alignment horizontal="center" vertical="center" wrapText="1"/>
    </xf>
    <xf numFmtId="3" fontId="66" fillId="32" borderId="0" xfId="0" applyNumberFormat="1" applyFont="1" applyFill="1" applyAlignment="1">
      <alignment horizontal="center" vertical="center" wrapText="1"/>
    </xf>
    <xf numFmtId="3" fontId="67" fillId="32" borderId="0" xfId="0" applyNumberFormat="1" applyFont="1" applyFill="1" applyAlignment="1">
      <alignment horizontal="left" vertical="center" wrapText="1"/>
    </xf>
    <xf numFmtId="165" fontId="67" fillId="32" borderId="0" xfId="0" applyNumberFormat="1" applyFont="1" applyFill="1" applyAlignment="1">
      <alignment horizontal="center" vertical="center" wrapText="1"/>
    </xf>
    <xf numFmtId="3" fontId="67" fillId="32" borderId="0" xfId="0" applyNumberFormat="1" applyFont="1" applyFill="1" applyAlignment="1">
      <alignment horizontal="center" vertical="center" wrapText="1"/>
    </xf>
    <xf numFmtId="3" fontId="32" fillId="30" borderId="0" xfId="0" applyNumberFormat="1" applyFont="1" applyFill="1" applyAlignment="1">
      <alignment horizontal="center" vertical="center" wrapText="1"/>
    </xf>
    <xf numFmtId="4" fontId="66" fillId="31" borderId="0" xfId="0" applyNumberFormat="1" applyFont="1" applyFill="1" applyAlignment="1">
      <alignment horizontal="center" vertical="center" wrapText="1"/>
    </xf>
    <xf numFmtId="3" fontId="69" fillId="31" borderId="0" xfId="0" applyNumberFormat="1" applyFont="1" applyFill="1" applyAlignment="1">
      <alignment horizontal="center" vertical="center" wrapText="1"/>
    </xf>
    <xf numFmtId="4" fontId="69" fillId="31" borderId="0" xfId="0" applyNumberFormat="1" applyFont="1" applyFill="1" applyAlignment="1">
      <alignment horizontal="center" vertical="center" wrapText="1"/>
    </xf>
    <xf numFmtId="3" fontId="70" fillId="32" borderId="0" xfId="0" applyNumberFormat="1" applyFont="1" applyFill="1" applyAlignment="1">
      <alignment horizontal="center" vertical="center" wrapText="1"/>
    </xf>
    <xf numFmtId="4" fontId="67" fillId="32" borderId="0" xfId="0" applyNumberFormat="1" applyFont="1" applyFill="1" applyAlignment="1">
      <alignment horizontal="center" vertical="center" wrapText="1"/>
    </xf>
    <xf numFmtId="3" fontId="32" fillId="30" borderId="0" xfId="0" applyNumberFormat="1" applyFont="1" applyFill="1" applyAlignment="1">
      <alignment horizontal="center" vertical="center" wrapText="1"/>
    </xf>
    <xf numFmtId="3" fontId="0" fillId="2" borderId="0" xfId="0" applyNumberFormat="1" applyFont="1" applyFill="1" applyAlignment="1">
      <alignment horizontal="center" vertical="center" wrapText="1"/>
    </xf>
    <xf numFmtId="3" fontId="18" fillId="8" borderId="0" xfId="0" applyNumberFormat="1" applyFont="1" applyFill="1" applyAlignment="1">
      <alignment horizontal="center" vertical="center" wrapText="1"/>
    </xf>
    <xf numFmtId="3" fontId="32" fillId="30" borderId="0" xfId="0" applyNumberFormat="1" applyFont="1" applyFill="1" applyAlignment="1">
      <alignment horizontal="center" vertical="center" wrapText="1"/>
    </xf>
    <xf numFmtId="166" fontId="66" fillId="31" borderId="0" xfId="0" applyNumberFormat="1" applyFont="1" applyFill="1" applyAlignment="1">
      <alignment horizontal="center" vertical="center" wrapText="1"/>
    </xf>
    <xf numFmtId="173" fontId="66" fillId="31" borderId="0" xfId="0" applyNumberFormat="1" applyFont="1" applyFill="1" applyAlignment="1">
      <alignment horizontal="center" vertical="center" wrapText="1"/>
    </xf>
    <xf numFmtId="172" fontId="66" fillId="31" borderId="0" xfId="0" applyNumberFormat="1" applyFont="1" applyFill="1" applyAlignment="1">
      <alignment horizontal="center" vertical="center" wrapText="1"/>
    </xf>
    <xf numFmtId="172" fontId="32" fillId="30" borderId="0" xfId="0" applyNumberFormat="1" applyFont="1" applyFill="1" applyAlignment="1">
      <alignment horizontal="center" vertical="center" wrapText="1"/>
    </xf>
    <xf numFmtId="10" fontId="66" fillId="31" borderId="0" xfId="1" applyNumberFormat="1" applyFont="1" applyFill="1" applyAlignment="1">
      <alignment horizontal="center" vertical="center" wrapText="1"/>
    </xf>
    <xf numFmtId="166" fontId="67" fillId="32" borderId="0" xfId="0" applyNumberFormat="1" applyFont="1" applyFill="1" applyAlignment="1">
      <alignment horizontal="center" vertical="center" wrapText="1"/>
    </xf>
    <xf numFmtId="172" fontId="67" fillId="32" borderId="0" xfId="0" applyNumberFormat="1" applyFont="1" applyFill="1" applyAlignment="1">
      <alignment horizontal="center" vertical="center" wrapText="1"/>
    </xf>
    <xf numFmtId="173" fontId="67" fillId="32" borderId="0" xfId="0" applyNumberFormat="1" applyFont="1" applyFill="1" applyAlignment="1">
      <alignment horizontal="center" vertical="center" wrapText="1"/>
    </xf>
    <xf numFmtId="10" fontId="67" fillId="32" borderId="0" xfId="1" applyNumberFormat="1" applyFont="1" applyFill="1" applyAlignment="1">
      <alignment horizontal="center" vertical="center" wrapText="1"/>
    </xf>
    <xf numFmtId="3" fontId="32" fillId="30" borderId="0" xfId="0" applyNumberFormat="1" applyFont="1" applyFill="1" applyAlignment="1">
      <alignment horizontal="center" vertical="center" wrapText="1"/>
    </xf>
    <xf numFmtId="173" fontId="32" fillId="30" borderId="0" xfId="0" applyNumberFormat="1" applyFont="1" applyFill="1" applyAlignment="1">
      <alignment horizontal="center" vertical="center" wrapText="1"/>
    </xf>
    <xf numFmtId="3" fontId="32" fillId="2" borderId="0" xfId="0" applyNumberFormat="1" applyFont="1" applyFill="1" applyAlignment="1">
      <alignment horizontal="center" vertical="center" wrapText="1"/>
    </xf>
    <xf numFmtId="3" fontId="66" fillId="2" borderId="0" xfId="0" applyNumberFormat="1" applyFont="1" applyFill="1" applyAlignment="1">
      <alignment horizontal="center" vertical="center" wrapText="1"/>
    </xf>
    <xf numFmtId="10" fontId="66" fillId="2" borderId="0" xfId="1" applyNumberFormat="1" applyFont="1" applyFill="1" applyAlignment="1">
      <alignment horizontal="center" vertical="center" wrapText="1"/>
    </xf>
    <xf numFmtId="10" fontId="67" fillId="2" borderId="0" xfId="1" applyNumberFormat="1" applyFont="1" applyFill="1" applyAlignment="1">
      <alignment horizontal="center" vertical="center" wrapText="1"/>
    </xf>
    <xf numFmtId="3" fontId="1" fillId="7" borderId="0" xfId="0" applyNumberFormat="1" applyFont="1" applyFill="1" applyAlignment="1">
      <alignment horizontal="center" vertical="center" wrapText="1"/>
    </xf>
    <xf numFmtId="3" fontId="5" fillId="7" borderId="0" xfId="0" applyNumberFormat="1" applyFont="1" applyFill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67" fontId="18" fillId="14" borderId="0" xfId="0" applyNumberFormat="1" applyFont="1" applyFill="1" applyAlignment="1">
      <alignment horizontal="center" vertical="center" wrapText="1"/>
    </xf>
    <xf numFmtId="3" fontId="2" fillId="12" borderId="0" xfId="0" applyNumberFormat="1" applyFont="1" applyFill="1" applyAlignment="1">
      <alignment horizontal="center" vertical="center" wrapText="1"/>
    </xf>
    <xf numFmtId="3" fontId="19" fillId="12" borderId="0" xfId="0" applyNumberFormat="1" applyFont="1" applyFill="1" applyAlignment="1">
      <alignment horizontal="center" vertical="center" wrapText="1"/>
    </xf>
    <xf numFmtId="3" fontId="18" fillId="13" borderId="0" xfId="0" applyNumberFormat="1" applyFont="1" applyFill="1" applyAlignment="1">
      <alignment horizontal="left" vertical="center" wrapText="1"/>
    </xf>
    <xf numFmtId="4" fontId="0" fillId="11" borderId="0" xfId="0" applyNumberFormat="1" applyFill="1" applyAlignment="1">
      <alignment horizontal="left" vertical="center" wrapText="1"/>
    </xf>
    <xf numFmtId="3" fontId="18" fillId="13" borderId="0" xfId="0" applyNumberFormat="1" applyFont="1" applyFill="1" applyAlignment="1">
      <alignment horizontal="center" vertical="center" wrapText="1"/>
    </xf>
    <xf numFmtId="3" fontId="2" fillId="11" borderId="5" xfId="0" applyNumberFormat="1" applyFont="1" applyFill="1" applyBorder="1" applyAlignment="1">
      <alignment horizontal="center" vertical="center" wrapText="1"/>
    </xf>
    <xf numFmtId="3" fontId="2" fillId="11" borderId="4" xfId="0" applyNumberFormat="1" applyFont="1" applyFill="1" applyBorder="1" applyAlignment="1">
      <alignment horizontal="center" vertical="center" wrapText="1"/>
    </xf>
    <xf numFmtId="3" fontId="2" fillId="11" borderId="2" xfId="0" applyNumberFormat="1" applyFont="1" applyFill="1" applyBorder="1" applyAlignment="1">
      <alignment horizontal="center" vertical="center" wrapText="1"/>
    </xf>
    <xf numFmtId="3" fontId="2" fillId="11" borderId="1" xfId="0" applyNumberFormat="1" applyFont="1" applyFill="1" applyBorder="1" applyAlignment="1">
      <alignment horizontal="center" vertical="center" wrapText="1"/>
    </xf>
    <xf numFmtId="3" fontId="2" fillId="11" borderId="0" xfId="0" applyNumberFormat="1" applyFont="1" applyFill="1" applyBorder="1" applyAlignment="1">
      <alignment horizontal="center" vertical="center" wrapText="1"/>
    </xf>
    <xf numFmtId="3" fontId="2" fillId="11" borderId="7" xfId="0" applyNumberFormat="1" applyFont="1" applyFill="1" applyBorder="1" applyAlignment="1">
      <alignment horizontal="center" vertical="center" wrapText="1"/>
    </xf>
    <xf numFmtId="9" fontId="24" fillId="17" borderId="0" xfId="0" applyNumberFormat="1" applyFont="1" applyFill="1" applyBorder="1" applyAlignment="1">
      <alignment horizontal="center" vertical="center"/>
    </xf>
    <xf numFmtId="3" fontId="24" fillId="17" borderId="0" xfId="0" applyNumberFormat="1" applyFont="1" applyFill="1" applyBorder="1" applyAlignment="1">
      <alignment horizontal="center" vertical="center"/>
    </xf>
    <xf numFmtId="3" fontId="2" fillId="11" borderId="10" xfId="0" applyNumberFormat="1" applyFont="1" applyFill="1" applyBorder="1" applyAlignment="1">
      <alignment horizontal="center" vertical="center" wrapText="1"/>
    </xf>
    <xf numFmtId="3" fontId="2" fillId="11" borderId="11" xfId="0" applyNumberFormat="1" applyFont="1" applyFill="1" applyBorder="1" applyAlignment="1">
      <alignment horizontal="center" vertical="center" wrapText="1"/>
    </xf>
    <xf numFmtId="3" fontId="0" fillId="11" borderId="0" xfId="0" applyNumberFormat="1" applyFill="1" applyAlignment="1">
      <alignment horizontal="center" vertical="center" wrapText="1"/>
    </xf>
    <xf numFmtId="3" fontId="32" fillId="18" borderId="6" xfId="0" applyNumberFormat="1" applyFont="1" applyFill="1" applyBorder="1" applyAlignment="1">
      <alignment horizontal="center" vertical="center" wrapText="1"/>
    </xf>
    <xf numFmtId="3" fontId="32" fillId="18" borderId="4" xfId="0" applyNumberFormat="1" applyFont="1" applyFill="1" applyBorder="1" applyAlignment="1">
      <alignment horizontal="center" vertical="center" wrapText="1"/>
    </xf>
    <xf numFmtId="3" fontId="32" fillId="18" borderId="5" xfId="0" applyNumberFormat="1" applyFont="1" applyFill="1" applyBorder="1" applyAlignment="1">
      <alignment horizontal="center" vertical="center" wrapText="1"/>
    </xf>
    <xf numFmtId="3" fontId="1" fillId="19" borderId="0" xfId="0" applyNumberFormat="1" applyFont="1" applyFill="1" applyAlignment="1">
      <alignment horizontal="center" vertical="center" wrapText="1"/>
    </xf>
    <xf numFmtId="3" fontId="38" fillId="21" borderId="6" xfId="0" applyNumberFormat="1" applyFont="1" applyFill="1" applyBorder="1" applyAlignment="1">
      <alignment horizontal="left" vertical="center" wrapText="1"/>
    </xf>
    <xf numFmtId="3" fontId="38" fillId="21" borderId="5" xfId="0" applyNumberFormat="1" applyFont="1" applyFill="1" applyBorder="1" applyAlignment="1">
      <alignment horizontal="left" vertical="center" wrapText="1"/>
    </xf>
    <xf numFmtId="3" fontId="32" fillId="20" borderId="0" xfId="0" applyNumberFormat="1" applyFont="1" applyFill="1" applyAlignment="1">
      <alignment horizontal="center" vertical="center" wrapText="1"/>
    </xf>
    <xf numFmtId="0" fontId="40" fillId="20" borderId="8" xfId="0" applyFont="1" applyFill="1" applyBorder="1" applyAlignment="1">
      <alignment horizontal="center" vertical="center" wrapText="1"/>
    </xf>
    <xf numFmtId="0" fontId="40" fillId="20" borderId="0" xfId="0" applyFont="1" applyFill="1" applyBorder="1" applyAlignment="1">
      <alignment horizontal="center" vertical="center" wrapText="1"/>
    </xf>
    <xf numFmtId="3" fontId="38" fillId="21" borderId="8" xfId="0" applyNumberFormat="1" applyFont="1" applyFill="1" applyBorder="1" applyAlignment="1">
      <alignment horizontal="left" vertical="center" wrapText="1"/>
    </xf>
    <xf numFmtId="3" fontId="38" fillId="21" borderId="0" xfId="0" applyNumberFormat="1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41" fillId="20" borderId="6" xfId="0" applyFont="1" applyFill="1" applyBorder="1" applyAlignment="1">
      <alignment horizontal="center" vertical="center" wrapText="1"/>
    </xf>
    <xf numFmtId="0" fontId="41" fillId="20" borderId="5" xfId="0" applyFont="1" applyFill="1" applyBorder="1" applyAlignment="1">
      <alignment horizontal="center" vertical="center" wrapText="1"/>
    </xf>
    <xf numFmtId="0" fontId="41" fillId="20" borderId="4" xfId="0" applyFont="1" applyFill="1" applyBorder="1" applyAlignment="1">
      <alignment horizontal="center" vertical="center" wrapText="1"/>
    </xf>
    <xf numFmtId="0" fontId="41" fillId="20" borderId="8" xfId="0" applyFont="1" applyFill="1" applyBorder="1" applyAlignment="1">
      <alignment horizontal="center" vertical="center" wrapText="1"/>
    </xf>
    <xf numFmtId="3" fontId="24" fillId="2" borderId="9" xfId="0" applyNumberFormat="1" applyFont="1" applyFill="1" applyBorder="1" applyAlignment="1">
      <alignment horizontal="center" vertical="center" wrapText="1"/>
    </xf>
    <xf numFmtId="3" fontId="24" fillId="2" borderId="11" xfId="0" applyNumberFormat="1" applyFont="1" applyFill="1" applyBorder="1" applyAlignment="1">
      <alignment horizontal="center"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32" fillId="20" borderId="6" xfId="0" applyNumberFormat="1" applyFont="1" applyFill="1" applyBorder="1" applyAlignment="1">
      <alignment horizontal="center" vertical="center" wrapText="1"/>
    </xf>
    <xf numFmtId="3" fontId="32" fillId="20" borderId="8" xfId="0" applyNumberFormat="1" applyFont="1" applyFill="1" applyBorder="1" applyAlignment="1">
      <alignment horizontal="center" vertical="center" wrapText="1"/>
    </xf>
    <xf numFmtId="3" fontId="60" fillId="5" borderId="0" xfId="0" applyNumberFormat="1" applyFont="1" applyFill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center" vertical="center" wrapText="1"/>
    </xf>
    <xf numFmtId="3" fontId="4" fillId="5" borderId="7" xfId="0" applyNumberFormat="1" applyFont="1" applyFill="1" applyBorder="1" applyAlignment="1">
      <alignment horizontal="center" vertical="center" wrapText="1"/>
    </xf>
    <xf numFmtId="3" fontId="32" fillId="3" borderId="0" xfId="0" applyNumberFormat="1" applyFont="1" applyFill="1" applyAlignment="1">
      <alignment horizontal="center" vertical="center" wrapText="1"/>
    </xf>
    <xf numFmtId="3" fontId="58" fillId="4" borderId="0" xfId="0" applyNumberFormat="1" applyFont="1" applyFill="1" applyAlignment="1">
      <alignment horizontal="left" vertical="center" wrapText="1"/>
    </xf>
    <xf numFmtId="4" fontId="60" fillId="28" borderId="0" xfId="0" applyNumberFormat="1" applyFont="1" applyFill="1" applyAlignment="1">
      <alignment horizontal="center" vertical="center" wrapText="1"/>
    </xf>
    <xf numFmtId="3" fontId="57" fillId="25" borderId="0" xfId="0" applyNumberFormat="1" applyFont="1" applyFill="1" applyAlignment="1">
      <alignment horizontal="center" vertical="center" wrapText="1"/>
    </xf>
    <xf numFmtId="0" fontId="24" fillId="27" borderId="0" xfId="0" applyFont="1" applyFill="1" applyAlignment="1">
      <alignment horizontal="center" vertical="center" wrapText="1"/>
    </xf>
    <xf numFmtId="3" fontId="32" fillId="3" borderId="6" xfId="0" applyNumberFormat="1" applyFont="1" applyFill="1" applyBorder="1" applyAlignment="1">
      <alignment horizontal="center" vertical="center" wrapText="1"/>
    </xf>
    <xf numFmtId="3" fontId="32" fillId="3" borderId="4" xfId="0" applyNumberFormat="1" applyFont="1" applyFill="1" applyBorder="1" applyAlignment="1">
      <alignment horizontal="center" vertical="center" wrapText="1"/>
    </xf>
    <xf numFmtId="3" fontId="1" fillId="15" borderId="0" xfId="0" applyNumberFormat="1" applyFont="1" applyFill="1" applyAlignment="1">
      <alignment vertical="center" wrapText="1"/>
    </xf>
    <xf numFmtId="3" fontId="1" fillId="15" borderId="0" xfId="0" applyNumberFormat="1" applyFont="1" applyFill="1" applyAlignment="1">
      <alignment horizontal="center" vertical="center" wrapText="1"/>
    </xf>
    <xf numFmtId="3" fontId="22" fillId="16" borderId="0" xfId="0" applyNumberFormat="1" applyFont="1" applyFill="1" applyAlignment="1">
      <alignment horizontal="left" vertical="center" wrapText="1"/>
    </xf>
    <xf numFmtId="3" fontId="32" fillId="30" borderId="0" xfId="0" applyNumberFormat="1" applyFont="1" applyFill="1" applyAlignment="1">
      <alignment horizontal="center" vertical="center" wrapText="1"/>
    </xf>
    <xf numFmtId="3" fontId="57" fillId="30" borderId="0" xfId="0" applyNumberFormat="1" applyFont="1" applyFill="1" applyAlignment="1">
      <alignment horizontal="left" vertical="center" wrapText="1"/>
    </xf>
    <xf numFmtId="3" fontId="57" fillId="30" borderId="0" xfId="0" applyNumberFormat="1" applyFont="1" applyFill="1" applyAlignment="1">
      <alignment horizontal="center" vertical="center" wrapText="1"/>
    </xf>
    <xf numFmtId="3" fontId="32" fillId="30" borderId="0" xfId="0" applyNumberFormat="1" applyFont="1" applyFill="1" applyAlignment="1">
      <alignment horizontal="left" vertical="center" wrapText="1"/>
    </xf>
    <xf numFmtId="3" fontId="71" fillId="30" borderId="0" xfId="0" applyNumberFormat="1" applyFont="1" applyFill="1" applyAlignment="1">
      <alignment horizontal="center" vertical="center" wrapText="1"/>
    </xf>
    <xf numFmtId="3" fontId="72" fillId="32" borderId="0" xfId="0" applyNumberFormat="1" applyFont="1" applyFill="1" applyAlignment="1">
      <alignment horizontal="center" vertical="center" wrapText="1"/>
    </xf>
    <xf numFmtId="3" fontId="72" fillId="32" borderId="0" xfId="0" applyNumberFormat="1" applyFont="1" applyFill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'OKI PRODUCTS'!$D$2</c:f>
              <c:strCache>
                <c:ptCount val="1"/>
                <c:pt idx="0">
                  <c:v>CUSTO DE PROCESSAMENTO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8405183727034122"/>
                  <c:y val="-0.162453703703703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'OKI PRODUCTS'!$C$3:$C$17</c:f>
              <c:numCache>
                <c:formatCode>#,##0</c:formatCode>
                <c:ptCount val="15"/>
                <c:pt idx="0">
                  <c:v>4500</c:v>
                </c:pt>
                <c:pt idx="1">
                  <c:v>11000</c:v>
                </c:pt>
                <c:pt idx="2">
                  <c:v>12000</c:v>
                </c:pt>
                <c:pt idx="3">
                  <c:v>5500</c:v>
                </c:pt>
                <c:pt idx="4">
                  <c:v>9000</c:v>
                </c:pt>
                <c:pt idx="5">
                  <c:v>10500</c:v>
                </c:pt>
                <c:pt idx="6">
                  <c:v>7500</c:v>
                </c:pt>
                <c:pt idx="7">
                  <c:v>5000</c:v>
                </c:pt>
                <c:pt idx="8">
                  <c:v>11500</c:v>
                </c:pt>
                <c:pt idx="9">
                  <c:v>6000</c:v>
                </c:pt>
                <c:pt idx="10">
                  <c:v>8500</c:v>
                </c:pt>
                <c:pt idx="11">
                  <c:v>10000</c:v>
                </c:pt>
                <c:pt idx="12">
                  <c:v>6500</c:v>
                </c:pt>
                <c:pt idx="13">
                  <c:v>9500</c:v>
                </c:pt>
                <c:pt idx="14">
                  <c:v>8000</c:v>
                </c:pt>
              </c:numCache>
            </c:numRef>
          </c:xVal>
          <c:yVal>
            <c:numRef>
              <c:f>'OKI PRODUCTS'!$D$3:$D$17</c:f>
              <c:numCache>
                <c:formatCode>#,##0</c:formatCode>
                <c:ptCount val="15"/>
                <c:pt idx="0">
                  <c:v>38000</c:v>
                </c:pt>
                <c:pt idx="1">
                  <c:v>52000</c:v>
                </c:pt>
                <c:pt idx="2">
                  <c:v>56000</c:v>
                </c:pt>
                <c:pt idx="3">
                  <c:v>40000</c:v>
                </c:pt>
                <c:pt idx="4">
                  <c:v>47000</c:v>
                </c:pt>
                <c:pt idx="5">
                  <c:v>52000</c:v>
                </c:pt>
                <c:pt idx="6">
                  <c:v>44000</c:v>
                </c:pt>
                <c:pt idx="7">
                  <c:v>41000</c:v>
                </c:pt>
                <c:pt idx="8">
                  <c:v>52000</c:v>
                </c:pt>
                <c:pt idx="9">
                  <c:v>43000</c:v>
                </c:pt>
                <c:pt idx="10">
                  <c:v>48000</c:v>
                </c:pt>
                <c:pt idx="11">
                  <c:v>50000</c:v>
                </c:pt>
                <c:pt idx="12">
                  <c:v>44000</c:v>
                </c:pt>
                <c:pt idx="13">
                  <c:v>48000</c:v>
                </c:pt>
                <c:pt idx="14">
                  <c:v>46000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65-45BA-B45F-90880329D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895488"/>
        <c:axId val="981893312"/>
      </c:scatterChart>
      <c:valAx>
        <c:axId val="981895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1893312"/>
        <c:crosses val="autoZero"/>
        <c:crossBetween val="midCat"/>
      </c:valAx>
      <c:valAx>
        <c:axId val="98189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1895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'MILDEN CONPANY'!$E$2</c:f>
              <c:strCache>
                <c:ptCount val="1"/>
                <c:pt idx="0">
                  <c:v>DESPESAS DE TRANSPORTE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0935301837270351"/>
                  <c:y val="-0.187587489063867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xVal>
            <c:numRef>
              <c:f>'MILDEN CONPANY'!$D$3:$D$10</c:f>
              <c:numCache>
                <c:formatCode>#,##0</c:formatCode>
                <c:ptCount val="8"/>
                <c:pt idx="0">
                  <c:v>10000</c:v>
                </c:pt>
                <c:pt idx="1">
                  <c:v>16000</c:v>
                </c:pt>
                <c:pt idx="2">
                  <c:v>18000</c:v>
                </c:pt>
                <c:pt idx="3">
                  <c:v>15000</c:v>
                </c:pt>
                <c:pt idx="4">
                  <c:v>11000</c:v>
                </c:pt>
                <c:pt idx="5">
                  <c:v>17000</c:v>
                </c:pt>
                <c:pt idx="6">
                  <c:v>20000</c:v>
                </c:pt>
                <c:pt idx="7">
                  <c:v>13000</c:v>
                </c:pt>
              </c:numCache>
            </c:numRef>
          </c:xVal>
          <c:yVal>
            <c:numRef>
              <c:f>'MILDEN CONPANY'!$E$3:$E$10</c:f>
              <c:numCache>
                <c:formatCode>#,##0</c:formatCode>
                <c:ptCount val="8"/>
                <c:pt idx="0">
                  <c:v>119000</c:v>
                </c:pt>
                <c:pt idx="1">
                  <c:v>175000</c:v>
                </c:pt>
                <c:pt idx="2">
                  <c:v>190000</c:v>
                </c:pt>
                <c:pt idx="3">
                  <c:v>164000</c:v>
                </c:pt>
                <c:pt idx="4">
                  <c:v>130000</c:v>
                </c:pt>
                <c:pt idx="5">
                  <c:v>185000</c:v>
                </c:pt>
                <c:pt idx="6">
                  <c:v>210000</c:v>
                </c:pt>
                <c:pt idx="7">
                  <c:v>147000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7A-4D5D-A6A3-BF60FB95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896576"/>
        <c:axId val="981894400"/>
      </c:scatterChart>
      <c:valAx>
        <c:axId val="981896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1894400"/>
        <c:crosses val="autoZero"/>
        <c:crossBetween val="midCat"/>
      </c:valAx>
      <c:valAx>
        <c:axId val="98189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1896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'SOFTWARE SOLUTION'!$M$18</c:f>
              <c:strCache>
                <c:ptCount val="1"/>
                <c:pt idx="0">
                  <c:v>LUCRO OPERAC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'SOFTWARE SOLUTION'!$L$19:$L$227</c:f>
              <c:numCache>
                <c:formatCode>#,##0</c:formatCode>
                <c:ptCount val="209"/>
                <c:pt idx="0">
                  <c:v>25</c:v>
                </c:pt>
                <c:pt idx="1">
                  <c:v>24.95</c:v>
                </c:pt>
                <c:pt idx="2">
                  <c:v>24.9</c:v>
                </c:pt>
                <c:pt idx="3">
                  <c:v>24.849999999999998</c:v>
                </c:pt>
                <c:pt idx="4">
                  <c:v>24.799999999999997</c:v>
                </c:pt>
                <c:pt idx="5">
                  <c:v>24.749999999999996</c:v>
                </c:pt>
                <c:pt idx="6">
                  <c:v>24.699999999999996</c:v>
                </c:pt>
                <c:pt idx="7">
                  <c:v>24.649999999999995</c:v>
                </c:pt>
                <c:pt idx="8">
                  <c:v>24.599999999999994</c:v>
                </c:pt>
                <c:pt idx="9">
                  <c:v>24.549999999999994</c:v>
                </c:pt>
                <c:pt idx="10">
                  <c:v>24.499999999999993</c:v>
                </c:pt>
                <c:pt idx="11">
                  <c:v>24.449999999999992</c:v>
                </c:pt>
                <c:pt idx="12">
                  <c:v>24.399999999999991</c:v>
                </c:pt>
                <c:pt idx="13">
                  <c:v>24.349999999999991</c:v>
                </c:pt>
                <c:pt idx="14">
                  <c:v>24.29999999999999</c:v>
                </c:pt>
                <c:pt idx="15">
                  <c:v>24.249999999999989</c:v>
                </c:pt>
                <c:pt idx="16">
                  <c:v>24.199999999999989</c:v>
                </c:pt>
                <c:pt idx="17">
                  <c:v>24.149999999999988</c:v>
                </c:pt>
                <c:pt idx="18">
                  <c:v>24.099999999999987</c:v>
                </c:pt>
                <c:pt idx="19">
                  <c:v>24.049999999999986</c:v>
                </c:pt>
                <c:pt idx="20">
                  <c:v>23.999999999999986</c:v>
                </c:pt>
                <c:pt idx="21">
                  <c:v>23.949999999999985</c:v>
                </c:pt>
                <c:pt idx="22">
                  <c:v>23.899999999999984</c:v>
                </c:pt>
                <c:pt idx="23">
                  <c:v>23.849999999999984</c:v>
                </c:pt>
                <c:pt idx="24">
                  <c:v>23.799999999999983</c:v>
                </c:pt>
                <c:pt idx="25">
                  <c:v>23.749999999999982</c:v>
                </c:pt>
                <c:pt idx="26">
                  <c:v>23.699999999999982</c:v>
                </c:pt>
                <c:pt idx="27">
                  <c:v>23.649999999999981</c:v>
                </c:pt>
                <c:pt idx="28">
                  <c:v>23.59999999999998</c:v>
                </c:pt>
                <c:pt idx="29">
                  <c:v>23.549999999999979</c:v>
                </c:pt>
                <c:pt idx="30">
                  <c:v>23.499999999999979</c:v>
                </c:pt>
                <c:pt idx="31">
                  <c:v>23.449999999999978</c:v>
                </c:pt>
                <c:pt idx="32">
                  <c:v>23.399999999999977</c:v>
                </c:pt>
                <c:pt idx="33">
                  <c:v>23.349999999999977</c:v>
                </c:pt>
                <c:pt idx="34">
                  <c:v>23.299999999999976</c:v>
                </c:pt>
                <c:pt idx="35">
                  <c:v>23.249999999999975</c:v>
                </c:pt>
                <c:pt idx="36">
                  <c:v>23.199999999999974</c:v>
                </c:pt>
                <c:pt idx="37">
                  <c:v>23.149999999999974</c:v>
                </c:pt>
                <c:pt idx="38">
                  <c:v>23.099999999999973</c:v>
                </c:pt>
                <c:pt idx="39">
                  <c:v>23.049999999999972</c:v>
                </c:pt>
                <c:pt idx="40">
                  <c:v>22.999999999999972</c:v>
                </c:pt>
                <c:pt idx="41">
                  <c:v>22.949999999999971</c:v>
                </c:pt>
                <c:pt idx="42">
                  <c:v>22.89999999999997</c:v>
                </c:pt>
                <c:pt idx="43">
                  <c:v>22.849999999999969</c:v>
                </c:pt>
                <c:pt idx="44">
                  <c:v>22.799999999999969</c:v>
                </c:pt>
                <c:pt idx="45">
                  <c:v>22.749999999999968</c:v>
                </c:pt>
                <c:pt idx="46">
                  <c:v>22.699999999999967</c:v>
                </c:pt>
                <c:pt idx="47">
                  <c:v>22.649999999999967</c:v>
                </c:pt>
                <c:pt idx="48">
                  <c:v>22.599999999999966</c:v>
                </c:pt>
                <c:pt idx="49">
                  <c:v>22.549999999999965</c:v>
                </c:pt>
                <c:pt idx="50">
                  <c:v>22.499999999999964</c:v>
                </c:pt>
                <c:pt idx="51">
                  <c:v>22.449999999999964</c:v>
                </c:pt>
                <c:pt idx="52">
                  <c:v>22.399999999999963</c:v>
                </c:pt>
                <c:pt idx="53">
                  <c:v>22.349999999999962</c:v>
                </c:pt>
                <c:pt idx="54">
                  <c:v>22.299999999999962</c:v>
                </c:pt>
                <c:pt idx="55">
                  <c:v>22.249999999999961</c:v>
                </c:pt>
                <c:pt idx="56">
                  <c:v>22.19999999999996</c:v>
                </c:pt>
                <c:pt idx="57">
                  <c:v>22.149999999999959</c:v>
                </c:pt>
                <c:pt idx="58">
                  <c:v>22.099999999999959</c:v>
                </c:pt>
                <c:pt idx="59">
                  <c:v>22.049999999999958</c:v>
                </c:pt>
                <c:pt idx="60">
                  <c:v>21.999999999999957</c:v>
                </c:pt>
                <c:pt idx="61">
                  <c:v>21.949999999999957</c:v>
                </c:pt>
                <c:pt idx="62">
                  <c:v>21.899999999999956</c:v>
                </c:pt>
                <c:pt idx="63">
                  <c:v>21.849999999999955</c:v>
                </c:pt>
                <c:pt idx="64">
                  <c:v>21.799999999999955</c:v>
                </c:pt>
                <c:pt idx="65">
                  <c:v>21.749999999999954</c:v>
                </c:pt>
                <c:pt idx="66">
                  <c:v>21.699999999999953</c:v>
                </c:pt>
                <c:pt idx="67">
                  <c:v>21.649999999999952</c:v>
                </c:pt>
                <c:pt idx="68">
                  <c:v>21.599999999999952</c:v>
                </c:pt>
                <c:pt idx="69">
                  <c:v>21.549999999999951</c:v>
                </c:pt>
                <c:pt idx="70">
                  <c:v>21.49999999999995</c:v>
                </c:pt>
                <c:pt idx="71">
                  <c:v>21.44999999999995</c:v>
                </c:pt>
                <c:pt idx="72">
                  <c:v>21.399999999999949</c:v>
                </c:pt>
                <c:pt idx="73">
                  <c:v>21.349999999999948</c:v>
                </c:pt>
                <c:pt idx="74">
                  <c:v>21.299999999999947</c:v>
                </c:pt>
                <c:pt idx="75">
                  <c:v>21.249999999999947</c:v>
                </c:pt>
                <c:pt idx="76">
                  <c:v>21.199999999999946</c:v>
                </c:pt>
                <c:pt idx="77">
                  <c:v>21.149999999999945</c:v>
                </c:pt>
                <c:pt idx="78">
                  <c:v>21.099999999999945</c:v>
                </c:pt>
                <c:pt idx="79">
                  <c:v>21.049999999999944</c:v>
                </c:pt>
                <c:pt idx="80">
                  <c:v>20.999999999999943</c:v>
                </c:pt>
                <c:pt idx="81">
                  <c:v>20.949999999999942</c:v>
                </c:pt>
                <c:pt idx="82">
                  <c:v>20.899999999999942</c:v>
                </c:pt>
                <c:pt idx="83">
                  <c:v>20.849999999999941</c:v>
                </c:pt>
                <c:pt idx="84">
                  <c:v>20.79999999999994</c:v>
                </c:pt>
                <c:pt idx="85">
                  <c:v>20.74999999999994</c:v>
                </c:pt>
                <c:pt idx="86">
                  <c:v>20.699999999999939</c:v>
                </c:pt>
                <c:pt idx="87">
                  <c:v>20.649999999999938</c:v>
                </c:pt>
                <c:pt idx="88">
                  <c:v>20.599999999999937</c:v>
                </c:pt>
                <c:pt idx="89">
                  <c:v>20.549999999999937</c:v>
                </c:pt>
                <c:pt idx="90">
                  <c:v>20.499999999999936</c:v>
                </c:pt>
                <c:pt idx="91">
                  <c:v>20.449999999999935</c:v>
                </c:pt>
                <c:pt idx="92">
                  <c:v>20.399999999999935</c:v>
                </c:pt>
                <c:pt idx="93">
                  <c:v>20.349999999999934</c:v>
                </c:pt>
                <c:pt idx="94">
                  <c:v>20.299999999999933</c:v>
                </c:pt>
                <c:pt idx="95">
                  <c:v>20.249999999999932</c:v>
                </c:pt>
                <c:pt idx="96">
                  <c:v>20.199999999999932</c:v>
                </c:pt>
                <c:pt idx="97">
                  <c:v>20.149999999999931</c:v>
                </c:pt>
                <c:pt idx="98">
                  <c:v>20.09999999999993</c:v>
                </c:pt>
                <c:pt idx="99">
                  <c:v>20.04999999999993</c:v>
                </c:pt>
                <c:pt idx="100">
                  <c:v>19.999999999999929</c:v>
                </c:pt>
                <c:pt idx="101">
                  <c:v>19.949999999999928</c:v>
                </c:pt>
                <c:pt idx="102">
                  <c:v>19.899999999999928</c:v>
                </c:pt>
                <c:pt idx="103">
                  <c:v>19.849999999999927</c:v>
                </c:pt>
                <c:pt idx="104">
                  <c:v>19.799999999999926</c:v>
                </c:pt>
                <c:pt idx="105">
                  <c:v>19.749999999999925</c:v>
                </c:pt>
                <c:pt idx="106">
                  <c:v>19.699999999999925</c:v>
                </c:pt>
                <c:pt idx="107">
                  <c:v>19.649999999999924</c:v>
                </c:pt>
                <c:pt idx="108">
                  <c:v>19.599999999999923</c:v>
                </c:pt>
                <c:pt idx="109">
                  <c:v>19.549999999999923</c:v>
                </c:pt>
                <c:pt idx="110">
                  <c:v>19.499999999999922</c:v>
                </c:pt>
                <c:pt idx="111">
                  <c:v>19.449999999999921</c:v>
                </c:pt>
                <c:pt idx="112">
                  <c:v>19.39999999999992</c:v>
                </c:pt>
                <c:pt idx="113">
                  <c:v>19.34999999999992</c:v>
                </c:pt>
                <c:pt idx="114">
                  <c:v>19.299999999999919</c:v>
                </c:pt>
                <c:pt idx="115">
                  <c:v>19.249999999999918</c:v>
                </c:pt>
                <c:pt idx="116">
                  <c:v>19.199999999999918</c:v>
                </c:pt>
                <c:pt idx="117">
                  <c:v>19.149999999999917</c:v>
                </c:pt>
                <c:pt idx="118">
                  <c:v>19.099999999999916</c:v>
                </c:pt>
                <c:pt idx="119">
                  <c:v>19.049999999999915</c:v>
                </c:pt>
                <c:pt idx="120">
                  <c:v>18.999999999999915</c:v>
                </c:pt>
                <c:pt idx="121">
                  <c:v>18.949999999999914</c:v>
                </c:pt>
                <c:pt idx="122">
                  <c:v>18.899999999999913</c:v>
                </c:pt>
                <c:pt idx="123">
                  <c:v>18.849999999999913</c:v>
                </c:pt>
                <c:pt idx="124">
                  <c:v>18.799999999999912</c:v>
                </c:pt>
                <c:pt idx="125">
                  <c:v>18.749999999999911</c:v>
                </c:pt>
                <c:pt idx="126">
                  <c:v>18.69999999999991</c:v>
                </c:pt>
                <c:pt idx="127">
                  <c:v>18.64999999999991</c:v>
                </c:pt>
                <c:pt idx="128">
                  <c:v>18.599999999999909</c:v>
                </c:pt>
                <c:pt idx="129">
                  <c:v>18.549999999999908</c:v>
                </c:pt>
                <c:pt idx="130">
                  <c:v>18.499999999999908</c:v>
                </c:pt>
                <c:pt idx="131">
                  <c:v>18.449999999999907</c:v>
                </c:pt>
                <c:pt idx="132">
                  <c:v>18.399999999999906</c:v>
                </c:pt>
                <c:pt idx="133">
                  <c:v>18.349999999999905</c:v>
                </c:pt>
                <c:pt idx="134">
                  <c:v>18.299999999999905</c:v>
                </c:pt>
                <c:pt idx="135">
                  <c:v>18.249999999999904</c:v>
                </c:pt>
                <c:pt idx="136">
                  <c:v>18.199999999999903</c:v>
                </c:pt>
                <c:pt idx="137">
                  <c:v>18.149999999999903</c:v>
                </c:pt>
                <c:pt idx="138">
                  <c:v>18.099999999999902</c:v>
                </c:pt>
                <c:pt idx="139">
                  <c:v>18.049999999999901</c:v>
                </c:pt>
                <c:pt idx="140">
                  <c:v>17.999999999999901</c:v>
                </c:pt>
                <c:pt idx="141">
                  <c:v>17.9499999999999</c:v>
                </c:pt>
                <c:pt idx="142">
                  <c:v>17.899999999999899</c:v>
                </c:pt>
                <c:pt idx="143">
                  <c:v>17.849999999999898</c:v>
                </c:pt>
                <c:pt idx="144">
                  <c:v>17.799999999999898</c:v>
                </c:pt>
                <c:pt idx="145">
                  <c:v>17.749999999999897</c:v>
                </c:pt>
                <c:pt idx="146">
                  <c:v>17.699999999999896</c:v>
                </c:pt>
                <c:pt idx="147">
                  <c:v>17.649999999999896</c:v>
                </c:pt>
                <c:pt idx="148">
                  <c:v>17.599999999999895</c:v>
                </c:pt>
                <c:pt idx="149">
                  <c:v>17.549999999999894</c:v>
                </c:pt>
                <c:pt idx="150">
                  <c:v>17.499999999999893</c:v>
                </c:pt>
                <c:pt idx="151">
                  <c:v>17.449999999999893</c:v>
                </c:pt>
                <c:pt idx="152">
                  <c:v>17.399999999999892</c:v>
                </c:pt>
                <c:pt idx="153">
                  <c:v>17.349999999999891</c:v>
                </c:pt>
                <c:pt idx="154">
                  <c:v>17.299999999999891</c:v>
                </c:pt>
                <c:pt idx="155">
                  <c:v>17.24999999999989</c:v>
                </c:pt>
                <c:pt idx="156">
                  <c:v>17.199999999999889</c:v>
                </c:pt>
                <c:pt idx="157">
                  <c:v>17.149999999999888</c:v>
                </c:pt>
                <c:pt idx="158">
                  <c:v>17.099999999999888</c:v>
                </c:pt>
                <c:pt idx="159">
                  <c:v>17.049999999999887</c:v>
                </c:pt>
                <c:pt idx="160">
                  <c:v>16.999999999999886</c:v>
                </c:pt>
                <c:pt idx="161">
                  <c:v>16.949999999999886</c:v>
                </c:pt>
                <c:pt idx="162">
                  <c:v>16.899999999999885</c:v>
                </c:pt>
                <c:pt idx="163">
                  <c:v>16.849999999999884</c:v>
                </c:pt>
                <c:pt idx="164">
                  <c:v>16.799999999999883</c:v>
                </c:pt>
                <c:pt idx="165">
                  <c:v>16.749999999999883</c:v>
                </c:pt>
                <c:pt idx="166">
                  <c:v>16.699999999999882</c:v>
                </c:pt>
                <c:pt idx="167">
                  <c:v>16.649999999999881</c:v>
                </c:pt>
                <c:pt idx="168">
                  <c:v>16.599999999999881</c:v>
                </c:pt>
                <c:pt idx="169">
                  <c:v>16.54999999999988</c:v>
                </c:pt>
                <c:pt idx="170">
                  <c:v>16.499999999999879</c:v>
                </c:pt>
                <c:pt idx="171">
                  <c:v>16.449999999999878</c:v>
                </c:pt>
                <c:pt idx="172">
                  <c:v>16.399999999999878</c:v>
                </c:pt>
                <c:pt idx="173">
                  <c:v>16.349999999999877</c:v>
                </c:pt>
                <c:pt idx="174">
                  <c:v>16.299999999999876</c:v>
                </c:pt>
                <c:pt idx="175">
                  <c:v>16.249999999999876</c:v>
                </c:pt>
                <c:pt idx="176">
                  <c:v>16.199999999999875</c:v>
                </c:pt>
                <c:pt idx="177">
                  <c:v>16.149999999999874</c:v>
                </c:pt>
                <c:pt idx="178">
                  <c:v>16.099999999999874</c:v>
                </c:pt>
                <c:pt idx="179">
                  <c:v>16.049999999999873</c:v>
                </c:pt>
                <c:pt idx="180">
                  <c:v>15.999999999999872</c:v>
                </c:pt>
                <c:pt idx="181">
                  <c:v>15.949999999999871</c:v>
                </c:pt>
                <c:pt idx="182">
                  <c:v>15.899999999999871</c:v>
                </c:pt>
                <c:pt idx="183">
                  <c:v>15.84999999999987</c:v>
                </c:pt>
                <c:pt idx="184">
                  <c:v>15.799999999999869</c:v>
                </c:pt>
                <c:pt idx="185">
                  <c:v>15.749999999999869</c:v>
                </c:pt>
                <c:pt idx="186">
                  <c:v>15.699999999999868</c:v>
                </c:pt>
                <c:pt idx="187">
                  <c:v>15.649999999999867</c:v>
                </c:pt>
                <c:pt idx="188">
                  <c:v>15.599999999999866</c:v>
                </c:pt>
                <c:pt idx="189">
                  <c:v>15.549999999999866</c:v>
                </c:pt>
                <c:pt idx="190">
                  <c:v>15.499999999999865</c:v>
                </c:pt>
                <c:pt idx="191">
                  <c:v>15.449999999999864</c:v>
                </c:pt>
                <c:pt idx="192">
                  <c:v>15.399999999999864</c:v>
                </c:pt>
                <c:pt idx="193">
                  <c:v>15.349999999999863</c:v>
                </c:pt>
                <c:pt idx="194">
                  <c:v>15.299999999999862</c:v>
                </c:pt>
                <c:pt idx="195">
                  <c:v>15.249999999999861</c:v>
                </c:pt>
                <c:pt idx="196">
                  <c:v>15.199999999999861</c:v>
                </c:pt>
                <c:pt idx="197">
                  <c:v>15.14999999999986</c:v>
                </c:pt>
                <c:pt idx="198">
                  <c:v>15.099999999999859</c:v>
                </c:pt>
                <c:pt idx="199">
                  <c:v>15.049999999999859</c:v>
                </c:pt>
                <c:pt idx="200">
                  <c:v>14.999999999999858</c:v>
                </c:pt>
                <c:pt idx="201">
                  <c:v>14.949999999999857</c:v>
                </c:pt>
                <c:pt idx="202">
                  <c:v>14.899999999999856</c:v>
                </c:pt>
                <c:pt idx="203">
                  <c:v>14.849999999999856</c:v>
                </c:pt>
                <c:pt idx="204">
                  <c:v>14.799999999999855</c:v>
                </c:pt>
                <c:pt idx="205">
                  <c:v>14.749999999999854</c:v>
                </c:pt>
                <c:pt idx="206">
                  <c:v>14.699999999999854</c:v>
                </c:pt>
                <c:pt idx="207">
                  <c:v>14.649999999999853</c:v>
                </c:pt>
                <c:pt idx="208">
                  <c:v>14.599999999999852</c:v>
                </c:pt>
              </c:numCache>
            </c:numRef>
          </c:xVal>
          <c:yVal>
            <c:numRef>
              <c:f>'SOFTWARE SOLUTION'!$M$19:$M$227</c:f>
              <c:numCache>
                <c:formatCode>#,##0</c:formatCode>
                <c:ptCount val="209"/>
                <c:pt idx="0">
                  <c:v>-10000</c:v>
                </c:pt>
                <c:pt idx="1">
                  <c:v>-9649.5944933489664</c:v>
                </c:pt>
                <c:pt idx="2">
                  <c:v>-9299.9496801964706</c:v>
                </c:pt>
                <c:pt idx="3">
                  <c:v>-8951.0785352302482</c:v>
                </c:pt>
                <c:pt idx="4">
                  <c:v>-8602.9941893273499</c:v>
                </c:pt>
                <c:pt idx="5">
                  <c:v>-8255.7099315612577</c:v>
                </c:pt>
                <c:pt idx="6">
                  <c:v>-7909.2392112395028</c:v>
                </c:pt>
                <c:pt idx="7">
                  <c:v>-7563.5956399695715</c:v>
                </c:pt>
                <c:pt idx="8">
                  <c:v>-7218.7929937555455</c:v>
                </c:pt>
                <c:pt idx="9">
                  <c:v>-6874.845215124893</c:v>
                </c:pt>
                <c:pt idx="10">
                  <c:v>-6531.7664152858779</c:v>
                </c:pt>
                <c:pt idx="11">
                  <c:v>-6189.5708763158182</c:v>
                </c:pt>
                <c:pt idx="12">
                  <c:v>-5848.2730533825234</c:v>
                </c:pt>
                <c:pt idx="13">
                  <c:v>-5507.887576997513</c:v>
                </c:pt>
                <c:pt idx="14">
                  <c:v>-5168.4292553007836</c:v>
                </c:pt>
                <c:pt idx="15">
                  <c:v>-4829.9130763811991</c:v>
                </c:pt>
                <c:pt idx="16">
                  <c:v>-4492.35421062971</c:v>
                </c:pt>
                <c:pt idx="17">
                  <c:v>-4155.7680131271482</c:v>
                </c:pt>
                <c:pt idx="18">
                  <c:v>-3820.1700260674115</c:v>
                </c:pt>
                <c:pt idx="19">
                  <c:v>-3485.5759812161559</c:v>
                </c:pt>
                <c:pt idx="20">
                  <c:v>-3152.0018024061574</c:v>
                </c:pt>
                <c:pt idx="21">
                  <c:v>-2819.4636080687633</c:v>
                </c:pt>
                <c:pt idx="22">
                  <c:v>-2487.9777138038771</c:v>
                </c:pt>
                <c:pt idx="23">
                  <c:v>-2157.5606349873124</c:v>
                </c:pt>
                <c:pt idx="24">
                  <c:v>-1828.2290894171456</c:v>
                </c:pt>
                <c:pt idx="25">
                  <c:v>-1499.9999999998836</c:v>
                </c:pt>
                <c:pt idx="26">
                  <c:v>-1172.8904974762117</c:v>
                </c:pt>
                <c:pt idx="27">
                  <c:v>-846.91792318748776</c:v>
                </c:pt>
                <c:pt idx="28">
                  <c:v>-522.09983188437764</c:v>
                </c:pt>
                <c:pt idx="29">
                  <c:v>-198.45399457635358</c:v>
                </c:pt>
                <c:pt idx="30">
                  <c:v>124.00159857410472</c:v>
                </c:pt>
                <c:pt idx="31">
                  <c:v>445.24873531609774</c:v>
                </c:pt>
                <c:pt idx="32">
                  <c:v>765.26897832774557</c:v>
                </c:pt>
                <c:pt idx="33">
                  <c:v>1084.0436621910194</c:v>
                </c:pt>
                <c:pt idx="34">
                  <c:v>1401.5538903201232</c:v>
                </c:pt>
                <c:pt idx="35">
                  <c:v>1717.7805318417959</c:v>
                </c:pt>
                <c:pt idx="36">
                  <c:v>2032.7042184299789</c:v>
                </c:pt>
                <c:pt idx="37">
                  <c:v>2346.3053410911234</c:v>
                </c:pt>
                <c:pt idx="38">
                  <c:v>2658.5640469009522</c:v>
                </c:pt>
                <c:pt idx="39">
                  <c:v>2969.4602356918622</c:v>
                </c:pt>
                <c:pt idx="40">
                  <c:v>3278.9735566881718</c:v>
                </c:pt>
                <c:pt idx="41">
                  <c:v>3587.0834050901467</c:v>
                </c:pt>
                <c:pt idx="42">
                  <c:v>3893.7689186066855</c:v>
                </c:pt>
                <c:pt idx="43">
                  <c:v>4199.0089739331743</c:v>
                </c:pt>
                <c:pt idx="44">
                  <c:v>4502.7821831750916</c:v>
                </c:pt>
                <c:pt idx="45">
                  <c:v>4805.0668902168982</c:v>
                </c:pt>
                <c:pt idx="46">
                  <c:v>5105.8411670346977</c:v>
                </c:pt>
                <c:pt idx="47">
                  <c:v>5405.0828099503415</c:v>
                </c:pt>
                <c:pt idx="48">
                  <c:v>5702.76933582942</c:v>
                </c:pt>
                <c:pt idx="49">
                  <c:v>5998.8779782174388</c:v>
                </c:pt>
                <c:pt idx="50">
                  <c:v>6293.3856834170874</c:v>
                </c:pt>
                <c:pt idx="51">
                  <c:v>6586.2691065052059</c:v>
                </c:pt>
                <c:pt idx="52">
                  <c:v>6877.5046072839759</c:v>
                </c:pt>
                <c:pt idx="53">
                  <c:v>7167.0682461716933</c:v>
                </c:pt>
                <c:pt idx="54">
                  <c:v>7454.9357800269499</c:v>
                </c:pt>
                <c:pt idx="55">
                  <c:v>7741.0826579078566</c:v>
                </c:pt>
                <c:pt idx="56">
                  <c:v>8025.4840167639777</c:v>
                </c:pt>
                <c:pt idx="57">
                  <c:v>8308.1146770599298</c:v>
                </c:pt>
                <c:pt idx="58">
                  <c:v>8588.9491383285495</c:v>
                </c:pt>
                <c:pt idx="59">
                  <c:v>8867.9615746549098</c:v>
                </c:pt>
                <c:pt idx="60">
                  <c:v>9145.1258300887421</c:v>
                </c:pt>
                <c:pt idx="61">
                  <c:v>9420.4154139801394</c:v>
                </c:pt>
                <c:pt idx="62">
                  <c:v>9693.8034962451784</c:v>
                </c:pt>
                <c:pt idx="63">
                  <c:v>9965.2629025522619</c:v>
                </c:pt>
                <c:pt idx="64">
                  <c:v>10234.766109432094</c:v>
                </c:pt>
                <c:pt idx="65">
                  <c:v>10502.285239309887</c:v>
                </c:pt>
                <c:pt idx="66">
                  <c:v>10767.792055455735</c:v>
                </c:pt>
                <c:pt idx="67">
                  <c:v>11031.257956854883</c:v>
                </c:pt>
                <c:pt idx="68">
                  <c:v>11292.653972993488</c:v>
                </c:pt>
                <c:pt idx="69">
                  <c:v>11551.950758559979</c:v>
                </c:pt>
                <c:pt idx="70">
                  <c:v>11809.118588062702</c:v>
                </c:pt>
                <c:pt idx="71">
                  <c:v>12064.127350354567</c:v>
                </c:pt>
                <c:pt idx="72">
                  <c:v>12316.946543073864</c:v>
                </c:pt>
                <c:pt idx="73">
                  <c:v>12567.54526699055</c:v>
                </c:pt>
                <c:pt idx="74">
                  <c:v>12815.892220260343</c:v>
                </c:pt>
                <c:pt idx="75">
                  <c:v>13061.955692585325</c:v>
                </c:pt>
                <c:pt idx="76">
                  <c:v>13305.703559277346</c:v>
                </c:pt>
                <c:pt idx="77">
                  <c:v>13547.103275223752</c:v>
                </c:pt>
                <c:pt idx="78">
                  <c:v>13786.121868753806</c:v>
                </c:pt>
                <c:pt idx="79">
                  <c:v>14022.725935401861</c:v>
                </c:pt>
                <c:pt idx="80">
                  <c:v>14256.881631568307</c:v>
                </c:pt>
                <c:pt idx="81">
                  <c:v>14488.554668075172</c:v>
                </c:pt>
                <c:pt idx="82">
                  <c:v>14717.710303611937</c:v>
                </c:pt>
                <c:pt idx="83">
                  <c:v>14944.313338074484</c:v>
                </c:pt>
                <c:pt idx="84">
                  <c:v>15168.328105790657</c:v>
                </c:pt>
                <c:pt idx="85">
                  <c:v>15389.718468631618</c:v>
                </c:pt>
                <c:pt idx="86">
                  <c:v>15608.447809010162</c:v>
                </c:pt>
                <c:pt idx="87">
                  <c:v>15824.479022756568</c:v>
                </c:pt>
                <c:pt idx="88">
                  <c:v>16037.774511877447</c:v>
                </c:pt>
                <c:pt idx="89">
                  <c:v>16248.29617719003</c:v>
                </c:pt>
                <c:pt idx="90">
                  <c:v>16456.005410832819</c:v>
                </c:pt>
                <c:pt idx="91">
                  <c:v>16660.863088645623</c:v>
                </c:pt>
                <c:pt idx="92">
                  <c:v>16862.829562424798</c:v>
                </c:pt>
                <c:pt idx="93">
                  <c:v>17061.864652040415</c:v>
                </c:pt>
                <c:pt idx="94">
                  <c:v>17257.927637422574</c:v>
                </c:pt>
                <c:pt idx="95">
                  <c:v>17450.977250407799</c:v>
                </c:pt>
                <c:pt idx="96">
                  <c:v>17640.971666445839</c:v>
                </c:pt>
                <c:pt idx="97">
                  <c:v>17827.86849616305</c:v>
                </c:pt>
                <c:pt idx="98">
                  <c:v>18011.624776780605</c:v>
                </c:pt>
                <c:pt idx="99">
                  <c:v>18192.196963383118</c:v>
                </c:pt>
                <c:pt idx="100">
                  <c:v>18369.540920035797</c:v>
                </c:pt>
                <c:pt idx="101">
                  <c:v>18543.61191074783</c:v>
                </c:pt>
                <c:pt idx="102">
                  <c:v>18714.364590276266</c:v>
                </c:pt>
                <c:pt idx="103">
                  <c:v>18881.752994770883</c:v>
                </c:pt>
                <c:pt idx="104">
                  <c:v>19045.73053225386</c:v>
                </c:pt>
                <c:pt idx="105">
                  <c:v>19206.249972932856</c:v>
                </c:pt>
                <c:pt idx="106">
                  <c:v>19363.263439343311</c:v>
                </c:pt>
                <c:pt idx="107">
                  <c:v>19516.722396316123</c:v>
                </c:pt>
                <c:pt idx="108">
                  <c:v>19666.577640768955</c:v>
                </c:pt>
                <c:pt idx="109">
                  <c:v>19812.779291315353</c:v>
                </c:pt>
                <c:pt idx="110">
                  <c:v>19955.276777689694</c:v>
                </c:pt>
                <c:pt idx="111">
                  <c:v>20094.018829984008</c:v>
                </c:pt>
                <c:pt idx="112">
                  <c:v>20228.953467692016</c:v>
                </c:pt>
                <c:pt idx="113">
                  <c:v>20360.027988557005</c:v>
                </c:pt>
                <c:pt idx="114">
                  <c:v>20487.188957219943</c:v>
                </c:pt>
                <c:pt idx="115">
                  <c:v>20610.382193663507</c:v>
                </c:pt>
                <c:pt idx="116">
                  <c:v>20729.552761446917</c:v>
                </c:pt>
                <c:pt idx="117">
                  <c:v>20844.6449557296</c:v>
                </c:pt>
                <c:pt idx="118">
                  <c:v>20955.602291075746</c:v>
                </c:pt>
                <c:pt idx="119">
                  <c:v>21062.367489039316</c:v>
                </c:pt>
                <c:pt idx="120">
                  <c:v>21164.882465522503</c:v>
                </c:pt>
                <c:pt idx="121">
                  <c:v>21263.088317902409</c:v>
                </c:pt>
                <c:pt idx="122">
                  <c:v>21356.925311924773</c:v>
                </c:pt>
                <c:pt idx="123">
                  <c:v>21446.332868353929</c:v>
                </c:pt>
                <c:pt idx="124">
                  <c:v>21531.249549380038</c:v>
                </c:pt>
                <c:pt idx="125">
                  <c:v>21611.613044775557</c:v>
                </c:pt>
                <c:pt idx="126">
                  <c:v>21687.360157793271</c:v>
                </c:pt>
                <c:pt idx="127">
                  <c:v>21758.426790807862</c:v>
                </c:pt>
                <c:pt idx="128">
                  <c:v>21824.747930686572</c:v>
                </c:pt>
                <c:pt idx="129">
                  <c:v>21886.257633889909</c:v>
                </c:pt>
                <c:pt idx="130">
                  <c:v>21942.889011294232</c:v>
                </c:pt>
                <c:pt idx="131">
                  <c:v>21994.574212729349</c:v>
                </c:pt>
                <c:pt idx="132">
                  <c:v>22041.24441122706</c:v>
                </c:pt>
                <c:pt idx="133">
                  <c:v>22082.829786974238</c:v>
                </c:pt>
                <c:pt idx="134">
                  <c:v>22119.25951096171</c:v>
                </c:pt>
                <c:pt idx="135">
                  <c:v>22150.461728325929</c:v>
                </c:pt>
                <c:pt idx="136">
                  <c:v>22176.363541374332</c:v>
                </c:pt>
                <c:pt idx="137">
                  <c:v>22196.890992288361</c:v>
                </c:pt>
                <c:pt idx="138">
                  <c:v>22211.969045497128</c:v>
                </c:pt>
                <c:pt idx="139">
                  <c:v>22221.521569715813</c:v>
                </c:pt>
                <c:pt idx="140">
                  <c:v>22225.471319638658</c:v>
                </c:pt>
                <c:pt idx="141">
                  <c:v>22223.739917281317</c:v>
                </c:pt>
                <c:pt idx="142">
                  <c:v>22216.247832965455</c:v>
                </c:pt>
                <c:pt idx="143">
                  <c:v>22202.914365934907</c:v>
                </c:pt>
                <c:pt idx="144">
                  <c:v>22183.657624599407</c:v>
                </c:pt>
                <c:pt idx="145">
                  <c:v>22158.394506391603</c:v>
                </c:pt>
                <c:pt idx="146">
                  <c:v>22127.040677237324</c:v>
                </c:pt>
                <c:pt idx="147">
                  <c:v>22089.510550621664</c:v>
                </c:pt>
                <c:pt idx="148">
                  <c:v>22045.717266248656</c:v>
                </c:pt>
                <c:pt idx="149">
                  <c:v>21995.572668281849</c:v>
                </c:pt>
                <c:pt idx="150">
                  <c:v>21938.987283158116</c:v>
                </c:pt>
                <c:pt idx="151">
                  <c:v>21875.870296963025</c:v>
                </c:pt>
                <c:pt idx="152">
                  <c:v>21806.129532362451</c:v>
                </c:pt>
                <c:pt idx="153">
                  <c:v>21729.671425073524</c:v>
                </c:pt>
                <c:pt idx="154">
                  <c:v>21646.400999871898</c:v>
                </c:pt>
                <c:pt idx="155">
                  <c:v>21556.221846120199</c:v>
                </c:pt>
                <c:pt idx="156">
                  <c:v>21459.036092807539</c:v>
                </c:pt>
                <c:pt idx="157">
                  <c:v>21354.744383089361</c:v>
                </c:pt>
                <c:pt idx="158">
                  <c:v>21243.245848318795</c:v>
                </c:pt>
                <c:pt idx="159">
                  <c:v>21124.438081550878</c:v>
                </c:pt>
                <c:pt idx="160">
                  <c:v>20998.217110517551</c:v>
                </c:pt>
                <c:pt idx="161">
                  <c:v>20864.477370051085</c:v>
                </c:pt>
                <c:pt idx="162">
                  <c:v>20723.111673951615</c:v>
                </c:pt>
                <c:pt idx="163">
                  <c:v>20574.011186279589</c:v>
                </c:pt>
                <c:pt idx="164">
                  <c:v>20417.065392064746</c:v>
                </c:pt>
                <c:pt idx="165">
                  <c:v>20252.162067414261</c:v>
                </c:pt>
                <c:pt idx="166">
                  <c:v>20079.187249007751</c:v>
                </c:pt>
                <c:pt idx="167">
                  <c:v>19898.025202966994</c:v>
                </c:pt>
                <c:pt idx="168">
                  <c:v>19708.558393079205</c:v>
                </c:pt>
                <c:pt idx="169">
                  <c:v>19510.667448366759</c:v>
                </c:pt>
                <c:pt idx="170">
                  <c:v>19304.231129982625</c:v>
                </c:pt>
                <c:pt idx="171">
                  <c:v>19089.126297416049</c:v>
                </c:pt>
                <c:pt idx="172">
                  <c:v>18865.227873994387</c:v>
                </c:pt>
                <c:pt idx="173">
                  <c:v>18632.408811662812</c:v>
                </c:pt>
                <c:pt idx="174">
                  <c:v>18390.540055024554</c:v>
                </c:pt>
                <c:pt idx="175">
                  <c:v>18139.490504624206</c:v>
                </c:pt>
                <c:pt idx="176">
                  <c:v>17879.126979456632</c:v>
                </c:pt>
                <c:pt idx="177">
                  <c:v>17609.314178681001</c:v>
                </c:pt>
                <c:pt idx="178">
                  <c:v>17329.914642524673</c:v>
                </c:pt>
                <c:pt idx="179">
                  <c:v>17040.78871235135</c:v>
                </c:pt>
                <c:pt idx="180">
                  <c:v>16741.79448987823</c:v>
                </c:pt>
                <c:pt idx="181">
                  <c:v>16432.787795519922</c:v>
                </c:pt>
                <c:pt idx="182">
                  <c:v>16113.622125836788</c:v>
                </c:pt>
                <c:pt idx="183">
                  <c:v>15784.148610067321</c:v>
                </c:pt>
                <c:pt idx="184">
                  <c:v>15444.21596572001</c:v>
                </c:pt>
                <c:pt idx="185">
                  <c:v>15093.670453204424</c:v>
                </c:pt>
                <c:pt idx="186">
                  <c:v>14732.355829474982</c:v>
                </c:pt>
                <c:pt idx="187">
                  <c:v>14360.113300663885</c:v>
                </c:pt>
                <c:pt idx="188">
                  <c:v>13976.78147367877</c:v>
                </c:pt>
                <c:pt idx="189">
                  <c:v>13582.196306739235</c:v>
                </c:pt>
                <c:pt idx="190">
                  <c:v>13176.191058822791</c:v>
                </c:pt>
                <c:pt idx="191">
                  <c:v>12758.596237998456</c:v>
                </c:pt>
                <c:pt idx="192">
                  <c:v>12329.239548613667</c:v>
                </c:pt>
                <c:pt idx="193">
                  <c:v>11887.945837310283</c:v>
                </c:pt>
                <c:pt idx="194">
                  <c:v>11434.5370378386</c:v>
                </c:pt>
                <c:pt idx="195">
                  <c:v>10968.832114635385</c:v>
                </c:pt>
                <c:pt idx="196">
                  <c:v>10490.647005142411</c:v>
                </c:pt>
                <c:pt idx="197">
                  <c:v>9999.7945608239388</c:v>
                </c:pt>
                <c:pt idx="198">
                  <c:v>9496.0844868561253</c:v>
                </c:pt>
                <c:pt idx="199">
                  <c:v>8979.3232804526342</c:v>
                </c:pt>
                <c:pt idx="200">
                  <c:v>8449.3141677886015</c:v>
                </c:pt>
                <c:pt idx="201">
                  <c:v>7905.8570394912967</c:v>
                </c:pt>
                <c:pt idx="202">
                  <c:v>7348.7483846555697</c:v>
                </c:pt>
                <c:pt idx="203">
                  <c:v>6777.7812233491568</c:v>
                </c:pt>
                <c:pt idx="204">
                  <c:v>6192.7450375660555</c:v>
                </c:pt>
                <c:pt idx="205">
                  <c:v>5593.4257005881518</c:v>
                </c:pt>
                <c:pt idx="206">
                  <c:v>4979.6054047124926</c:v>
                </c:pt>
                <c:pt idx="207">
                  <c:v>4351.0625873031095</c:v>
                </c:pt>
                <c:pt idx="208">
                  <c:v>3707.5718551194295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887328"/>
        <c:axId val="981883520"/>
      </c:scatterChart>
      <c:valAx>
        <c:axId val="98188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1883520"/>
        <c:crosses val="autoZero"/>
        <c:crossBetween val="midCat"/>
      </c:valAx>
      <c:valAx>
        <c:axId val="98188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81887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170543</xdr:colOff>
      <xdr:row>17</xdr:row>
      <xdr:rowOff>131989</xdr:rowOff>
    </xdr:from>
    <xdr:to>
      <xdr:col>5</xdr:col>
      <xdr:colOff>536122</xdr:colOff>
      <xdr:row>32</xdr:row>
      <xdr:rowOff>17689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10</xdr:row>
      <xdr:rowOff>104775</xdr:rowOff>
    </xdr:from>
    <xdr:to>
      <xdr:col>4</xdr:col>
      <xdr:colOff>1320800</xdr:colOff>
      <xdr:row>24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440530</xdr:colOff>
      <xdr:row>16</xdr:row>
      <xdr:rowOff>174630</xdr:rowOff>
    </xdr:from>
    <xdr:to>
      <xdr:col>21</xdr:col>
      <xdr:colOff>154780</xdr:colOff>
      <xdr:row>28</xdr:row>
      <xdr:rowOff>107955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33"/>
  <sheetViews>
    <sheetView topLeftCell="A7" zoomScale="140" zoomScaleNormal="140" workbookViewId="0">
      <selection activeCell="E15" sqref="E15"/>
    </sheetView>
  </sheetViews>
  <sheetFormatPr defaultRowHeight="15" x14ac:dyDescent="0.25"/>
  <cols>
    <col min="1" max="1" width="2.85546875" style="1" customWidth="1"/>
    <col min="2" max="2" width="40.140625" style="1" customWidth="1"/>
    <col min="3" max="5" width="12.5703125" style="1" customWidth="1"/>
    <col min="6" max="16384" width="9.140625" style="1"/>
  </cols>
  <sheetData>
    <row r="2" spans="2:6" x14ac:dyDescent="0.25">
      <c r="B2" s="2" t="s">
        <v>0</v>
      </c>
      <c r="C2" s="1">
        <v>637000</v>
      </c>
    </row>
    <row r="3" spans="2:6" x14ac:dyDescent="0.25">
      <c r="B3" s="2" t="s">
        <v>1</v>
      </c>
      <c r="C3" s="1">
        <v>10</v>
      </c>
    </row>
    <row r="4" spans="2:6" x14ac:dyDescent="0.25">
      <c r="B4" s="2" t="s">
        <v>2</v>
      </c>
      <c r="C4" s="1">
        <v>37000</v>
      </c>
    </row>
    <row r="5" spans="2:6" x14ac:dyDescent="0.25">
      <c r="B5" s="2" t="s">
        <v>3</v>
      </c>
      <c r="C5" s="1">
        <f>+(C2-C4)/C3</f>
        <v>60000</v>
      </c>
    </row>
    <row r="6" spans="2:6" x14ac:dyDescent="0.25">
      <c r="B6" s="2" t="s">
        <v>11</v>
      </c>
      <c r="C6" s="1">
        <v>480000</v>
      </c>
    </row>
    <row r="7" spans="2:6" x14ac:dyDescent="0.25">
      <c r="B7" s="2"/>
    </row>
    <row r="8" spans="2:6" x14ac:dyDescent="0.25">
      <c r="B8" s="8" t="s">
        <v>4</v>
      </c>
      <c r="C8" s="8" t="s">
        <v>6</v>
      </c>
      <c r="D8" s="8" t="s">
        <v>7</v>
      </c>
      <c r="E8" s="8" t="s">
        <v>8</v>
      </c>
    </row>
    <row r="9" spans="2:6" x14ac:dyDescent="0.25">
      <c r="B9" s="9" t="s">
        <v>5</v>
      </c>
      <c r="C9" s="10">
        <f>+C2</f>
        <v>637000</v>
      </c>
      <c r="D9" s="10">
        <f>+C9</f>
        <v>637000</v>
      </c>
      <c r="E9" s="10">
        <f>+D9</f>
        <v>637000</v>
      </c>
    </row>
    <row r="10" spans="2:6" x14ac:dyDescent="0.25">
      <c r="B10" s="9" t="s">
        <v>9</v>
      </c>
      <c r="C10" s="10">
        <f>-C5</f>
        <v>-60000</v>
      </c>
      <c r="D10" s="10">
        <f>+C10-$C$5</f>
        <v>-120000</v>
      </c>
      <c r="E10" s="10">
        <f>+D10-$C$5</f>
        <v>-180000</v>
      </c>
    </row>
    <row r="11" spans="2:6" x14ac:dyDescent="0.25">
      <c r="B11" s="11" t="s">
        <v>10</v>
      </c>
      <c r="C11" s="12">
        <f>SUM(C9:C10)</f>
        <v>577000</v>
      </c>
      <c r="D11" s="12">
        <f>SUM(D9:D10)</f>
        <v>517000</v>
      </c>
      <c r="E11" s="12">
        <f>SUM(E9:E10)</f>
        <v>457000</v>
      </c>
    </row>
    <row r="12" spans="2:6" x14ac:dyDescent="0.25">
      <c r="B12" s="2"/>
    </row>
    <row r="13" spans="2:6" x14ac:dyDescent="0.25">
      <c r="B13" s="3" t="s">
        <v>12</v>
      </c>
      <c r="C13" s="3" t="s">
        <v>13</v>
      </c>
      <c r="D13" s="3" t="s">
        <v>14</v>
      </c>
      <c r="E13" s="3" t="s">
        <v>15</v>
      </c>
    </row>
    <row r="14" spans="2:6" x14ac:dyDescent="0.25">
      <c r="B14" s="4" t="s">
        <v>16</v>
      </c>
      <c r="C14" s="5">
        <f>-$C$5</f>
        <v>-60000</v>
      </c>
      <c r="D14" s="5">
        <f>-$C$5</f>
        <v>-60000</v>
      </c>
      <c r="E14" s="5">
        <f>-$C$5</f>
        <v>-60000</v>
      </c>
    </row>
    <row r="15" spans="2:6" x14ac:dyDescent="0.25">
      <c r="B15" s="4" t="s">
        <v>17</v>
      </c>
      <c r="C15" s="5"/>
      <c r="D15" s="5"/>
      <c r="E15" s="5">
        <f>+C6-E11</f>
        <v>23000</v>
      </c>
    </row>
    <row r="16" spans="2:6" x14ac:dyDescent="0.25">
      <c r="B16" s="6" t="s">
        <v>10</v>
      </c>
      <c r="C16" s="7">
        <f>SUM(C14:C15)</f>
        <v>-60000</v>
      </c>
      <c r="D16" s="7">
        <f>SUM(D14:D15)</f>
        <v>-60000</v>
      </c>
      <c r="E16" s="7">
        <f>SUM(E14:E15)</f>
        <v>-37000</v>
      </c>
      <c r="F16" s="14">
        <f>SUM(C16:E16)</f>
        <v>-157000</v>
      </c>
    </row>
    <row r="17" spans="2:6" x14ac:dyDescent="0.25">
      <c r="B17" s="2"/>
    </row>
    <row r="18" spans="2:6" x14ac:dyDescent="0.25">
      <c r="B18" s="3" t="s">
        <v>18</v>
      </c>
      <c r="C18" s="3" t="s">
        <v>13</v>
      </c>
      <c r="D18" s="3" t="s">
        <v>14</v>
      </c>
      <c r="E18" s="3" t="s">
        <v>15</v>
      </c>
    </row>
    <row r="19" spans="2:6" x14ac:dyDescent="0.25">
      <c r="B19" s="4" t="s">
        <v>19</v>
      </c>
      <c r="C19" s="5">
        <f>-C2</f>
        <v>-637000</v>
      </c>
      <c r="D19" s="5"/>
      <c r="E19" s="5"/>
    </row>
    <row r="20" spans="2:6" x14ac:dyDescent="0.25">
      <c r="B20" s="4" t="s">
        <v>20</v>
      </c>
      <c r="C20" s="5"/>
      <c r="D20" s="5"/>
      <c r="E20" s="5">
        <f>+C6</f>
        <v>480000</v>
      </c>
    </row>
    <row r="21" spans="2:6" x14ac:dyDescent="0.25">
      <c r="B21" s="6" t="s">
        <v>10</v>
      </c>
      <c r="C21" s="7">
        <f>SUM(C19:C20)</f>
        <v>-637000</v>
      </c>
      <c r="D21" s="7">
        <f>SUM(D19:D20)</f>
        <v>0</v>
      </c>
      <c r="E21" s="7">
        <f>SUM(E19:E20)</f>
        <v>480000</v>
      </c>
      <c r="F21" s="14">
        <f>SUM(C21:E21)</f>
        <v>-157000</v>
      </c>
    </row>
    <row r="22" spans="2:6" x14ac:dyDescent="0.25">
      <c r="B22" s="2"/>
    </row>
    <row r="23" spans="2:6" x14ac:dyDescent="0.25">
      <c r="B23" s="2"/>
    </row>
    <row r="24" spans="2:6" x14ac:dyDescent="0.25">
      <c r="B24" s="2"/>
    </row>
    <row r="25" spans="2:6" x14ac:dyDescent="0.25">
      <c r="B25" s="2"/>
    </row>
    <row r="26" spans="2:6" x14ac:dyDescent="0.25">
      <c r="B26" s="2"/>
    </row>
    <row r="27" spans="2:6" x14ac:dyDescent="0.25">
      <c r="B27" s="2"/>
    </row>
    <row r="28" spans="2:6" x14ac:dyDescent="0.25">
      <c r="B28" s="2"/>
    </row>
    <row r="29" spans="2:6" x14ac:dyDescent="0.25">
      <c r="B29" s="2"/>
    </row>
    <row r="30" spans="2:6" x14ac:dyDescent="0.25">
      <c r="B30" s="2"/>
    </row>
    <row r="31" spans="2:6" x14ac:dyDescent="0.25">
      <c r="B31" s="2"/>
    </row>
    <row r="32" spans="2:6" x14ac:dyDescent="0.25">
      <c r="B32" s="2"/>
    </row>
    <row r="33" spans="2:2" x14ac:dyDescent="0.25">
      <c r="B33" s="2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J28" sqref="J28"/>
    </sheetView>
  </sheetViews>
  <sheetFormatPr defaultRowHeight="15" outlineLevelRow="1" x14ac:dyDescent="0.25"/>
  <cols>
    <col min="1" max="1" width="2.85546875" style="1" customWidth="1"/>
    <col min="2" max="2" width="30" style="1" customWidth="1"/>
    <col min="3" max="6" width="10.5703125" style="1" customWidth="1"/>
    <col min="7" max="7" width="10.5703125" style="1" bestFit="1" customWidth="1"/>
    <col min="8" max="10" width="9.140625" style="1"/>
    <col min="11" max="11" width="10.140625" style="1" bestFit="1" customWidth="1"/>
    <col min="12" max="13" width="9.140625" style="1"/>
    <col min="14" max="14" width="30.7109375" style="1" customWidth="1"/>
    <col min="15" max="16384" width="9.140625" style="1"/>
  </cols>
  <sheetData>
    <row r="1" spans="1:20" ht="15.75" thickBot="1" x14ac:dyDescent="0.3"/>
    <row r="2" spans="1:20" ht="30.75" thickBot="1" x14ac:dyDescent="0.3">
      <c r="B2" s="126" t="s">
        <v>12</v>
      </c>
      <c r="C2" s="463" t="s">
        <v>166</v>
      </c>
      <c r="D2" s="464"/>
      <c r="E2" s="465" t="s">
        <v>167</v>
      </c>
      <c r="F2" s="464"/>
      <c r="G2" s="465" t="s">
        <v>168</v>
      </c>
      <c r="H2" s="464"/>
      <c r="I2" s="465" t="s">
        <v>169</v>
      </c>
      <c r="J2" s="464"/>
      <c r="K2" s="123" t="s">
        <v>10</v>
      </c>
      <c r="N2" s="143"/>
      <c r="O2" s="144" t="s">
        <v>183</v>
      </c>
      <c r="P2" s="144" t="s">
        <v>184</v>
      </c>
      <c r="Q2" s="144" t="s">
        <v>185</v>
      </c>
      <c r="R2" s="144" t="s">
        <v>186</v>
      </c>
      <c r="S2" s="144" t="s">
        <v>187</v>
      </c>
      <c r="T2" s="164" t="s">
        <v>10</v>
      </c>
    </row>
    <row r="3" spans="1:20" ht="30.75" thickBot="1" x14ac:dyDescent="0.3">
      <c r="B3" s="127"/>
      <c r="C3" s="113" t="s">
        <v>171</v>
      </c>
      <c r="D3" s="114" t="s">
        <v>88</v>
      </c>
      <c r="E3" s="119" t="s">
        <v>171</v>
      </c>
      <c r="F3" s="114" t="s">
        <v>88</v>
      </c>
      <c r="G3" s="119" t="s">
        <v>171</v>
      </c>
      <c r="H3" s="114" t="s">
        <v>88</v>
      </c>
      <c r="I3" s="119" t="s">
        <v>171</v>
      </c>
      <c r="J3" s="114" t="s">
        <v>88</v>
      </c>
      <c r="K3" s="114" t="s">
        <v>88</v>
      </c>
      <c r="N3" s="145" t="s">
        <v>188</v>
      </c>
      <c r="O3" s="147">
        <v>118800</v>
      </c>
      <c r="P3" s="147">
        <v>225000</v>
      </c>
      <c r="Q3" s="147">
        <v>178125</v>
      </c>
      <c r="R3" s="147">
        <v>189000</v>
      </c>
      <c r="S3" s="147">
        <v>55000</v>
      </c>
      <c r="T3" s="146">
        <f>SUM(O3:S3)</f>
        <v>765925</v>
      </c>
    </row>
    <row r="4" spans="1:20" ht="16.5" thickBot="1" x14ac:dyDescent="0.3">
      <c r="B4" s="134" t="s">
        <v>170</v>
      </c>
      <c r="C4" s="135">
        <v>300</v>
      </c>
      <c r="D4" s="136">
        <f>+C4*1500</f>
        <v>450000</v>
      </c>
      <c r="E4" s="137">
        <v>400</v>
      </c>
      <c r="F4" s="136">
        <f>+E4*1250</f>
        <v>500000</v>
      </c>
      <c r="G4" s="137">
        <v>800</v>
      </c>
      <c r="H4" s="136">
        <f>+G4*750</f>
        <v>600000</v>
      </c>
      <c r="I4" s="137">
        <v>1200</v>
      </c>
      <c r="J4" s="136">
        <f>+I4*500</f>
        <v>600000</v>
      </c>
      <c r="K4" s="138">
        <f>+D4+F4+H4+J4</f>
        <v>2150000</v>
      </c>
      <c r="N4" s="145" t="s">
        <v>189</v>
      </c>
      <c r="O4" s="147">
        <v>101200</v>
      </c>
      <c r="P4" s="147">
        <v>35000</v>
      </c>
      <c r="Q4" s="147">
        <v>93875</v>
      </c>
      <c r="R4" s="147">
        <v>96000</v>
      </c>
      <c r="S4" s="147">
        <v>25000</v>
      </c>
      <c r="T4" s="146">
        <f>SUM(O4:S4)</f>
        <v>351075</v>
      </c>
    </row>
    <row r="5" spans="1:20" ht="15.75" x14ac:dyDescent="0.25">
      <c r="B5" s="139" t="s">
        <v>172</v>
      </c>
      <c r="C5" s="140">
        <f>-C4*0.15</f>
        <v>-45</v>
      </c>
      <c r="D5" s="141">
        <f>+C5*1500</f>
        <v>-67500</v>
      </c>
      <c r="E5" s="142">
        <f>-E4*0.15</f>
        <v>-60</v>
      </c>
      <c r="F5" s="141">
        <f>+E5*1250</f>
        <v>-75000</v>
      </c>
      <c r="G5" s="142">
        <f>-G4*0.15</f>
        <v>-120</v>
      </c>
      <c r="H5" s="141">
        <f>+G5*750</f>
        <v>-90000</v>
      </c>
      <c r="I5" s="142">
        <f>-I4*0.15</f>
        <v>-180</v>
      </c>
      <c r="J5" s="141">
        <f>+I5*500</f>
        <v>-90000</v>
      </c>
      <c r="K5" s="138">
        <f t="shared" ref="K5:K12" si="0">+D5+F5+H5+J5</f>
        <v>-322500</v>
      </c>
      <c r="N5" s="162" t="s">
        <v>10</v>
      </c>
      <c r="O5" s="163">
        <f>SUM(O3:O4)</f>
        <v>220000</v>
      </c>
      <c r="P5" s="163">
        <f t="shared" ref="P5:S5" si="1">SUM(P3:P4)</f>
        <v>260000</v>
      </c>
      <c r="Q5" s="163">
        <f t="shared" si="1"/>
        <v>272000</v>
      </c>
      <c r="R5" s="163">
        <f t="shared" si="1"/>
        <v>285000</v>
      </c>
      <c r="S5" s="163">
        <f t="shared" si="1"/>
        <v>80000</v>
      </c>
      <c r="T5" s="163">
        <f>SUM(T3:T4)</f>
        <v>1117000</v>
      </c>
    </row>
    <row r="6" spans="1:20" s="13" customFormat="1" ht="15.75" x14ac:dyDescent="0.25">
      <c r="A6" s="1"/>
      <c r="B6" s="128" t="s">
        <v>173</v>
      </c>
      <c r="C6" s="115">
        <f t="shared" ref="C6:J6" si="2">SUM(C4:C5)</f>
        <v>255</v>
      </c>
      <c r="D6" s="108">
        <f t="shared" si="2"/>
        <v>382500</v>
      </c>
      <c r="E6" s="120">
        <f t="shared" si="2"/>
        <v>340</v>
      </c>
      <c r="F6" s="108">
        <f t="shared" si="2"/>
        <v>425000</v>
      </c>
      <c r="G6" s="120">
        <f t="shared" si="2"/>
        <v>680</v>
      </c>
      <c r="H6" s="108">
        <f t="shared" si="2"/>
        <v>510000</v>
      </c>
      <c r="I6" s="120">
        <f t="shared" si="2"/>
        <v>1020</v>
      </c>
      <c r="J6" s="108">
        <f t="shared" si="2"/>
        <v>510000</v>
      </c>
      <c r="K6" s="124">
        <f t="shared" si="0"/>
        <v>1827500</v>
      </c>
    </row>
    <row r="7" spans="1:20" ht="15.75" x14ac:dyDescent="0.25">
      <c r="B7" s="129" t="s">
        <v>174</v>
      </c>
      <c r="C7" s="116">
        <f>-C6*10%</f>
        <v>-25.5</v>
      </c>
      <c r="D7" s="117">
        <f>+C7*1500</f>
        <v>-38250</v>
      </c>
      <c r="E7" s="121">
        <f>-E6*10%</f>
        <v>-34</v>
      </c>
      <c r="F7" s="117">
        <f>+E7*1250</f>
        <v>-42500</v>
      </c>
      <c r="G7" s="121">
        <f>-G6*10%</f>
        <v>-68</v>
      </c>
      <c r="H7" s="117">
        <f>+G7*750</f>
        <v>-51000</v>
      </c>
      <c r="I7" s="121">
        <f>-I6*10%</f>
        <v>-102</v>
      </c>
      <c r="J7" s="117">
        <f>+I7*500</f>
        <v>-51000</v>
      </c>
      <c r="K7" s="124">
        <f t="shared" si="0"/>
        <v>-182750</v>
      </c>
    </row>
    <row r="8" spans="1:20" ht="15.75" x14ac:dyDescent="0.25">
      <c r="B8" s="129" t="s">
        <v>175</v>
      </c>
      <c r="C8" s="116">
        <f>-4.5*25*(1-20%)</f>
        <v>-90</v>
      </c>
      <c r="D8" s="117">
        <f t="shared" ref="D8:D10" si="3">+C8*1500</f>
        <v>-135000</v>
      </c>
      <c r="E8" s="121">
        <f>-2.5*25*(1-20%)</f>
        <v>-50</v>
      </c>
      <c r="F8" s="117">
        <f t="shared" ref="F8:F10" si="4">+E8*1250</f>
        <v>-62500</v>
      </c>
      <c r="G8" s="121">
        <f>-12.5*25*(1-20%)</f>
        <v>-250</v>
      </c>
      <c r="H8" s="117">
        <f t="shared" ref="H8:H10" si="5">+G8*750</f>
        <v>-187500</v>
      </c>
      <c r="I8" s="121">
        <f>-10.5*25*(1-20%)</f>
        <v>-210</v>
      </c>
      <c r="J8" s="117">
        <f t="shared" ref="J8:J10" si="6">+I8*500</f>
        <v>-105000</v>
      </c>
      <c r="K8" s="124">
        <f t="shared" si="0"/>
        <v>-490000</v>
      </c>
    </row>
    <row r="9" spans="1:20" ht="15.75" x14ac:dyDescent="0.25">
      <c r="B9" s="129" t="s">
        <v>176</v>
      </c>
      <c r="C9" s="116">
        <f>-6*8*2</f>
        <v>-96</v>
      </c>
      <c r="D9" s="117">
        <f t="shared" si="3"/>
        <v>-144000</v>
      </c>
      <c r="E9" s="121">
        <f>-5*8*2</f>
        <v>-80</v>
      </c>
      <c r="F9" s="117">
        <f t="shared" si="4"/>
        <v>-100000</v>
      </c>
      <c r="G9" s="121">
        <f>-12*8*2</f>
        <v>-192</v>
      </c>
      <c r="H9" s="117">
        <f t="shared" si="5"/>
        <v>-144000</v>
      </c>
      <c r="I9" s="121">
        <f>-20*8*2</f>
        <v>-320</v>
      </c>
      <c r="J9" s="117">
        <f t="shared" si="6"/>
        <v>-160000</v>
      </c>
      <c r="K9" s="124">
        <f t="shared" si="0"/>
        <v>-548000</v>
      </c>
    </row>
    <row r="10" spans="1:20" ht="15.75" x14ac:dyDescent="0.25">
      <c r="B10" s="128" t="s">
        <v>177</v>
      </c>
      <c r="C10" s="115">
        <f>SUM(C6:C9)</f>
        <v>43.5</v>
      </c>
      <c r="D10" s="108">
        <f t="shared" si="3"/>
        <v>65250</v>
      </c>
      <c r="E10" s="120">
        <f>SUM(E6:E9)</f>
        <v>176</v>
      </c>
      <c r="F10" s="108">
        <f t="shared" si="4"/>
        <v>220000</v>
      </c>
      <c r="G10" s="120">
        <f>SUM(G6:G9)</f>
        <v>170</v>
      </c>
      <c r="H10" s="108">
        <f t="shared" si="5"/>
        <v>127500</v>
      </c>
      <c r="I10" s="120">
        <f>SUM(I6:I9)</f>
        <v>388</v>
      </c>
      <c r="J10" s="108">
        <f t="shared" si="6"/>
        <v>194000</v>
      </c>
      <c r="K10" s="124">
        <f t="shared" si="0"/>
        <v>606750</v>
      </c>
    </row>
    <row r="11" spans="1:20" ht="15.75" x14ac:dyDescent="0.25">
      <c r="B11" s="129" t="s">
        <v>178</v>
      </c>
      <c r="C11" s="116"/>
      <c r="D11" s="117">
        <v>-20000</v>
      </c>
      <c r="E11" s="121"/>
      <c r="F11" s="117">
        <v>-170000</v>
      </c>
      <c r="G11" s="121"/>
      <c r="H11" s="117">
        <v>-70000</v>
      </c>
      <c r="I11" s="121"/>
      <c r="J11" s="117">
        <v>-160000</v>
      </c>
      <c r="K11" s="124">
        <f t="shared" si="0"/>
        <v>-420000</v>
      </c>
    </row>
    <row r="12" spans="1:20" ht="15.75" x14ac:dyDescent="0.25">
      <c r="B12" s="130" t="s">
        <v>179</v>
      </c>
      <c r="C12" s="118"/>
      <c r="D12" s="105">
        <f>SUM(D10:D11)</f>
        <v>45250</v>
      </c>
      <c r="E12" s="122"/>
      <c r="F12" s="105">
        <f>SUM(F10:F11)</f>
        <v>50000</v>
      </c>
      <c r="G12" s="122"/>
      <c r="H12" s="105">
        <f>SUM(H10:H11)</f>
        <v>57500</v>
      </c>
      <c r="I12" s="122"/>
      <c r="J12" s="105">
        <f>SUM(J10:J11)</f>
        <v>34000</v>
      </c>
      <c r="K12" s="125">
        <f t="shared" si="0"/>
        <v>186750</v>
      </c>
    </row>
    <row r="13" spans="1:20" ht="15.75" x14ac:dyDescent="0.25">
      <c r="B13" s="131" t="s">
        <v>180</v>
      </c>
      <c r="C13" s="132"/>
      <c r="D13" s="132"/>
      <c r="E13" s="132"/>
      <c r="F13" s="132"/>
      <c r="G13" s="132"/>
      <c r="H13" s="132"/>
      <c r="I13" s="132"/>
      <c r="J13" s="132"/>
      <c r="K13" s="124">
        <v>-75000</v>
      </c>
    </row>
    <row r="14" spans="1:20" ht="15.75" x14ac:dyDescent="0.25">
      <c r="B14" s="133" t="s">
        <v>181</v>
      </c>
      <c r="C14" s="104"/>
      <c r="D14" s="104"/>
      <c r="E14" s="104"/>
      <c r="F14" s="104"/>
      <c r="G14" s="104"/>
      <c r="H14" s="104"/>
      <c r="I14" s="104"/>
      <c r="J14" s="104"/>
      <c r="K14" s="125">
        <f>+SUM(K12:K13)</f>
        <v>111750</v>
      </c>
    </row>
    <row r="16" spans="1:20" outlineLevel="1" x14ac:dyDescent="0.25">
      <c r="B16" s="148" t="s">
        <v>190</v>
      </c>
      <c r="C16" s="149">
        <v>1117000</v>
      </c>
    </row>
    <row r="17" spans="2:13" outlineLevel="1" x14ac:dyDescent="0.25"/>
    <row r="18" spans="2:13" outlineLevel="1" x14ac:dyDescent="0.25">
      <c r="B18" s="150" t="s">
        <v>182</v>
      </c>
      <c r="C18" s="151">
        <f>+K14/K6</f>
        <v>6.1149110807113542E-2</v>
      </c>
    </row>
    <row r="19" spans="2:13" outlineLevel="1" x14ac:dyDescent="0.25">
      <c r="B19" s="152" t="s">
        <v>191</v>
      </c>
      <c r="C19" s="153">
        <f>+K6/C16</f>
        <v>1.6360787824529992</v>
      </c>
    </row>
    <row r="20" spans="2:13" x14ac:dyDescent="0.25">
      <c r="B20" s="154" t="s">
        <v>192</v>
      </c>
      <c r="C20" s="155">
        <f>+C18*C19</f>
        <v>0.10004476275738586</v>
      </c>
    </row>
    <row r="22" spans="2:13" x14ac:dyDescent="0.25">
      <c r="B22" s="466" t="s">
        <v>193</v>
      </c>
      <c r="C22" s="466"/>
      <c r="D22" s="466"/>
      <c r="E22" s="159" t="s">
        <v>195</v>
      </c>
      <c r="F22" s="159" t="s">
        <v>197</v>
      </c>
      <c r="G22" s="159" t="s">
        <v>198</v>
      </c>
      <c r="H22" s="159" t="s">
        <v>199</v>
      </c>
      <c r="I22" s="159" t="s">
        <v>200</v>
      </c>
    </row>
    <row r="23" spans="2:13" outlineLevel="1" x14ac:dyDescent="0.25">
      <c r="B23" s="132" t="str">
        <f>+C2</f>
        <v>FOGÕES</v>
      </c>
      <c r="C23" s="132">
        <v>220000</v>
      </c>
      <c r="D23" s="160">
        <f>+C23/$C$28</f>
        <v>0.19695613249776187</v>
      </c>
      <c r="E23" s="132">
        <f>+D6</f>
        <v>382500</v>
      </c>
      <c r="F23" s="132">
        <f>+D12</f>
        <v>45250</v>
      </c>
      <c r="G23" s="156">
        <f>+F23/E23</f>
        <v>0.11830065359477124</v>
      </c>
      <c r="H23" s="157">
        <f>+E23/C23</f>
        <v>1.7386363636363635</v>
      </c>
      <c r="I23" s="156">
        <f>+G23*H23</f>
        <v>0.20568181818181816</v>
      </c>
      <c r="J23" s="170">
        <f>+D23*I23</f>
        <v>4.0510295434198741E-2</v>
      </c>
    </row>
    <row r="24" spans="2:13" outlineLevel="1" x14ac:dyDescent="0.25">
      <c r="B24" s="132" t="str">
        <f>+E2</f>
        <v>MICROONDAS</v>
      </c>
      <c r="C24" s="132">
        <v>260000</v>
      </c>
      <c r="D24" s="160">
        <f t="shared" ref="D24:D27" si="7">+C24/$C$28</f>
        <v>0.23276633840644584</v>
      </c>
      <c r="E24" s="132">
        <f>+F6</f>
        <v>425000</v>
      </c>
      <c r="F24" s="132">
        <f>+F12</f>
        <v>50000</v>
      </c>
      <c r="G24" s="156">
        <f t="shared" ref="G24:G26" si="8">+F24/E24</f>
        <v>0.11764705882352941</v>
      </c>
      <c r="H24" s="157">
        <f t="shared" ref="H24:H26" si="9">+E24/C24</f>
        <v>1.6346153846153846</v>
      </c>
      <c r="I24" s="156">
        <f t="shared" ref="I24:I26" si="10">+G24*H24</f>
        <v>0.19230769230769229</v>
      </c>
      <c r="J24" s="170">
        <f t="shared" ref="J24:J27" si="11">+D24*I24</f>
        <v>4.4762757385854966E-2</v>
      </c>
    </row>
    <row r="25" spans="2:13" outlineLevel="1" x14ac:dyDescent="0.25">
      <c r="B25" s="132" t="str">
        <f>+G2</f>
        <v>LAVADORAS</v>
      </c>
      <c r="C25" s="132">
        <v>272000</v>
      </c>
      <c r="D25" s="160">
        <f t="shared" si="7"/>
        <v>0.24350940017905104</v>
      </c>
      <c r="E25" s="132">
        <f>+H6</f>
        <v>510000</v>
      </c>
      <c r="F25" s="132">
        <f>+H12</f>
        <v>57500</v>
      </c>
      <c r="G25" s="156">
        <f t="shared" si="8"/>
        <v>0.11274509803921569</v>
      </c>
      <c r="H25" s="157">
        <f t="shared" si="9"/>
        <v>1.875</v>
      </c>
      <c r="I25" s="156">
        <f t="shared" si="10"/>
        <v>0.21139705882352941</v>
      </c>
      <c r="J25" s="170">
        <f t="shared" si="11"/>
        <v>5.1477170993733216E-2</v>
      </c>
    </row>
    <row r="26" spans="2:13" outlineLevel="1" x14ac:dyDescent="0.25">
      <c r="B26" s="132" t="str">
        <f>+I2</f>
        <v>REFIRGERADORES</v>
      </c>
      <c r="C26" s="132">
        <v>285000</v>
      </c>
      <c r="D26" s="160">
        <f t="shared" si="7"/>
        <v>0.25514771709937334</v>
      </c>
      <c r="E26" s="132">
        <f>+J6</f>
        <v>510000</v>
      </c>
      <c r="F26" s="132">
        <f>+J12</f>
        <v>34000</v>
      </c>
      <c r="G26" s="156">
        <f t="shared" si="8"/>
        <v>6.6666666666666666E-2</v>
      </c>
      <c r="H26" s="157">
        <f t="shared" si="9"/>
        <v>1.7894736842105263</v>
      </c>
      <c r="I26" s="156">
        <f t="shared" si="10"/>
        <v>0.11929824561403508</v>
      </c>
      <c r="J26" s="170">
        <f t="shared" si="11"/>
        <v>3.043867502238138E-2</v>
      </c>
    </row>
    <row r="27" spans="2:13" outlineLevel="1" x14ac:dyDescent="0.25">
      <c r="B27" s="132" t="s">
        <v>194</v>
      </c>
      <c r="C27" s="132">
        <v>80000</v>
      </c>
      <c r="D27" s="160">
        <f t="shared" si="7"/>
        <v>7.1620411817367946E-2</v>
      </c>
      <c r="E27" s="165" t="s">
        <v>196</v>
      </c>
      <c r="F27" s="165">
        <f>+K13</f>
        <v>-75000</v>
      </c>
      <c r="G27" s="169" t="s">
        <v>196</v>
      </c>
      <c r="H27" s="167" t="s">
        <v>196</v>
      </c>
      <c r="I27" s="156">
        <f>+F27/C27</f>
        <v>-0.9375</v>
      </c>
      <c r="J27" s="170">
        <f t="shared" si="11"/>
        <v>-6.7144136078782446E-2</v>
      </c>
    </row>
    <row r="28" spans="2:13" x14ac:dyDescent="0.25">
      <c r="B28" s="158" t="s">
        <v>10</v>
      </c>
      <c r="C28" s="158">
        <f>SUM(C23:C27)</f>
        <v>1117000</v>
      </c>
      <c r="D28" s="161">
        <f>SUM(D23:D27)</f>
        <v>1</v>
      </c>
      <c r="E28" s="158">
        <f>SUM(E23:E27)</f>
        <v>1827500</v>
      </c>
      <c r="F28" s="158">
        <f>SUM(F23:F27)</f>
        <v>111750</v>
      </c>
      <c r="G28" s="166">
        <f>+F28/E28</f>
        <v>6.1149110807113542E-2</v>
      </c>
      <c r="H28" s="168">
        <f>+E28/C28</f>
        <v>1.6360787824529992</v>
      </c>
      <c r="I28" s="166">
        <f>+G28*H28</f>
        <v>0.10004476275738586</v>
      </c>
      <c r="J28" s="166">
        <f>SUM(J23:J27)</f>
        <v>0.10004476275738586</v>
      </c>
    </row>
    <row r="30" spans="2:13" ht="18.75" customHeight="1" x14ac:dyDescent="0.25">
      <c r="B30" s="171"/>
      <c r="C30" s="463" t="s">
        <v>166</v>
      </c>
      <c r="D30" s="464"/>
      <c r="E30" s="465" t="s">
        <v>167</v>
      </c>
      <c r="F30" s="464"/>
      <c r="G30" s="465" t="s">
        <v>168</v>
      </c>
      <c r="H30" s="464"/>
      <c r="I30" s="465" t="s">
        <v>169</v>
      </c>
      <c r="J30" s="464"/>
      <c r="M30" s="171"/>
    </row>
    <row r="31" spans="2:13" x14ac:dyDescent="0.25">
      <c r="B31" s="43" t="s">
        <v>201</v>
      </c>
      <c r="C31" s="462">
        <f>-D11/C10</f>
        <v>459.77011494252872</v>
      </c>
      <c r="D31" s="462"/>
      <c r="E31" s="462">
        <f>-F11/E10</f>
        <v>965.90909090909088</v>
      </c>
      <c r="F31" s="462"/>
      <c r="G31" s="462">
        <f>-H11/G10</f>
        <v>411.76470588235293</v>
      </c>
      <c r="H31" s="462"/>
      <c r="I31" s="462">
        <f>-J11/I10</f>
        <v>412.37113402061857</v>
      </c>
      <c r="J31" s="462"/>
    </row>
    <row r="32" spans="2:13" x14ac:dyDescent="0.25">
      <c r="B32" s="43" t="s">
        <v>202</v>
      </c>
      <c r="C32" s="462">
        <v>1500</v>
      </c>
      <c r="D32" s="462"/>
      <c r="E32" s="462">
        <v>1250</v>
      </c>
      <c r="F32" s="462"/>
      <c r="G32" s="462">
        <v>750</v>
      </c>
      <c r="H32" s="462"/>
      <c r="I32" s="462">
        <v>500</v>
      </c>
      <c r="J32" s="462"/>
    </row>
    <row r="33" spans="2:10" x14ac:dyDescent="0.25">
      <c r="B33" s="43" t="s">
        <v>203</v>
      </c>
      <c r="C33" s="462">
        <f>+C32-C31</f>
        <v>1040.2298850574712</v>
      </c>
      <c r="D33" s="462"/>
      <c r="E33" s="462">
        <f>+E32-E31</f>
        <v>284.09090909090912</v>
      </c>
      <c r="F33" s="462"/>
      <c r="G33" s="462">
        <f>+G32-G31</f>
        <v>338.23529411764707</v>
      </c>
      <c r="H33" s="462"/>
      <c r="I33" s="462">
        <f>+I32-I31</f>
        <v>87.62886597938143</v>
      </c>
      <c r="J33" s="462"/>
    </row>
    <row r="34" spans="2:10" x14ac:dyDescent="0.25">
      <c r="B34" s="83" t="s">
        <v>204</v>
      </c>
      <c r="C34" s="447">
        <f>+C33*C10</f>
        <v>45249.999999999993</v>
      </c>
      <c r="D34" s="447"/>
      <c r="E34" s="447">
        <f>+E33*E10</f>
        <v>50000.000000000007</v>
      </c>
      <c r="F34" s="447"/>
      <c r="G34" s="447">
        <f>+G33*G10</f>
        <v>57500</v>
      </c>
      <c r="H34" s="447"/>
      <c r="I34" s="447">
        <f>+I33*I10</f>
        <v>33999.999999999993</v>
      </c>
      <c r="J34" s="447"/>
    </row>
  </sheetData>
  <mergeCells count="25">
    <mergeCell ref="C30:D30"/>
    <mergeCell ref="E30:F30"/>
    <mergeCell ref="G30:H30"/>
    <mergeCell ref="I30:J30"/>
    <mergeCell ref="C31:D31"/>
    <mergeCell ref="E31:F31"/>
    <mergeCell ref="G31:H31"/>
    <mergeCell ref="I31:J31"/>
    <mergeCell ref="C2:D2"/>
    <mergeCell ref="E2:F2"/>
    <mergeCell ref="G2:H2"/>
    <mergeCell ref="I2:J2"/>
    <mergeCell ref="B22:D22"/>
    <mergeCell ref="C34:D34"/>
    <mergeCell ref="E34:F34"/>
    <mergeCell ref="G34:H34"/>
    <mergeCell ref="I34:J34"/>
    <mergeCell ref="C33:D33"/>
    <mergeCell ref="C32:D32"/>
    <mergeCell ref="E32:F32"/>
    <mergeCell ref="G32:H32"/>
    <mergeCell ref="I32:J32"/>
    <mergeCell ref="E33:F33"/>
    <mergeCell ref="G33:H33"/>
    <mergeCell ref="I33:J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5"/>
  <sheetViews>
    <sheetView topLeftCell="A59" zoomScale="80" zoomScaleNormal="80" workbookViewId="0">
      <selection activeCell="D88" sqref="D88"/>
    </sheetView>
  </sheetViews>
  <sheetFormatPr defaultRowHeight="15" x14ac:dyDescent="0.25"/>
  <cols>
    <col min="1" max="1" width="2.85546875" style="1" customWidth="1"/>
    <col min="2" max="2" width="34.7109375" style="1" bestFit="1" customWidth="1"/>
    <col min="3" max="3" width="15.7109375" style="1" bestFit="1" customWidth="1"/>
    <col min="4" max="7" width="10.7109375" style="1" bestFit="1" customWidth="1"/>
    <col min="8" max="8" width="7.7109375" style="1" bestFit="1" customWidth="1"/>
    <col min="9" max="9" width="10.7109375" style="1" bestFit="1" customWidth="1"/>
    <col min="10" max="10" width="7.5703125" style="1" bestFit="1" customWidth="1"/>
    <col min="11" max="12" width="10.7109375" style="1" bestFit="1" customWidth="1"/>
    <col min="13" max="13" width="13" style="1" bestFit="1" customWidth="1"/>
    <col min="14" max="14" width="30.7109375" style="1" customWidth="1"/>
    <col min="15" max="16384" width="9.140625" style="1"/>
  </cols>
  <sheetData>
    <row r="2" spans="2:13" ht="15" customHeight="1" x14ac:dyDescent="0.25">
      <c r="B2" s="172"/>
      <c r="C2" s="474" t="s">
        <v>205</v>
      </c>
      <c r="D2" s="475"/>
      <c r="E2" s="474" t="s">
        <v>206</v>
      </c>
      <c r="F2" s="475"/>
    </row>
    <row r="3" spans="2:13" x14ac:dyDescent="0.25">
      <c r="B3" s="173"/>
      <c r="C3" s="180" t="s">
        <v>207</v>
      </c>
      <c r="D3" s="174" t="s">
        <v>208</v>
      </c>
      <c r="E3" s="180" t="s">
        <v>209</v>
      </c>
      <c r="F3" s="174" t="s">
        <v>210</v>
      </c>
    </row>
    <row r="4" spans="2:13" ht="25.5" x14ac:dyDescent="0.25">
      <c r="B4" s="176" t="s">
        <v>211</v>
      </c>
      <c r="C4" s="181">
        <v>200</v>
      </c>
      <c r="D4" s="182">
        <v>200</v>
      </c>
      <c r="E4" s="181">
        <v>800</v>
      </c>
      <c r="F4" s="177">
        <v>4000</v>
      </c>
    </row>
    <row r="5" spans="2:13" x14ac:dyDescent="0.25">
      <c r="B5" s="172" t="s">
        <v>212</v>
      </c>
      <c r="C5" s="183">
        <v>1200</v>
      </c>
      <c r="D5" s="178">
        <v>900</v>
      </c>
      <c r="E5" s="185">
        <v>350</v>
      </c>
      <c r="F5" s="178">
        <v>90</v>
      </c>
    </row>
    <row r="6" spans="2:13" x14ac:dyDescent="0.25">
      <c r="B6" s="173" t="s">
        <v>213</v>
      </c>
      <c r="C6" s="180">
        <v>250</v>
      </c>
      <c r="D6" s="174">
        <v>200</v>
      </c>
      <c r="E6" s="180">
        <v>95</v>
      </c>
      <c r="F6" s="174">
        <v>15</v>
      </c>
    </row>
    <row r="7" spans="2:13" x14ac:dyDescent="0.25">
      <c r="B7" s="173" t="s">
        <v>214</v>
      </c>
      <c r="C7" s="180">
        <v>90</v>
      </c>
      <c r="D7" s="174">
        <v>50</v>
      </c>
      <c r="E7" s="180">
        <v>40</v>
      </c>
      <c r="F7" s="174">
        <v>5</v>
      </c>
    </row>
    <row r="8" spans="2:13" x14ac:dyDescent="0.25">
      <c r="B8" s="175" t="s">
        <v>215</v>
      </c>
      <c r="C8" s="184">
        <v>10</v>
      </c>
      <c r="D8" s="179">
        <v>8</v>
      </c>
      <c r="E8" s="184">
        <v>7</v>
      </c>
      <c r="F8" s="179">
        <v>5</v>
      </c>
    </row>
    <row r="9" spans="2:13" x14ac:dyDescent="0.25">
      <c r="B9" s="176" t="s">
        <v>216</v>
      </c>
      <c r="C9" s="480">
        <v>700000</v>
      </c>
      <c r="D9" s="481"/>
      <c r="E9" s="480">
        <v>1500000</v>
      </c>
      <c r="F9" s="481"/>
    </row>
    <row r="10" spans="2:13" ht="25.5" x14ac:dyDescent="0.25">
      <c r="B10" s="176" t="s">
        <v>217</v>
      </c>
      <c r="C10" s="480">
        <v>110000</v>
      </c>
      <c r="D10" s="481"/>
      <c r="E10" s="480">
        <v>130000</v>
      </c>
      <c r="F10" s="481"/>
    </row>
    <row r="11" spans="2:13" x14ac:dyDescent="0.25">
      <c r="B11" s="175" t="s">
        <v>218</v>
      </c>
      <c r="C11" s="482">
        <v>50000</v>
      </c>
      <c r="D11" s="482"/>
      <c r="E11" s="482"/>
      <c r="F11" s="483"/>
    </row>
    <row r="13" spans="2:13" ht="25.5" customHeight="1" x14ac:dyDescent="0.25">
      <c r="B13" s="484" t="s">
        <v>12</v>
      </c>
      <c r="C13" s="476" t="s">
        <v>205</v>
      </c>
      <c r="D13" s="477"/>
      <c r="E13" s="477"/>
      <c r="F13" s="477"/>
      <c r="G13" s="478"/>
      <c r="H13" s="476" t="s">
        <v>206</v>
      </c>
      <c r="I13" s="477"/>
      <c r="J13" s="477"/>
      <c r="K13" s="477"/>
      <c r="L13" s="478"/>
      <c r="M13" s="479" t="s">
        <v>10</v>
      </c>
    </row>
    <row r="14" spans="2:13" ht="31.5" customHeight="1" x14ac:dyDescent="0.25">
      <c r="B14" s="485"/>
      <c r="C14" s="470" t="s">
        <v>207</v>
      </c>
      <c r="D14" s="471"/>
      <c r="E14" s="471" t="s">
        <v>208</v>
      </c>
      <c r="F14" s="471"/>
      <c r="G14" s="196" t="s">
        <v>10</v>
      </c>
      <c r="H14" s="470" t="s">
        <v>209</v>
      </c>
      <c r="I14" s="471"/>
      <c r="J14" s="471" t="s">
        <v>210</v>
      </c>
      <c r="K14" s="471"/>
      <c r="L14" s="196" t="s">
        <v>10</v>
      </c>
      <c r="M14" s="479"/>
    </row>
    <row r="15" spans="2:13" ht="18.75" x14ac:dyDescent="0.25">
      <c r="B15" s="193"/>
      <c r="C15" s="189" t="s">
        <v>219</v>
      </c>
      <c r="D15" s="190" t="s">
        <v>226</v>
      </c>
      <c r="E15" s="190" t="s">
        <v>219</v>
      </c>
      <c r="F15" s="190" t="s">
        <v>226</v>
      </c>
      <c r="G15" s="197" t="s">
        <v>226</v>
      </c>
      <c r="H15" s="189" t="s">
        <v>219</v>
      </c>
      <c r="I15" s="190" t="s">
        <v>226</v>
      </c>
      <c r="J15" s="190" t="s">
        <v>219</v>
      </c>
      <c r="K15" s="190" t="s">
        <v>226</v>
      </c>
      <c r="L15" s="197" t="s">
        <v>226</v>
      </c>
      <c r="M15" s="200" t="s">
        <v>226</v>
      </c>
    </row>
    <row r="16" spans="2:13" ht="18.75" x14ac:dyDescent="0.25">
      <c r="B16" s="194" t="s">
        <v>220</v>
      </c>
      <c r="C16" s="215">
        <f>+C5</f>
        <v>1200</v>
      </c>
      <c r="D16" s="216">
        <f>+C16*$C$4</f>
        <v>240000</v>
      </c>
      <c r="E16" s="217">
        <f>+D5</f>
        <v>900</v>
      </c>
      <c r="F16" s="216">
        <f>+E16*$D$4</f>
        <v>180000</v>
      </c>
      <c r="G16" s="198">
        <f>+D16+F16</f>
        <v>420000</v>
      </c>
      <c r="H16" s="215">
        <f>+E5</f>
        <v>350</v>
      </c>
      <c r="I16" s="216">
        <f>+H16*$E$4</f>
        <v>280000</v>
      </c>
      <c r="J16" s="217">
        <f>+F5</f>
        <v>90</v>
      </c>
      <c r="K16" s="216">
        <f>+J16*$F$4</f>
        <v>360000</v>
      </c>
      <c r="L16" s="198">
        <f>+I16+K16</f>
        <v>640000</v>
      </c>
      <c r="M16" s="201">
        <f>+G16+L16</f>
        <v>1060000</v>
      </c>
    </row>
    <row r="17" spans="2:13" ht="18.75" x14ac:dyDescent="0.25">
      <c r="B17" s="195" t="s">
        <v>221</v>
      </c>
      <c r="C17" s="218">
        <f>-C16*20%</f>
        <v>-240</v>
      </c>
      <c r="D17" s="219">
        <f>+C17*$C$4</f>
        <v>-48000</v>
      </c>
      <c r="E17" s="220">
        <f>-E16*20%</f>
        <v>-180</v>
      </c>
      <c r="F17" s="219">
        <f>+E17*$D$4</f>
        <v>-36000</v>
      </c>
      <c r="G17" s="199">
        <f>+D17+F17</f>
        <v>-84000</v>
      </c>
      <c r="H17" s="218">
        <f>-H16*20%</f>
        <v>-70</v>
      </c>
      <c r="I17" s="219">
        <f>+H17*$E$4</f>
        <v>-56000</v>
      </c>
      <c r="J17" s="220">
        <f>-J16*20%</f>
        <v>-18</v>
      </c>
      <c r="K17" s="219">
        <f>+J17*$F$4</f>
        <v>-72000</v>
      </c>
      <c r="L17" s="199">
        <f>+I17+K17</f>
        <v>-128000</v>
      </c>
      <c r="M17" s="202">
        <f>+G17+L17</f>
        <v>-212000</v>
      </c>
    </row>
    <row r="18" spans="2:13" ht="18.75" x14ac:dyDescent="0.25">
      <c r="B18" s="211" t="s">
        <v>231</v>
      </c>
      <c r="C18" s="212">
        <f t="shared" ref="C18:M18" si="0">SUM(C16:C17)</f>
        <v>960</v>
      </c>
      <c r="D18" s="213">
        <f t="shared" si="0"/>
        <v>192000</v>
      </c>
      <c r="E18" s="214">
        <f t="shared" si="0"/>
        <v>720</v>
      </c>
      <c r="F18" s="213">
        <f t="shared" si="0"/>
        <v>144000</v>
      </c>
      <c r="G18" s="201">
        <f t="shared" si="0"/>
        <v>336000</v>
      </c>
      <c r="H18" s="212">
        <f t="shared" si="0"/>
        <v>280</v>
      </c>
      <c r="I18" s="213">
        <f t="shared" si="0"/>
        <v>224000</v>
      </c>
      <c r="J18" s="214">
        <f t="shared" si="0"/>
        <v>72</v>
      </c>
      <c r="K18" s="213">
        <f t="shared" si="0"/>
        <v>288000</v>
      </c>
      <c r="L18" s="201">
        <f t="shared" si="0"/>
        <v>512000</v>
      </c>
      <c r="M18" s="201">
        <f t="shared" si="0"/>
        <v>848000</v>
      </c>
    </row>
    <row r="19" spans="2:13" ht="18.75" x14ac:dyDescent="0.25">
      <c r="B19" s="195" t="s">
        <v>174</v>
      </c>
      <c r="C19" s="218">
        <f>-C18*10%</f>
        <v>-96</v>
      </c>
      <c r="D19" s="219">
        <f t="shared" ref="D19:D22" si="1">+C19*$C$4</f>
        <v>-19200</v>
      </c>
      <c r="E19" s="220">
        <f>-E18*10%</f>
        <v>-72</v>
      </c>
      <c r="F19" s="219">
        <f t="shared" ref="F19:F22" si="2">+E19*$D$4</f>
        <v>-14400</v>
      </c>
      <c r="G19" s="199">
        <f t="shared" ref="G19:G22" si="3">+D19+F19</f>
        <v>-33600</v>
      </c>
      <c r="H19" s="218">
        <f>-H18*10%</f>
        <v>-28</v>
      </c>
      <c r="I19" s="219">
        <f t="shared" ref="I19:I22" si="4">+H19*$E$4</f>
        <v>-22400</v>
      </c>
      <c r="J19" s="220">
        <f>-J18*10%</f>
        <v>-7.2</v>
      </c>
      <c r="K19" s="219">
        <f t="shared" ref="K19:K22" si="5">+J19*$F$4</f>
        <v>-28800</v>
      </c>
      <c r="L19" s="199">
        <f t="shared" ref="L19:L22" si="6">+I19+K19</f>
        <v>-51200</v>
      </c>
      <c r="M19" s="202">
        <f t="shared" ref="M19:M22" si="7">+G19+L19</f>
        <v>-84800</v>
      </c>
    </row>
    <row r="20" spans="2:13" ht="18.75" x14ac:dyDescent="0.25">
      <c r="B20" s="195" t="s">
        <v>222</v>
      </c>
      <c r="C20" s="218">
        <f>-C6</f>
        <v>-250</v>
      </c>
      <c r="D20" s="219">
        <f t="shared" si="1"/>
        <v>-50000</v>
      </c>
      <c r="E20" s="220">
        <f>-D6</f>
        <v>-200</v>
      </c>
      <c r="F20" s="219">
        <f t="shared" si="2"/>
        <v>-40000</v>
      </c>
      <c r="G20" s="199">
        <f t="shared" si="3"/>
        <v>-90000</v>
      </c>
      <c r="H20" s="218">
        <f>-E6</f>
        <v>-95</v>
      </c>
      <c r="I20" s="219">
        <f t="shared" si="4"/>
        <v>-76000</v>
      </c>
      <c r="J20" s="220">
        <f>-F6</f>
        <v>-15</v>
      </c>
      <c r="K20" s="219">
        <f t="shared" si="5"/>
        <v>-60000</v>
      </c>
      <c r="L20" s="199">
        <f t="shared" si="6"/>
        <v>-136000</v>
      </c>
      <c r="M20" s="202">
        <f t="shared" si="7"/>
        <v>-226000</v>
      </c>
    </row>
    <row r="21" spans="2:13" ht="18.75" x14ac:dyDescent="0.25">
      <c r="B21" s="195" t="s">
        <v>223</v>
      </c>
      <c r="C21" s="218">
        <f t="shared" ref="C21:C22" si="8">-C7</f>
        <v>-90</v>
      </c>
      <c r="D21" s="219">
        <f t="shared" si="1"/>
        <v>-18000</v>
      </c>
      <c r="E21" s="220">
        <f>-D7</f>
        <v>-50</v>
      </c>
      <c r="F21" s="219">
        <f t="shared" si="2"/>
        <v>-10000</v>
      </c>
      <c r="G21" s="199">
        <f t="shared" si="3"/>
        <v>-28000</v>
      </c>
      <c r="H21" s="218">
        <f>-E7</f>
        <v>-40</v>
      </c>
      <c r="I21" s="219">
        <f t="shared" si="4"/>
        <v>-32000</v>
      </c>
      <c r="J21" s="220">
        <f>-F7</f>
        <v>-5</v>
      </c>
      <c r="K21" s="219">
        <f t="shared" si="5"/>
        <v>-20000</v>
      </c>
      <c r="L21" s="199">
        <f t="shared" si="6"/>
        <v>-52000</v>
      </c>
      <c r="M21" s="202">
        <f t="shared" si="7"/>
        <v>-80000</v>
      </c>
    </row>
    <row r="22" spans="2:13" ht="18.75" x14ac:dyDescent="0.25">
      <c r="B22" s="195" t="s">
        <v>224</v>
      </c>
      <c r="C22" s="218">
        <f t="shared" si="8"/>
        <v>-10</v>
      </c>
      <c r="D22" s="219">
        <f t="shared" si="1"/>
        <v>-2000</v>
      </c>
      <c r="E22" s="220">
        <f>-D8</f>
        <v>-8</v>
      </c>
      <c r="F22" s="219">
        <f t="shared" si="2"/>
        <v>-1600</v>
      </c>
      <c r="G22" s="199">
        <f t="shared" si="3"/>
        <v>-3600</v>
      </c>
      <c r="H22" s="218">
        <f>-E8</f>
        <v>-7</v>
      </c>
      <c r="I22" s="219">
        <f t="shared" si="4"/>
        <v>-5600</v>
      </c>
      <c r="J22" s="220">
        <f>-F8</f>
        <v>-5</v>
      </c>
      <c r="K22" s="219">
        <f t="shared" si="5"/>
        <v>-20000</v>
      </c>
      <c r="L22" s="199">
        <f t="shared" si="6"/>
        <v>-25600</v>
      </c>
      <c r="M22" s="202">
        <f t="shared" si="7"/>
        <v>-29200</v>
      </c>
    </row>
    <row r="23" spans="2:13" ht="18.75" x14ac:dyDescent="0.25">
      <c r="B23" s="207" t="s">
        <v>225</v>
      </c>
      <c r="C23" s="208">
        <f t="shared" ref="C23:M23" si="9">SUM(C18:C22)</f>
        <v>514</v>
      </c>
      <c r="D23" s="209">
        <f t="shared" si="9"/>
        <v>102800</v>
      </c>
      <c r="E23" s="210">
        <f t="shared" si="9"/>
        <v>390</v>
      </c>
      <c r="F23" s="209">
        <f t="shared" si="9"/>
        <v>78000</v>
      </c>
      <c r="G23" s="200">
        <f t="shared" si="9"/>
        <v>180800</v>
      </c>
      <c r="H23" s="208">
        <f t="shared" si="9"/>
        <v>110</v>
      </c>
      <c r="I23" s="209">
        <f t="shared" si="9"/>
        <v>88000</v>
      </c>
      <c r="J23" s="210">
        <f t="shared" si="9"/>
        <v>39.799999999999997</v>
      </c>
      <c r="K23" s="209">
        <f t="shared" si="9"/>
        <v>159200</v>
      </c>
      <c r="L23" s="200">
        <f t="shared" si="9"/>
        <v>247200</v>
      </c>
      <c r="M23" s="200">
        <f t="shared" si="9"/>
        <v>428000</v>
      </c>
    </row>
    <row r="24" spans="2:13" ht="18.75" x14ac:dyDescent="0.25">
      <c r="B24" s="195" t="s">
        <v>228</v>
      </c>
      <c r="C24" s="192"/>
      <c r="D24" s="191"/>
      <c r="E24" s="191"/>
      <c r="F24" s="191"/>
      <c r="G24" s="199">
        <f>-C10</f>
        <v>-110000</v>
      </c>
      <c r="H24" s="192"/>
      <c r="I24" s="191"/>
      <c r="J24" s="191"/>
      <c r="K24" s="191"/>
      <c r="L24" s="199">
        <f>-E10</f>
        <v>-130000</v>
      </c>
      <c r="M24" s="202">
        <f>+G24+L24</f>
        <v>-240000</v>
      </c>
    </row>
    <row r="25" spans="2:13" ht="18.75" x14ac:dyDescent="0.25">
      <c r="B25" s="207" t="s">
        <v>227</v>
      </c>
      <c r="C25" s="208"/>
      <c r="D25" s="209"/>
      <c r="E25" s="210"/>
      <c r="F25" s="209"/>
      <c r="G25" s="200">
        <f>+SUM(G23:G24)</f>
        <v>70800</v>
      </c>
      <c r="H25" s="208"/>
      <c r="I25" s="209"/>
      <c r="J25" s="210"/>
      <c r="K25" s="209"/>
      <c r="L25" s="200">
        <f>+SUM(L23:L24)</f>
        <v>117200</v>
      </c>
      <c r="M25" s="200">
        <f>+SUM(M23:M24)</f>
        <v>188000</v>
      </c>
    </row>
    <row r="26" spans="2:13" ht="18.75" x14ac:dyDescent="0.25">
      <c r="B26" s="467" t="s">
        <v>229</v>
      </c>
      <c r="C26" s="468"/>
      <c r="D26" s="468"/>
      <c r="E26" s="221"/>
      <c r="F26" s="221"/>
      <c r="G26" s="221"/>
      <c r="H26" s="221"/>
      <c r="I26" s="221"/>
      <c r="J26" s="221"/>
      <c r="K26" s="221"/>
      <c r="L26" s="221"/>
      <c r="M26" s="222">
        <f>-C11</f>
        <v>-50000</v>
      </c>
    </row>
    <row r="27" spans="2:13" ht="18.75" x14ac:dyDescent="0.25">
      <c r="B27" s="207" t="s">
        <v>230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0">
        <f>SUM(M25:M26)</f>
        <v>138000</v>
      </c>
    </row>
    <row r="28" spans="2:13" ht="18.75" x14ac:dyDescent="0.25">
      <c r="B28" s="472" t="s">
        <v>153</v>
      </c>
      <c r="C28" s="473"/>
      <c r="D28" s="473"/>
      <c r="E28" s="191"/>
      <c r="F28" s="191"/>
      <c r="G28" s="191"/>
      <c r="H28" s="191"/>
      <c r="I28" s="191"/>
      <c r="J28" s="191"/>
      <c r="K28" s="191"/>
      <c r="L28" s="191"/>
      <c r="M28" s="202">
        <f>-M27*0.4</f>
        <v>-55200</v>
      </c>
    </row>
    <row r="29" spans="2:13" ht="18.75" x14ac:dyDescent="0.25">
      <c r="B29" s="205" t="s">
        <v>232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3">
        <f>SUM(M27:M28)</f>
        <v>82800</v>
      </c>
    </row>
    <row r="30" spans="2:13" ht="18.75" x14ac:dyDescent="0.25">
      <c r="B30" s="467" t="s">
        <v>234</v>
      </c>
      <c r="C30" s="468"/>
      <c r="D30" s="468"/>
      <c r="E30" s="221"/>
      <c r="F30" s="221"/>
      <c r="G30" s="221"/>
      <c r="H30" s="221"/>
      <c r="I30" s="221"/>
      <c r="J30" s="221"/>
      <c r="K30" s="221"/>
      <c r="L30" s="221"/>
      <c r="M30" s="222">
        <f>-C33*1%</f>
        <v>-30000</v>
      </c>
    </row>
    <row r="31" spans="2:13" ht="18.75" x14ac:dyDescent="0.25">
      <c r="B31" s="205" t="s">
        <v>235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3">
        <f>SUM(M29:M30)</f>
        <v>52800</v>
      </c>
    </row>
    <row r="33" spans="2:12" x14ac:dyDescent="0.25">
      <c r="B33" s="186" t="s">
        <v>190</v>
      </c>
      <c r="C33" s="186">
        <v>3000000</v>
      </c>
    </row>
    <row r="34" spans="2:12" x14ac:dyDescent="0.25">
      <c r="B34" s="223"/>
      <c r="C34" s="223"/>
    </row>
    <row r="35" spans="2:12" x14ac:dyDescent="0.25">
      <c r="B35" s="186" t="s">
        <v>182</v>
      </c>
      <c r="C35" s="224">
        <f>+M29/M18</f>
        <v>9.764150943396227E-2</v>
      </c>
    </row>
    <row r="36" spans="2:12" x14ac:dyDescent="0.25">
      <c r="B36" s="186" t="s">
        <v>191</v>
      </c>
      <c r="C36" s="225">
        <f>+M18/C33</f>
        <v>0.28266666666666668</v>
      </c>
    </row>
    <row r="37" spans="2:12" x14ac:dyDescent="0.25">
      <c r="B37" s="188" t="s">
        <v>233</v>
      </c>
      <c r="C37" s="226">
        <f>+C35*C36</f>
        <v>2.7600000000000003E-2</v>
      </c>
    </row>
    <row r="38" spans="2:12" ht="18.75" x14ac:dyDescent="0.25">
      <c r="B38" s="227" t="s">
        <v>236</v>
      </c>
      <c r="C38" s="227">
        <f>+(C37-1%)*C33</f>
        <v>52800.000000000015</v>
      </c>
    </row>
    <row r="40" spans="2:12" ht="18.75" x14ac:dyDescent="0.25">
      <c r="B40" s="469" t="s">
        <v>193</v>
      </c>
      <c r="C40" s="469"/>
      <c r="D40" s="469"/>
      <c r="E40" s="227" t="s">
        <v>239</v>
      </c>
      <c r="F40" s="227" t="s">
        <v>240</v>
      </c>
      <c r="G40" s="227" t="s">
        <v>162</v>
      </c>
      <c r="H40" s="227" t="s">
        <v>198</v>
      </c>
      <c r="I40" s="227" t="s">
        <v>199</v>
      </c>
      <c r="J40" s="469" t="s">
        <v>233</v>
      </c>
      <c r="K40" s="469"/>
      <c r="L40" s="227" t="s">
        <v>163</v>
      </c>
    </row>
    <row r="41" spans="2:12" ht="18.75" x14ac:dyDescent="0.25">
      <c r="B41" s="187" t="s">
        <v>237</v>
      </c>
      <c r="C41" s="186">
        <f>+C9</f>
        <v>700000</v>
      </c>
      <c r="D41" s="228">
        <f>+C41/$C$44</f>
        <v>0.23333333333333334</v>
      </c>
      <c r="E41" s="186">
        <f>+G18</f>
        <v>336000</v>
      </c>
      <c r="F41" s="186">
        <f>+G25</f>
        <v>70800</v>
      </c>
      <c r="G41" s="186">
        <f>+F41*(1-40%)</f>
        <v>42480</v>
      </c>
      <c r="H41" s="224">
        <f>+G41/E41</f>
        <v>0.12642857142857142</v>
      </c>
      <c r="I41" s="225">
        <f>+E41/C41</f>
        <v>0.48</v>
      </c>
      <c r="J41" s="224">
        <f>+H41*I41</f>
        <v>6.068571428571428E-2</v>
      </c>
      <c r="K41" s="232">
        <f>+J41*D41</f>
        <v>1.4159999999999999E-2</v>
      </c>
      <c r="L41" s="204">
        <f>+(J41-1%)*C41</f>
        <v>35479.999999999993</v>
      </c>
    </row>
    <row r="42" spans="2:12" ht="18.75" x14ac:dyDescent="0.25">
      <c r="B42" s="187" t="s">
        <v>238</v>
      </c>
      <c r="C42" s="186">
        <f>+E9</f>
        <v>1500000</v>
      </c>
      <c r="D42" s="228">
        <f t="shared" ref="D42:D43" si="10">+C42/$C$44</f>
        <v>0.5</v>
      </c>
      <c r="E42" s="186">
        <f>+L18</f>
        <v>512000</v>
      </c>
      <c r="F42" s="186">
        <f>+L25</f>
        <v>117200</v>
      </c>
      <c r="G42" s="186">
        <f t="shared" ref="G42:G43" si="11">+F42*(1-40%)</f>
        <v>70320</v>
      </c>
      <c r="H42" s="224">
        <f t="shared" ref="H42" si="12">+G42/E42</f>
        <v>0.13734374999999999</v>
      </c>
      <c r="I42" s="225">
        <f t="shared" ref="I42" si="13">+E42/C42</f>
        <v>0.34133333333333332</v>
      </c>
      <c r="J42" s="224">
        <f t="shared" ref="J42" si="14">+H42*I42</f>
        <v>4.6879999999999991E-2</v>
      </c>
      <c r="K42" s="232">
        <f t="shared" ref="K42:K43" si="15">+J42*D42</f>
        <v>2.3439999999999996E-2</v>
      </c>
      <c r="L42" s="204">
        <f t="shared" ref="L42:L43" si="16">+(J42-1%)*C42</f>
        <v>55319.999999999985</v>
      </c>
    </row>
    <row r="43" spans="2:12" ht="18.75" x14ac:dyDescent="0.25">
      <c r="B43" s="187" t="s">
        <v>194</v>
      </c>
      <c r="C43" s="186">
        <v>800000</v>
      </c>
      <c r="D43" s="228">
        <f t="shared" si="10"/>
        <v>0.26666666666666666</v>
      </c>
      <c r="E43" s="229" t="s">
        <v>196</v>
      </c>
      <c r="F43" s="186">
        <f>+M26</f>
        <v>-50000</v>
      </c>
      <c r="G43" s="186">
        <f t="shared" si="11"/>
        <v>-30000</v>
      </c>
      <c r="H43" s="230" t="s">
        <v>196</v>
      </c>
      <c r="I43" s="231" t="s">
        <v>196</v>
      </c>
      <c r="J43" s="224">
        <f>+G43/C43</f>
        <v>-3.7499999999999999E-2</v>
      </c>
      <c r="K43" s="232">
        <f t="shared" si="15"/>
        <v>-0.01</v>
      </c>
      <c r="L43" s="204">
        <f t="shared" si="16"/>
        <v>-38000</v>
      </c>
    </row>
    <row r="44" spans="2:12" ht="18.75" x14ac:dyDescent="0.25">
      <c r="B44" s="234" t="s">
        <v>10</v>
      </c>
      <c r="C44" s="233">
        <f>SUM(C41:C43)</f>
        <v>3000000</v>
      </c>
      <c r="D44" s="235">
        <f>SUM(D41:D43)</f>
        <v>1</v>
      </c>
      <c r="E44" s="233">
        <f>SUM(E41:E43)</f>
        <v>848000</v>
      </c>
      <c r="F44" s="233">
        <f>SUM(F41:F43)</f>
        <v>138000</v>
      </c>
      <c r="G44" s="233">
        <f>SUM(G41:G43)</f>
        <v>82800</v>
      </c>
      <c r="H44" s="236">
        <f>+G44/E44</f>
        <v>9.764150943396227E-2</v>
      </c>
      <c r="I44" s="237">
        <f>+E44/C44</f>
        <v>0.28266666666666668</v>
      </c>
      <c r="J44" s="233"/>
      <c r="K44" s="236">
        <f>SUM(K41:K43)</f>
        <v>2.7599999999999993E-2</v>
      </c>
      <c r="L44" s="233">
        <f>SUM(L41:L43)</f>
        <v>52799.999999999971</v>
      </c>
    </row>
    <row r="46" spans="2:12" ht="30" x14ac:dyDescent="0.25">
      <c r="B46" s="243"/>
      <c r="C46" s="243" t="str">
        <f>+C3</f>
        <v>GUARDA-ROUPAS</v>
      </c>
      <c r="D46" s="243" t="str">
        <f t="shared" ref="D46:F46" si="17">+D3</f>
        <v>CAMAS</v>
      </c>
      <c r="E46" s="243" t="str">
        <f t="shared" si="17"/>
        <v>MESAS</v>
      </c>
      <c r="F46" s="243" t="str">
        <f t="shared" si="17"/>
        <v>CADEIRAS</v>
      </c>
      <c r="G46" s="243" t="s">
        <v>10</v>
      </c>
    </row>
    <row r="47" spans="2:12" x14ac:dyDescent="0.25">
      <c r="B47" s="242" t="s">
        <v>140</v>
      </c>
      <c r="C47" s="242">
        <f>+C4</f>
        <v>200</v>
      </c>
      <c r="D47" s="242">
        <f t="shared" ref="D47:F47" si="18">+D4</f>
        <v>200</v>
      </c>
      <c r="E47" s="242">
        <f t="shared" si="18"/>
        <v>800</v>
      </c>
      <c r="F47" s="242">
        <f t="shared" si="18"/>
        <v>4000</v>
      </c>
      <c r="G47" s="246">
        <f>SUM(C47:F47)</f>
        <v>5200</v>
      </c>
    </row>
    <row r="48" spans="2:12" x14ac:dyDescent="0.25">
      <c r="B48" s="242" t="s">
        <v>145</v>
      </c>
      <c r="C48" s="245">
        <f>+C47/$G$47</f>
        <v>3.8461538461538464E-2</v>
      </c>
      <c r="D48" s="245">
        <f t="shared" ref="D48:F48" si="19">+D47/$G$47</f>
        <v>3.8461538461538464E-2</v>
      </c>
      <c r="E48" s="245">
        <f t="shared" si="19"/>
        <v>0.15384615384615385</v>
      </c>
      <c r="F48" s="245">
        <f t="shared" si="19"/>
        <v>0.76923076923076927</v>
      </c>
      <c r="G48" s="247">
        <f>SUM(C48:F48)</f>
        <v>1</v>
      </c>
    </row>
    <row r="49" spans="1:8" x14ac:dyDescent="0.25">
      <c r="B49" s="240"/>
      <c r="C49" s="248"/>
      <c r="D49" s="248"/>
      <c r="E49" s="248"/>
      <c r="F49" s="248"/>
      <c r="G49" s="249"/>
    </row>
    <row r="50" spans="1:8" ht="30" x14ac:dyDescent="0.25">
      <c r="B50" s="243"/>
      <c r="C50" s="243" t="str">
        <f>+C46</f>
        <v>GUARDA-ROUPAS</v>
      </c>
      <c r="D50" s="243" t="str">
        <f t="shared" ref="D50:F50" si="20">+D46</f>
        <v>CAMAS</v>
      </c>
      <c r="E50" s="243" t="str">
        <f t="shared" si="20"/>
        <v>MESAS</v>
      </c>
      <c r="F50" s="243" t="str">
        <f t="shared" si="20"/>
        <v>CADEIRAS</v>
      </c>
    </row>
    <row r="51" spans="1:8" x14ac:dyDescent="0.25">
      <c r="B51" s="252" t="s">
        <v>241</v>
      </c>
      <c r="C51" s="253">
        <f>+C18</f>
        <v>960</v>
      </c>
      <c r="D51" s="253">
        <f>+E18</f>
        <v>720</v>
      </c>
      <c r="E51" s="253">
        <f>+H18</f>
        <v>280</v>
      </c>
      <c r="F51" s="253">
        <f>+J18</f>
        <v>72</v>
      </c>
    </row>
    <row r="52" spans="1:8" x14ac:dyDescent="0.25">
      <c r="B52" s="250" t="s">
        <v>242</v>
      </c>
      <c r="C52" s="251">
        <f>+SUM(C19:C22)</f>
        <v>-446</v>
      </c>
      <c r="D52" s="251">
        <f>+SUM(E19:E22)</f>
        <v>-330</v>
      </c>
      <c r="E52" s="251">
        <f>+SUM(H19:H22)</f>
        <v>-170</v>
      </c>
      <c r="F52" s="251">
        <f>+SUM(J19:J22)</f>
        <v>-32.200000000000003</v>
      </c>
    </row>
    <row r="53" spans="1:8" s="13" customFormat="1" x14ac:dyDescent="0.25">
      <c r="A53" s="1"/>
      <c r="B53" s="252" t="s">
        <v>243</v>
      </c>
      <c r="C53" s="253">
        <f>SUM(C51:C52)</f>
        <v>514</v>
      </c>
      <c r="D53" s="253">
        <f t="shared" ref="D53:F53" si="21">SUM(D51:D52)</f>
        <v>390</v>
      </c>
      <c r="E53" s="253">
        <f t="shared" si="21"/>
        <v>110</v>
      </c>
      <c r="F53" s="253">
        <f t="shared" si="21"/>
        <v>39.799999999999997</v>
      </c>
      <c r="G53" s="1"/>
      <c r="H53" s="1"/>
    </row>
    <row r="54" spans="1:8" s="13" customFormat="1" x14ac:dyDescent="0.25">
      <c r="A54" s="1"/>
      <c r="B54" s="1"/>
      <c r="C54" s="1"/>
      <c r="D54" s="1"/>
      <c r="E54" s="1"/>
      <c r="F54" s="1"/>
      <c r="G54" s="1"/>
      <c r="H54" s="1"/>
    </row>
    <row r="55" spans="1:8" ht="30" x14ac:dyDescent="0.25">
      <c r="B55" s="243"/>
      <c r="C55" s="243" t="str">
        <f>+C50</f>
        <v>GUARDA-ROUPAS</v>
      </c>
      <c r="D55" s="243" t="str">
        <f t="shared" ref="D55:F55" si="22">+D50</f>
        <v>CAMAS</v>
      </c>
      <c r="E55" s="243" t="str">
        <f t="shared" si="22"/>
        <v>MESAS</v>
      </c>
      <c r="F55" s="243" t="str">
        <f t="shared" si="22"/>
        <v>CADEIRAS</v>
      </c>
      <c r="G55" s="243" t="s">
        <v>245</v>
      </c>
    </row>
    <row r="56" spans="1:8" x14ac:dyDescent="0.25">
      <c r="B56" s="254" t="s">
        <v>244</v>
      </c>
      <c r="C56" s="256">
        <f>+C51*C48</f>
        <v>36.923076923076927</v>
      </c>
      <c r="D56" s="256">
        <f t="shared" ref="D56:F56" si="23">+D51*D48</f>
        <v>27.692307692307693</v>
      </c>
      <c r="E56" s="256">
        <f t="shared" si="23"/>
        <v>43.07692307692308</v>
      </c>
      <c r="F56" s="256">
        <f t="shared" si="23"/>
        <v>55.384615384615387</v>
      </c>
      <c r="G56" s="255">
        <f>SUM(C56:F56)</f>
        <v>163.07692307692309</v>
      </c>
    </row>
    <row r="57" spans="1:8" x14ac:dyDescent="0.25">
      <c r="B57" s="257" t="s">
        <v>246</v>
      </c>
      <c r="C57" s="258">
        <f>+C52*C48</f>
        <v>-17.153846153846153</v>
      </c>
      <c r="D57" s="258">
        <f t="shared" ref="D57:F57" si="24">+D52*D48</f>
        <v>-12.692307692307693</v>
      </c>
      <c r="E57" s="258">
        <f t="shared" si="24"/>
        <v>-26.153846153846157</v>
      </c>
      <c r="F57" s="258">
        <f t="shared" si="24"/>
        <v>-24.769230769230774</v>
      </c>
      <c r="G57" s="259">
        <f>SUM(C57:F57)</f>
        <v>-80.769230769230774</v>
      </c>
    </row>
    <row r="58" spans="1:8" x14ac:dyDescent="0.25">
      <c r="B58" s="254" t="s">
        <v>251</v>
      </c>
      <c r="C58" s="256">
        <f>+C53*C48</f>
        <v>19.76923076923077</v>
      </c>
      <c r="D58" s="256">
        <f t="shared" ref="D58:F58" si="25">+D53*D48</f>
        <v>15</v>
      </c>
      <c r="E58" s="256">
        <f t="shared" si="25"/>
        <v>16.923076923076923</v>
      </c>
      <c r="F58" s="256">
        <f t="shared" si="25"/>
        <v>30.615384615384613</v>
      </c>
      <c r="G58" s="255">
        <f>SUM(C58:F58)</f>
        <v>82.307692307692307</v>
      </c>
    </row>
    <row r="59" spans="1:8" x14ac:dyDescent="0.25">
      <c r="B59" s="257" t="s">
        <v>252</v>
      </c>
      <c r="C59" s="258">
        <f>-C58*0.4</f>
        <v>-7.907692307692308</v>
      </c>
      <c r="D59" s="258">
        <f t="shared" ref="D59:F59" si="26">-D58*0.4</f>
        <v>-6</v>
      </c>
      <c r="E59" s="258">
        <f t="shared" si="26"/>
        <v>-6.7692307692307701</v>
      </c>
      <c r="F59" s="258">
        <f t="shared" si="26"/>
        <v>-12.246153846153845</v>
      </c>
      <c r="G59" s="259">
        <f>SUM(C59:F59)</f>
        <v>-32.92307692307692</v>
      </c>
      <c r="H59" s="259">
        <f>+G59+G57</f>
        <v>-113.69230769230769</v>
      </c>
    </row>
    <row r="60" spans="1:8" x14ac:dyDescent="0.25">
      <c r="B60" s="254" t="s">
        <v>253</v>
      </c>
      <c r="C60" s="256">
        <f>+SUM(C58:C59)</f>
        <v>11.861538461538462</v>
      </c>
      <c r="D60" s="256">
        <f t="shared" ref="D60:F60" si="27">+SUM(D58:D59)</f>
        <v>9</v>
      </c>
      <c r="E60" s="256">
        <f t="shared" si="27"/>
        <v>10.153846153846153</v>
      </c>
      <c r="F60" s="256">
        <f t="shared" si="27"/>
        <v>18.369230769230768</v>
      </c>
      <c r="G60" s="255">
        <f>SUM(C60:F60)</f>
        <v>49.384615384615387</v>
      </c>
    </row>
    <row r="62" spans="1:8" x14ac:dyDescent="0.25">
      <c r="B62" s="243"/>
      <c r="C62" s="243" t="s">
        <v>147</v>
      </c>
    </row>
    <row r="63" spans="1:8" x14ac:dyDescent="0.25">
      <c r="B63" s="250" t="s">
        <v>247</v>
      </c>
      <c r="C63" s="244">
        <f>-G24-L24-M26</f>
        <v>290000</v>
      </c>
    </row>
    <row r="64" spans="1:8" x14ac:dyDescent="0.25">
      <c r="B64" s="250" t="s">
        <v>248</v>
      </c>
      <c r="C64" s="244">
        <v>10000</v>
      </c>
    </row>
    <row r="65" spans="2:3" x14ac:dyDescent="0.25">
      <c r="B65" s="250" t="s">
        <v>249</v>
      </c>
      <c r="C65" s="244">
        <f>+C33*1%</f>
        <v>30000</v>
      </c>
    </row>
    <row r="67" spans="2:3" x14ac:dyDescent="0.25">
      <c r="B67" s="242" t="s">
        <v>250</v>
      </c>
      <c r="C67" s="242">
        <f>+C63/G58</f>
        <v>3523.3644859813085</v>
      </c>
    </row>
    <row r="69" spans="2:3" x14ac:dyDescent="0.25">
      <c r="B69" s="242" t="s">
        <v>254</v>
      </c>
      <c r="C69" s="242">
        <f>+C65/G60+C67</f>
        <v>4130.8411214953267</v>
      </c>
    </row>
    <row r="71" spans="2:3" x14ac:dyDescent="0.25">
      <c r="B71" s="242" t="s">
        <v>258</v>
      </c>
      <c r="C71" s="242">
        <f>+(C63-C64)/G58</f>
        <v>3401.8691588785045</v>
      </c>
    </row>
    <row r="73" spans="2:3" x14ac:dyDescent="0.25">
      <c r="B73" s="242" t="s">
        <v>255</v>
      </c>
      <c r="C73" s="242">
        <f>+G47</f>
        <v>5200</v>
      </c>
    </row>
    <row r="75" spans="2:3" x14ac:dyDescent="0.25">
      <c r="B75" s="242" t="s">
        <v>256</v>
      </c>
      <c r="C75" s="242">
        <f>+C73-C67</f>
        <v>1676.6355140186915</v>
      </c>
    </row>
    <row r="76" spans="2:3" x14ac:dyDescent="0.25">
      <c r="B76" s="242" t="s">
        <v>257</v>
      </c>
      <c r="C76" s="242">
        <f>+C73-C69</f>
        <v>1069.1588785046733</v>
      </c>
    </row>
    <row r="78" spans="2:3" x14ac:dyDescent="0.25">
      <c r="B78" s="243"/>
      <c r="C78" s="243" t="s">
        <v>147</v>
      </c>
    </row>
    <row r="79" spans="2:3" x14ac:dyDescent="0.25">
      <c r="B79" s="250" t="s">
        <v>162</v>
      </c>
      <c r="C79" s="244">
        <f>+C75*G60</f>
        <v>82800</v>
      </c>
    </row>
    <row r="80" spans="2:3" x14ac:dyDescent="0.25">
      <c r="B80" s="250" t="s">
        <v>163</v>
      </c>
      <c r="C80" s="244">
        <f>+C76*G60</f>
        <v>52800.000000000022</v>
      </c>
    </row>
    <row r="82" spans="2:4" x14ac:dyDescent="0.25">
      <c r="B82" s="261" t="s">
        <v>164</v>
      </c>
      <c r="C82" s="241" t="s">
        <v>259</v>
      </c>
      <c r="D82" s="243" t="s">
        <v>147</v>
      </c>
    </row>
    <row r="83" spans="2:4" x14ac:dyDescent="0.25">
      <c r="B83" s="250" t="s">
        <v>162</v>
      </c>
      <c r="C83" s="242">
        <f>+C73-C67</f>
        <v>1676.6355140186915</v>
      </c>
      <c r="D83" s="244">
        <f>+C83*G60</f>
        <v>82800</v>
      </c>
    </row>
    <row r="84" spans="2:4" x14ac:dyDescent="0.25">
      <c r="B84" s="250" t="s">
        <v>148</v>
      </c>
      <c r="C84" s="242">
        <f>+C67-C71</f>
        <v>121.49532710280391</v>
      </c>
      <c r="D84" s="260">
        <f>+C84*G58</f>
        <v>10000.000000000015</v>
      </c>
    </row>
    <row r="85" spans="2:4" x14ac:dyDescent="0.25">
      <c r="B85" s="254" t="s">
        <v>10</v>
      </c>
      <c r="C85" s="246"/>
      <c r="D85" s="262">
        <f>SUM(D83:D84)</f>
        <v>92800.000000000015</v>
      </c>
    </row>
  </sheetData>
  <mergeCells count="20">
    <mergeCell ref="C2:D2"/>
    <mergeCell ref="E2:F2"/>
    <mergeCell ref="H13:L13"/>
    <mergeCell ref="M13:M14"/>
    <mergeCell ref="B26:D26"/>
    <mergeCell ref="E9:F9"/>
    <mergeCell ref="C10:D10"/>
    <mergeCell ref="E10:F10"/>
    <mergeCell ref="C11:F11"/>
    <mergeCell ref="B13:B14"/>
    <mergeCell ref="C14:D14"/>
    <mergeCell ref="E14:F14"/>
    <mergeCell ref="C13:G13"/>
    <mergeCell ref="C9:D9"/>
    <mergeCell ref="B30:D30"/>
    <mergeCell ref="B40:D40"/>
    <mergeCell ref="J40:K40"/>
    <mergeCell ref="H14:I14"/>
    <mergeCell ref="J14:K14"/>
    <mergeCell ref="B28:D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4"/>
  <sheetViews>
    <sheetView topLeftCell="A43" zoomScale="110" zoomScaleNormal="110" workbookViewId="0">
      <selection activeCell="M45" sqref="M45"/>
    </sheetView>
  </sheetViews>
  <sheetFormatPr defaultRowHeight="18.75" x14ac:dyDescent="0.25"/>
  <cols>
    <col min="1" max="1" width="1.5703125" style="1" customWidth="1"/>
    <col min="2" max="2" width="30.42578125" style="1" bestFit="1" customWidth="1"/>
    <col min="3" max="3" width="8" style="1" bestFit="1" customWidth="1"/>
    <col min="4" max="4" width="7" style="1" bestFit="1" customWidth="1"/>
    <col min="5" max="5" width="8.28515625" style="1" bestFit="1" customWidth="1"/>
    <col min="6" max="6" width="7" style="1" bestFit="1" customWidth="1"/>
    <col min="7" max="7" width="8.85546875" style="1" bestFit="1" customWidth="1"/>
    <col min="8" max="8" width="8.140625" style="1" bestFit="1" customWidth="1"/>
    <col min="9" max="9" width="7.42578125" style="1" bestFit="1" customWidth="1"/>
    <col min="10" max="10" width="6.7109375" style="1" bestFit="1" customWidth="1"/>
    <col min="11" max="11" width="7.42578125" style="1" bestFit="1" customWidth="1"/>
    <col min="12" max="12" width="9.5703125" style="1" bestFit="1" customWidth="1"/>
    <col min="13" max="13" width="11.42578125" style="295" bestFit="1" customWidth="1"/>
    <col min="14" max="16384" width="9.140625" style="1"/>
  </cols>
  <sheetData>
    <row r="2" spans="2:5" x14ac:dyDescent="0.25">
      <c r="B2" s="497" t="s">
        <v>260</v>
      </c>
      <c r="C2" s="497"/>
    </row>
    <row r="3" spans="2:5" x14ac:dyDescent="0.25">
      <c r="B3" s="497" t="s">
        <v>261</v>
      </c>
      <c r="C3" s="497"/>
    </row>
    <row r="4" spans="2:5" x14ac:dyDescent="0.25">
      <c r="B4" s="268" t="s">
        <v>262</v>
      </c>
      <c r="C4" s="269">
        <v>410000</v>
      </c>
      <c r="E4" s="1">
        <f>+C4*(1-40%)</f>
        <v>246000</v>
      </c>
    </row>
    <row r="5" spans="2:5" x14ac:dyDescent="0.25">
      <c r="B5" s="270" t="s">
        <v>263</v>
      </c>
      <c r="C5" s="271">
        <v>-230000</v>
      </c>
      <c r="E5" s="1">
        <f>+C5*(1-40%)</f>
        <v>-138000</v>
      </c>
    </row>
    <row r="6" spans="2:5" x14ac:dyDescent="0.25">
      <c r="B6" s="270" t="s">
        <v>264</v>
      </c>
      <c r="C6" s="271">
        <v>-137000</v>
      </c>
      <c r="E6" s="1">
        <f>+C6*(1-40%)</f>
        <v>-82200</v>
      </c>
    </row>
    <row r="7" spans="2:5" x14ac:dyDescent="0.25">
      <c r="B7" s="276" t="s">
        <v>265</v>
      </c>
      <c r="C7" s="277">
        <v>-10000</v>
      </c>
      <c r="E7" s="1">
        <f>+C7*(1-40%)</f>
        <v>-6000</v>
      </c>
    </row>
    <row r="8" spans="2:5" x14ac:dyDescent="0.25">
      <c r="B8" s="265" t="s">
        <v>266</v>
      </c>
      <c r="C8" s="266">
        <f>SUM(C4:C7)</f>
        <v>33000</v>
      </c>
      <c r="E8" s="13">
        <f>SUM(E4:E7)</f>
        <v>19800</v>
      </c>
    </row>
    <row r="9" spans="2:5" x14ac:dyDescent="0.25">
      <c r="B9" s="263" t="s">
        <v>267</v>
      </c>
      <c r="C9" s="264">
        <v>-13200</v>
      </c>
      <c r="D9" s="267">
        <f>-C9/C8</f>
        <v>0.4</v>
      </c>
    </row>
    <row r="10" spans="2:5" x14ac:dyDescent="0.25">
      <c r="B10" s="265" t="s">
        <v>268</v>
      </c>
      <c r="C10" s="266">
        <f>+SUM(C8:C9)</f>
        <v>19800</v>
      </c>
    </row>
    <row r="11" spans="2:5" x14ac:dyDescent="0.25">
      <c r="B11" s="276" t="s">
        <v>269</v>
      </c>
      <c r="C11" s="277">
        <v>-18000</v>
      </c>
    </row>
    <row r="12" spans="2:5" x14ac:dyDescent="0.25">
      <c r="B12" s="265" t="s">
        <v>270</v>
      </c>
      <c r="C12" s="266">
        <f>+SUM(C10:C11)</f>
        <v>1800</v>
      </c>
    </row>
    <row r="14" spans="2:5" x14ac:dyDescent="0.25">
      <c r="B14" s="268" t="s">
        <v>190</v>
      </c>
      <c r="C14" s="269">
        <v>100000</v>
      </c>
    </row>
    <row r="15" spans="2:5" x14ac:dyDescent="0.25">
      <c r="B15" s="276" t="s">
        <v>271</v>
      </c>
      <c r="C15" s="277">
        <f>+C14*0.4</f>
        <v>40000</v>
      </c>
    </row>
    <row r="16" spans="2:5" x14ac:dyDescent="0.25">
      <c r="B16" s="276" t="s">
        <v>272</v>
      </c>
      <c r="C16" s="277">
        <f>+C14*0.6</f>
        <v>60000</v>
      </c>
    </row>
    <row r="18" spans="2:13" x14ac:dyDescent="0.25">
      <c r="B18" s="270" t="s">
        <v>273</v>
      </c>
      <c r="C18" s="271">
        <f>+SUM(C4:C6)</f>
        <v>43000</v>
      </c>
    </row>
    <row r="19" spans="2:13" x14ac:dyDescent="0.25">
      <c r="B19" s="270" t="s">
        <v>274</v>
      </c>
      <c r="C19" s="271">
        <f>+C18*(1-$D$9)</f>
        <v>25800</v>
      </c>
    </row>
    <row r="20" spans="2:13" x14ac:dyDescent="0.25">
      <c r="B20" s="270" t="s">
        <v>182</v>
      </c>
      <c r="C20" s="272">
        <f>+C19/C4</f>
        <v>6.2926829268292683E-2</v>
      </c>
    </row>
    <row r="21" spans="2:13" x14ac:dyDescent="0.25">
      <c r="B21" s="270" t="s">
        <v>191</v>
      </c>
      <c r="C21" s="273">
        <f>+C4/C14</f>
        <v>4.0999999999999996</v>
      </c>
    </row>
    <row r="22" spans="2:13" x14ac:dyDescent="0.25">
      <c r="B22" s="274" t="s">
        <v>233</v>
      </c>
      <c r="C22" s="275">
        <f>+C20*C21</f>
        <v>0.25799999999999995</v>
      </c>
    </row>
    <row r="24" spans="2:13" x14ac:dyDescent="0.25">
      <c r="B24" s="278" t="s">
        <v>275</v>
      </c>
      <c r="C24" s="279">
        <f>-C7/C15*(1-40%)</f>
        <v>0.15</v>
      </c>
    </row>
    <row r="25" spans="2:13" x14ac:dyDescent="0.25">
      <c r="B25" s="278" t="s">
        <v>276</v>
      </c>
      <c r="C25" s="279">
        <f>-C11/C16</f>
        <v>0.3</v>
      </c>
    </row>
    <row r="26" spans="2:13" x14ac:dyDescent="0.25">
      <c r="B26" s="278" t="s">
        <v>278</v>
      </c>
      <c r="C26" s="279">
        <f>+C15/C14</f>
        <v>0.4</v>
      </c>
    </row>
    <row r="27" spans="2:13" x14ac:dyDescent="0.25">
      <c r="B27" s="278" t="s">
        <v>277</v>
      </c>
      <c r="C27" s="279">
        <f>+C16/C14</f>
        <v>0.6</v>
      </c>
    </row>
    <row r="28" spans="2:13" x14ac:dyDescent="0.25">
      <c r="B28" s="311" t="s">
        <v>279</v>
      </c>
      <c r="C28" s="312">
        <f>+C24*C26+C25*C27</f>
        <v>0.24</v>
      </c>
    </row>
    <row r="29" spans="2:13" x14ac:dyDescent="0.25">
      <c r="B29" s="280" t="s">
        <v>163</v>
      </c>
      <c r="C29" s="281">
        <f>+(C22-C28)*C14</f>
        <v>1799.9999999999961</v>
      </c>
    </row>
    <row r="31" spans="2:13" ht="18.75" customHeight="1" x14ac:dyDescent="0.25">
      <c r="B31" s="282" t="s">
        <v>12</v>
      </c>
      <c r="C31" s="493" t="s">
        <v>280</v>
      </c>
      <c r="D31" s="493"/>
      <c r="E31" s="493"/>
      <c r="F31" s="493"/>
      <c r="G31" s="493"/>
      <c r="H31" s="493" t="s">
        <v>286</v>
      </c>
      <c r="I31" s="493"/>
      <c r="J31" s="493"/>
      <c r="K31" s="493"/>
      <c r="L31" s="493"/>
      <c r="M31" s="493" t="s">
        <v>10</v>
      </c>
    </row>
    <row r="32" spans="2:13" ht="15.75" customHeight="1" x14ac:dyDescent="0.25">
      <c r="B32" s="283" t="s">
        <v>12</v>
      </c>
      <c r="C32" s="496" t="s">
        <v>281</v>
      </c>
      <c r="D32" s="496"/>
      <c r="E32" s="496" t="s">
        <v>282</v>
      </c>
      <c r="F32" s="496"/>
      <c r="G32" s="283" t="s">
        <v>10</v>
      </c>
      <c r="H32" s="496" t="s">
        <v>281</v>
      </c>
      <c r="I32" s="496"/>
      <c r="J32" s="496" t="s">
        <v>282</v>
      </c>
      <c r="K32" s="496"/>
      <c r="L32" s="283" t="s">
        <v>10</v>
      </c>
      <c r="M32" s="493"/>
    </row>
    <row r="33" spans="2:13" ht="15.75" x14ac:dyDescent="0.25">
      <c r="B33" s="290"/>
      <c r="C33" s="290" t="s">
        <v>283</v>
      </c>
      <c r="D33" s="290" t="s">
        <v>88</v>
      </c>
      <c r="E33" s="290" t="s">
        <v>283</v>
      </c>
      <c r="F33" s="290" t="s">
        <v>88</v>
      </c>
      <c r="G33" s="290" t="s">
        <v>88</v>
      </c>
      <c r="H33" s="290" t="s">
        <v>283</v>
      </c>
      <c r="I33" s="290" t="s">
        <v>88</v>
      </c>
      <c r="J33" s="290" t="s">
        <v>283</v>
      </c>
      <c r="K33" s="290" t="s">
        <v>88</v>
      </c>
      <c r="L33" s="290" t="s">
        <v>88</v>
      </c>
      <c r="M33" s="290" t="s">
        <v>88</v>
      </c>
    </row>
    <row r="34" spans="2:13" x14ac:dyDescent="0.25">
      <c r="B34" s="287" t="s">
        <v>284</v>
      </c>
      <c r="C34" s="288">
        <v>7</v>
      </c>
      <c r="D34" s="289">
        <f>+C34*10000</f>
        <v>70000</v>
      </c>
      <c r="E34" s="288">
        <v>12</v>
      </c>
      <c r="F34" s="289">
        <f>+E34*5000</f>
        <v>60000</v>
      </c>
      <c r="G34" s="291">
        <f>+D34+F34</f>
        <v>130000</v>
      </c>
      <c r="H34" s="288">
        <v>8</v>
      </c>
      <c r="I34" s="289">
        <f>+H34*20000</f>
        <v>160000</v>
      </c>
      <c r="J34" s="288">
        <v>15</v>
      </c>
      <c r="K34" s="289">
        <f>+J34*8000</f>
        <v>120000</v>
      </c>
      <c r="L34" s="291">
        <f>+I34+K34</f>
        <v>280000</v>
      </c>
      <c r="M34" s="296">
        <f>+G34+L34</f>
        <v>410000</v>
      </c>
    </row>
    <row r="35" spans="2:13" x14ac:dyDescent="0.25">
      <c r="B35" s="285" t="s">
        <v>242</v>
      </c>
      <c r="C35" s="286">
        <v>-4.2</v>
      </c>
      <c r="D35" s="284">
        <f>+C35*10000</f>
        <v>-42000</v>
      </c>
      <c r="E35" s="286">
        <v>-4.8</v>
      </c>
      <c r="F35" s="284">
        <f>+E35*5000</f>
        <v>-24000</v>
      </c>
      <c r="G35" s="291">
        <f t="shared" ref="G35" si="0">+D35+F35</f>
        <v>-66000</v>
      </c>
      <c r="H35" s="286">
        <v>-4</v>
      </c>
      <c r="I35" s="284">
        <f>+H35*20000</f>
        <v>-80000</v>
      </c>
      <c r="J35" s="286">
        <v>-10.5</v>
      </c>
      <c r="K35" s="284">
        <f>+J35*8000</f>
        <v>-84000</v>
      </c>
      <c r="L35" s="291">
        <f t="shared" ref="L35" si="1">+I35+K35</f>
        <v>-164000</v>
      </c>
      <c r="M35" s="296">
        <f t="shared" ref="M35:M38" si="2">+G35+L35</f>
        <v>-230000</v>
      </c>
    </row>
    <row r="36" spans="2:13" x14ac:dyDescent="0.25">
      <c r="B36" s="287" t="s">
        <v>177</v>
      </c>
      <c r="C36" s="288">
        <f t="shared" ref="C36:L36" si="3">SUM(C34:C35)</f>
        <v>2.8</v>
      </c>
      <c r="D36" s="289">
        <f t="shared" si="3"/>
        <v>28000</v>
      </c>
      <c r="E36" s="288">
        <f t="shared" si="3"/>
        <v>7.2</v>
      </c>
      <c r="F36" s="289">
        <f t="shared" si="3"/>
        <v>36000</v>
      </c>
      <c r="G36" s="291">
        <f t="shared" si="3"/>
        <v>64000</v>
      </c>
      <c r="H36" s="288">
        <f t="shared" si="3"/>
        <v>4</v>
      </c>
      <c r="I36" s="289">
        <f t="shared" si="3"/>
        <v>80000</v>
      </c>
      <c r="J36" s="288">
        <f t="shared" si="3"/>
        <v>4.5</v>
      </c>
      <c r="K36" s="289">
        <f t="shared" si="3"/>
        <v>36000</v>
      </c>
      <c r="L36" s="291">
        <f t="shared" si="3"/>
        <v>116000</v>
      </c>
      <c r="M36" s="296">
        <f t="shared" si="2"/>
        <v>180000</v>
      </c>
    </row>
    <row r="37" spans="2:13" x14ac:dyDescent="0.25">
      <c r="B37" s="494" t="s">
        <v>285</v>
      </c>
      <c r="C37" s="494"/>
      <c r="D37" s="284"/>
      <c r="E37" s="286"/>
      <c r="F37" s="284"/>
      <c r="G37" s="292">
        <v>-40000</v>
      </c>
      <c r="H37" s="286"/>
      <c r="I37" s="284"/>
      <c r="J37" s="286"/>
      <c r="K37" s="284"/>
      <c r="L37" s="292">
        <v>-95000</v>
      </c>
      <c r="M37" s="296">
        <f t="shared" si="2"/>
        <v>-135000</v>
      </c>
    </row>
    <row r="38" spans="2:13" x14ac:dyDescent="0.25">
      <c r="B38" s="293" t="s">
        <v>179</v>
      </c>
      <c r="C38" s="294"/>
      <c r="D38" s="290"/>
      <c r="E38" s="294"/>
      <c r="F38" s="290"/>
      <c r="G38" s="290">
        <f>SUM(G36:G37)</f>
        <v>24000</v>
      </c>
      <c r="H38" s="294"/>
      <c r="I38" s="290"/>
      <c r="J38" s="294"/>
      <c r="K38" s="290"/>
      <c r="L38" s="290">
        <f>SUM(L36:L37)</f>
        <v>21000</v>
      </c>
      <c r="M38" s="296">
        <f t="shared" si="2"/>
        <v>45000</v>
      </c>
    </row>
    <row r="39" spans="2:13" x14ac:dyDescent="0.25">
      <c r="B39" s="494" t="s">
        <v>287</v>
      </c>
      <c r="C39" s="494"/>
      <c r="D39" s="284"/>
      <c r="E39" s="286"/>
      <c r="F39" s="284"/>
      <c r="G39" s="292"/>
      <c r="H39" s="286"/>
      <c r="I39" s="284"/>
      <c r="J39" s="286"/>
      <c r="K39" s="284"/>
      <c r="L39" s="292"/>
      <c r="M39" s="296">
        <v>-2000</v>
      </c>
    </row>
    <row r="40" spans="2:13" x14ac:dyDescent="0.25">
      <c r="B40" s="293" t="s">
        <v>230</v>
      </c>
      <c r="C40" s="294"/>
      <c r="D40" s="290"/>
      <c r="E40" s="294"/>
      <c r="F40" s="290"/>
      <c r="G40" s="290"/>
      <c r="H40" s="294"/>
      <c r="I40" s="290"/>
      <c r="J40" s="294"/>
      <c r="K40" s="290"/>
      <c r="L40" s="290"/>
      <c r="M40" s="296">
        <f>SUM(M38:M39)</f>
        <v>43000</v>
      </c>
    </row>
    <row r="41" spans="2:13" x14ac:dyDescent="0.25">
      <c r="B41" s="494" t="s">
        <v>153</v>
      </c>
      <c r="C41" s="494"/>
      <c r="D41" s="284"/>
      <c r="E41" s="286"/>
      <c r="F41" s="284"/>
      <c r="G41" s="292"/>
      <c r="H41" s="286"/>
      <c r="I41" s="284"/>
      <c r="J41" s="286"/>
      <c r="K41" s="284"/>
      <c r="L41" s="292"/>
      <c r="M41" s="296">
        <f>-M40*D9</f>
        <v>-17200</v>
      </c>
    </row>
    <row r="42" spans="2:13" x14ac:dyDescent="0.25">
      <c r="B42" s="293" t="s">
        <v>232</v>
      </c>
      <c r="C42" s="294"/>
      <c r="D42" s="290"/>
      <c r="E42" s="294"/>
      <c r="F42" s="290"/>
      <c r="G42" s="290"/>
      <c r="H42" s="294"/>
      <c r="I42" s="290"/>
      <c r="J42" s="294"/>
      <c r="K42" s="290"/>
      <c r="L42" s="290"/>
      <c r="M42" s="296">
        <f>SUM(M40:M41)</f>
        <v>25800</v>
      </c>
    </row>
    <row r="44" spans="2:13" ht="15.75" x14ac:dyDescent="0.25">
      <c r="B44" s="486" t="s">
        <v>190</v>
      </c>
      <c r="C44" s="486"/>
      <c r="D44" s="486"/>
      <c r="E44" s="294" t="s">
        <v>291</v>
      </c>
      <c r="F44" s="294" t="s">
        <v>240</v>
      </c>
      <c r="G44" s="294" t="s">
        <v>290</v>
      </c>
      <c r="H44" s="294" t="s">
        <v>162</v>
      </c>
      <c r="I44" s="294" t="s">
        <v>198</v>
      </c>
      <c r="J44" s="294" t="s">
        <v>199</v>
      </c>
      <c r="K44" s="495" t="s">
        <v>233</v>
      </c>
      <c r="L44" s="495"/>
      <c r="M44" s="308" t="s">
        <v>163</v>
      </c>
    </row>
    <row r="45" spans="2:13" ht="15" x14ac:dyDescent="0.25">
      <c r="B45" s="285" t="s">
        <v>288</v>
      </c>
      <c r="C45" s="284">
        <v>50000</v>
      </c>
      <c r="D45" s="297">
        <f>+C45/$C$48</f>
        <v>0.5</v>
      </c>
      <c r="E45" s="284">
        <f>+G34</f>
        <v>130000</v>
      </c>
      <c r="F45" s="284">
        <f>+G38</f>
        <v>24000</v>
      </c>
      <c r="G45" s="284">
        <f>-F45*$D$9</f>
        <v>-9600</v>
      </c>
      <c r="H45" s="284">
        <f>+F45+G45</f>
        <v>14400</v>
      </c>
      <c r="I45" s="299">
        <f>+H45/E45</f>
        <v>0.11076923076923077</v>
      </c>
      <c r="J45" s="286">
        <f>+E45/C45</f>
        <v>2.6</v>
      </c>
      <c r="K45" s="306">
        <f>+I45*J45</f>
        <v>0.28800000000000003</v>
      </c>
      <c r="L45" s="307">
        <f>+D45*K45</f>
        <v>0.14400000000000002</v>
      </c>
      <c r="M45" s="310">
        <f>+(K45-$C$28)*C45</f>
        <v>2400.0000000000023</v>
      </c>
    </row>
    <row r="46" spans="2:13" ht="15" x14ac:dyDescent="0.25">
      <c r="B46" s="285" t="s">
        <v>289</v>
      </c>
      <c r="C46" s="284">
        <v>48000</v>
      </c>
      <c r="D46" s="297">
        <f t="shared" ref="D46:D47" si="4">+C46/$C$48</f>
        <v>0.48</v>
      </c>
      <c r="E46" s="284">
        <f>+L34</f>
        <v>280000</v>
      </c>
      <c r="F46" s="284">
        <f>+L38</f>
        <v>21000</v>
      </c>
      <c r="G46" s="284">
        <f t="shared" ref="G46:G47" si="5">-F46*$D$9</f>
        <v>-8400</v>
      </c>
      <c r="H46" s="284">
        <f t="shared" ref="H46:H47" si="6">+F46+G46</f>
        <v>12600</v>
      </c>
      <c r="I46" s="299">
        <f t="shared" ref="I46:I48" si="7">+H46/E46</f>
        <v>4.4999999999999998E-2</v>
      </c>
      <c r="J46" s="286">
        <f t="shared" ref="J46:J48" si="8">+E46/C46</f>
        <v>5.833333333333333</v>
      </c>
      <c r="K46" s="306">
        <f>+I46*J46</f>
        <v>0.26249999999999996</v>
      </c>
      <c r="L46" s="307">
        <f>+D46*K46</f>
        <v>0.12599999999999997</v>
      </c>
      <c r="M46" s="310">
        <f t="shared" ref="M46:M47" si="9">+(K46-$C$28)*C46</f>
        <v>1079.9999999999982</v>
      </c>
    </row>
    <row r="47" spans="2:13" ht="15" x14ac:dyDescent="0.25">
      <c r="B47" s="285" t="s">
        <v>187</v>
      </c>
      <c r="C47" s="284">
        <v>2000</v>
      </c>
      <c r="D47" s="297">
        <f t="shared" si="4"/>
        <v>0.02</v>
      </c>
      <c r="E47" s="298" t="s">
        <v>196</v>
      </c>
      <c r="F47" s="284">
        <f>+M39</f>
        <v>-2000</v>
      </c>
      <c r="G47" s="284">
        <f t="shared" si="5"/>
        <v>800</v>
      </c>
      <c r="H47" s="284">
        <f t="shared" si="6"/>
        <v>-1200</v>
      </c>
      <c r="I47" s="300" t="s">
        <v>196</v>
      </c>
      <c r="J47" s="303" t="s">
        <v>196</v>
      </c>
      <c r="K47" s="306">
        <f>+H47/C47</f>
        <v>-0.6</v>
      </c>
      <c r="L47" s="307">
        <f>+D47*K47</f>
        <v>-1.2E-2</v>
      </c>
      <c r="M47" s="310">
        <f t="shared" si="9"/>
        <v>-1680</v>
      </c>
    </row>
    <row r="48" spans="2:13" ht="15" x14ac:dyDescent="0.25">
      <c r="B48" s="6" t="s">
        <v>10</v>
      </c>
      <c r="C48" s="7">
        <f t="shared" ref="C48:H48" si="10">SUM(C45:C47)</f>
        <v>100000</v>
      </c>
      <c r="D48" s="301">
        <f t="shared" si="10"/>
        <v>1</v>
      </c>
      <c r="E48" s="7">
        <f t="shared" si="10"/>
        <v>410000</v>
      </c>
      <c r="F48" s="7">
        <f t="shared" si="10"/>
        <v>43000</v>
      </c>
      <c r="G48" s="7">
        <f t="shared" si="10"/>
        <v>-17200</v>
      </c>
      <c r="H48" s="7">
        <f t="shared" si="10"/>
        <v>25800</v>
      </c>
      <c r="I48" s="302">
        <f t="shared" si="7"/>
        <v>6.2926829268292683E-2</v>
      </c>
      <c r="J48" s="304">
        <f t="shared" si="8"/>
        <v>4.0999999999999996</v>
      </c>
      <c r="K48" s="305">
        <f>+I48*J48</f>
        <v>0.25799999999999995</v>
      </c>
      <c r="L48" s="305">
        <f>SUM(L45:L47)</f>
        <v>0.25800000000000001</v>
      </c>
      <c r="M48" s="309">
        <f>SUM(M45:M47)</f>
        <v>1800.0000000000005</v>
      </c>
    </row>
    <row r="49" spans="2:4" x14ac:dyDescent="0.25">
      <c r="B49" s="2"/>
    </row>
    <row r="50" spans="2:4" x14ac:dyDescent="0.25">
      <c r="B50" s="238" t="s">
        <v>301</v>
      </c>
      <c r="C50" s="239">
        <v>43000</v>
      </c>
    </row>
    <row r="51" spans="2:4" x14ac:dyDescent="0.25">
      <c r="B51" s="2"/>
    </row>
    <row r="52" spans="2:4" ht="18.75" customHeight="1" x14ac:dyDescent="0.25">
      <c r="B52" s="486" t="s">
        <v>292</v>
      </c>
      <c r="C52" s="486"/>
    </row>
    <row r="53" spans="2:4" x14ac:dyDescent="0.25">
      <c r="B53" s="287" t="s">
        <v>293</v>
      </c>
      <c r="C53" s="288">
        <f>+M34/C50</f>
        <v>9.5348837209302317</v>
      </c>
    </row>
    <row r="54" spans="2:4" x14ac:dyDescent="0.25">
      <c r="B54" s="285" t="s">
        <v>294</v>
      </c>
      <c r="C54" s="286">
        <f>+M35/C50</f>
        <v>-5.3488372093023253</v>
      </c>
    </row>
    <row r="55" spans="2:4" x14ac:dyDescent="0.25">
      <c r="B55" s="6" t="s">
        <v>295</v>
      </c>
      <c r="C55" s="304">
        <f>SUM(C53:C54)</f>
        <v>4.1860465116279064</v>
      </c>
    </row>
    <row r="56" spans="2:4" x14ac:dyDescent="0.25">
      <c r="B56" s="285" t="s">
        <v>153</v>
      </c>
      <c r="C56" s="286">
        <f>-C55*$D$9</f>
        <v>-1.6744186046511627</v>
      </c>
      <c r="D56" s="34">
        <f>+C56+C54</f>
        <v>-7.0232558139534884</v>
      </c>
    </row>
    <row r="57" spans="2:4" x14ac:dyDescent="0.25">
      <c r="B57" s="6" t="s">
        <v>296</v>
      </c>
      <c r="C57" s="304">
        <f>SUM(C55:C56)</f>
        <v>2.5116279069767438</v>
      </c>
    </row>
    <row r="58" spans="2:4" x14ac:dyDescent="0.25">
      <c r="B58" s="2"/>
    </row>
    <row r="59" spans="2:4" x14ac:dyDescent="0.25">
      <c r="B59" s="285" t="s">
        <v>297</v>
      </c>
      <c r="C59" s="284">
        <f>-M37-M39</f>
        <v>137000</v>
      </c>
    </row>
    <row r="60" spans="2:4" x14ac:dyDescent="0.25">
      <c r="B60" s="285" t="s">
        <v>303</v>
      </c>
      <c r="C60" s="284">
        <v>9680</v>
      </c>
    </row>
    <row r="61" spans="2:4" x14ac:dyDescent="0.25">
      <c r="B61" s="2"/>
    </row>
    <row r="62" spans="2:4" x14ac:dyDescent="0.25">
      <c r="B62" s="285" t="s">
        <v>298</v>
      </c>
      <c r="C62" s="284">
        <f>+C14*C28</f>
        <v>24000</v>
      </c>
    </row>
    <row r="63" spans="2:4" x14ac:dyDescent="0.25">
      <c r="B63" s="2"/>
    </row>
    <row r="64" spans="2:4" x14ac:dyDescent="0.25">
      <c r="B64" s="238" t="s">
        <v>299</v>
      </c>
      <c r="C64" s="239">
        <f>+C59/C55</f>
        <v>32727.777777777781</v>
      </c>
    </row>
    <row r="65" spans="2:7" x14ac:dyDescent="0.25">
      <c r="B65" s="238" t="s">
        <v>300</v>
      </c>
      <c r="C65" s="239">
        <f>+C62/C57+C64</f>
        <v>42283.333333333336</v>
      </c>
    </row>
    <row r="66" spans="2:7" x14ac:dyDescent="0.25">
      <c r="B66" s="238" t="s">
        <v>304</v>
      </c>
      <c r="C66" s="239">
        <f>+(C59-C60)/C55</f>
        <v>30415.333333333336</v>
      </c>
    </row>
    <row r="67" spans="2:7" x14ac:dyDescent="0.25">
      <c r="B67" s="2"/>
    </row>
    <row r="68" spans="2:7" x14ac:dyDescent="0.25">
      <c r="B68" s="2"/>
      <c r="C68" s="313" t="s">
        <v>302</v>
      </c>
      <c r="D68" s="7" t="s">
        <v>102</v>
      </c>
    </row>
    <row r="69" spans="2:7" ht="18.75" customHeight="1" x14ac:dyDescent="0.25">
      <c r="B69" s="314" t="s">
        <v>162</v>
      </c>
      <c r="C69" s="315">
        <f>+C50-C64</f>
        <v>10272.222222222219</v>
      </c>
      <c r="D69" s="316">
        <f>+C69*C57</f>
        <v>25799.999999999989</v>
      </c>
      <c r="E69" s="487" t="s">
        <v>36</v>
      </c>
      <c r="F69" s="487"/>
      <c r="G69" s="488"/>
    </row>
    <row r="70" spans="2:7" x14ac:dyDescent="0.25">
      <c r="B70" s="317" t="s">
        <v>163</v>
      </c>
      <c r="C70" s="318">
        <f>+C50-C65</f>
        <v>716.66666666666424</v>
      </c>
      <c r="D70" s="319">
        <f>+C70*C57</f>
        <v>1799.9999999999936</v>
      </c>
      <c r="E70" s="489"/>
      <c r="F70" s="489"/>
      <c r="G70" s="490"/>
    </row>
    <row r="71" spans="2:7" ht="18.75" customHeight="1" x14ac:dyDescent="0.25">
      <c r="B71" s="320" t="s">
        <v>164</v>
      </c>
      <c r="C71" s="315"/>
      <c r="D71" s="321"/>
      <c r="E71" s="491" t="s">
        <v>37</v>
      </c>
      <c r="F71" s="491"/>
      <c r="G71" s="492"/>
    </row>
    <row r="72" spans="2:7" x14ac:dyDescent="0.25">
      <c r="B72" s="322" t="s">
        <v>162</v>
      </c>
      <c r="C72" s="323">
        <f>+C50-C64</f>
        <v>10272.222222222219</v>
      </c>
      <c r="D72" s="324">
        <f>+C72*C57</f>
        <v>25799.999999999989</v>
      </c>
      <c r="E72" s="491"/>
      <c r="F72" s="491"/>
      <c r="G72" s="492"/>
    </row>
    <row r="73" spans="2:7" x14ac:dyDescent="0.25">
      <c r="B73" s="322" t="s">
        <v>148</v>
      </c>
      <c r="C73" s="323">
        <f>+C64-C66</f>
        <v>2312.4444444444453</v>
      </c>
      <c r="D73" s="324">
        <f>+C73*C55</f>
        <v>9680.0000000000018</v>
      </c>
      <c r="E73" s="491"/>
      <c r="F73" s="491"/>
      <c r="G73" s="492"/>
    </row>
    <row r="74" spans="2:7" x14ac:dyDescent="0.25">
      <c r="B74" s="317" t="s">
        <v>10</v>
      </c>
      <c r="C74" s="318"/>
      <c r="D74" s="319">
        <f>+SUM(D72:D73)</f>
        <v>35479.999999999993</v>
      </c>
      <c r="E74" s="489"/>
      <c r="F74" s="489"/>
      <c r="G74" s="490"/>
    </row>
  </sheetData>
  <mergeCells count="17">
    <mergeCell ref="B2:C2"/>
    <mergeCell ref="B3:C3"/>
    <mergeCell ref="C32:D32"/>
    <mergeCell ref="B37:C37"/>
    <mergeCell ref="E32:F32"/>
    <mergeCell ref="C31:G31"/>
    <mergeCell ref="B52:C52"/>
    <mergeCell ref="E69:G70"/>
    <mergeCell ref="E71:G74"/>
    <mergeCell ref="M31:M32"/>
    <mergeCell ref="B39:C39"/>
    <mergeCell ref="B41:C41"/>
    <mergeCell ref="B44:D44"/>
    <mergeCell ref="K44:L44"/>
    <mergeCell ref="H31:L31"/>
    <mergeCell ref="H32:I32"/>
    <mergeCell ref="J32:K3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topLeftCell="A16" zoomScaleNormal="100" workbookViewId="0">
      <selection activeCell="L17" sqref="L17"/>
    </sheetView>
  </sheetViews>
  <sheetFormatPr defaultRowHeight="18.75" x14ac:dyDescent="0.25"/>
  <cols>
    <col min="1" max="1" width="1.5703125" style="1" customWidth="1"/>
    <col min="2" max="2" width="28.42578125" style="1" bestFit="1" customWidth="1"/>
    <col min="3" max="3" width="8" style="1" bestFit="1" customWidth="1"/>
    <col min="4" max="4" width="9.42578125" style="1" bestFit="1" customWidth="1"/>
    <col min="5" max="5" width="8.140625" style="1" bestFit="1" customWidth="1"/>
    <col min="6" max="6" width="7.42578125" style="1" bestFit="1" customWidth="1"/>
    <col min="7" max="10" width="7.42578125" style="1" customWidth="1"/>
    <col min="11" max="11" width="11.140625" style="1" bestFit="1" customWidth="1"/>
    <col min="12" max="12" width="11.42578125" style="295" bestFit="1" customWidth="1"/>
    <col min="13" max="16384" width="9.140625" style="1"/>
  </cols>
  <sheetData>
    <row r="2" spans="2:12" ht="18.75" customHeight="1" x14ac:dyDescent="0.25">
      <c r="B2" s="339" t="s">
        <v>280</v>
      </c>
      <c r="C2" s="498" t="s">
        <v>305</v>
      </c>
      <c r="D2" s="499"/>
      <c r="E2" s="498" t="s">
        <v>306</v>
      </c>
      <c r="F2" s="499"/>
      <c r="G2" s="498" t="s">
        <v>307</v>
      </c>
      <c r="H2" s="499"/>
      <c r="I2" s="498" t="s">
        <v>308</v>
      </c>
      <c r="J2" s="499"/>
      <c r="K2" s="347" t="s">
        <v>194</v>
      </c>
      <c r="L2" s="340" t="s">
        <v>10</v>
      </c>
    </row>
    <row r="3" spans="2:12" ht="15.75" x14ac:dyDescent="0.25">
      <c r="B3" s="325"/>
      <c r="C3" s="325" t="s">
        <v>283</v>
      </c>
      <c r="D3" s="326" t="s">
        <v>88</v>
      </c>
      <c r="E3" s="325" t="s">
        <v>283</v>
      </c>
      <c r="F3" s="326" t="s">
        <v>88</v>
      </c>
      <c r="G3" s="325" t="s">
        <v>283</v>
      </c>
      <c r="H3" s="326" t="s">
        <v>88</v>
      </c>
      <c r="I3" s="325" t="s">
        <v>283</v>
      </c>
      <c r="J3" s="326" t="s">
        <v>88</v>
      </c>
      <c r="K3" s="348" t="s">
        <v>88</v>
      </c>
      <c r="L3" s="326" t="s">
        <v>88</v>
      </c>
    </row>
    <row r="4" spans="2:12" x14ac:dyDescent="0.25">
      <c r="B4" s="342" t="s">
        <v>284</v>
      </c>
      <c r="C4" s="327">
        <f>+D4/15000</f>
        <v>8.6666666666666661</v>
      </c>
      <c r="D4" s="328">
        <f>+'TURIASSU - PARTE 1'!G34</f>
        <v>130000</v>
      </c>
      <c r="E4" s="336">
        <v>2</v>
      </c>
      <c r="F4" s="337">
        <f>+E4*20000</f>
        <v>40000</v>
      </c>
      <c r="G4" s="336">
        <v>0.3</v>
      </c>
      <c r="H4" s="337">
        <f>+G4*100000</f>
        <v>30000</v>
      </c>
      <c r="I4" s="336">
        <f>+J4/135000</f>
        <v>0.16666666666666666</v>
      </c>
      <c r="J4" s="337">
        <f>-D7-F7-H7</f>
        <v>22500</v>
      </c>
      <c r="K4" s="349"/>
      <c r="L4" s="343">
        <f>+D4</f>
        <v>130000</v>
      </c>
    </row>
    <row r="5" spans="2:12" x14ac:dyDescent="0.25">
      <c r="B5" s="344" t="s">
        <v>310</v>
      </c>
      <c r="C5" s="329">
        <f>+D5/15000</f>
        <v>-2.6666666666666665</v>
      </c>
      <c r="D5" s="330">
        <f>-20000*2</f>
        <v>-40000</v>
      </c>
      <c r="E5" s="331"/>
      <c r="F5" s="332"/>
      <c r="G5" s="338"/>
      <c r="H5" s="332"/>
      <c r="I5" s="338"/>
      <c r="J5" s="332"/>
      <c r="K5" s="350"/>
      <c r="L5" s="343"/>
    </row>
    <row r="6" spans="2:12" x14ac:dyDescent="0.25">
      <c r="B6" s="344" t="s">
        <v>311</v>
      </c>
      <c r="C6" s="329"/>
      <c r="D6" s="330"/>
      <c r="E6" s="329">
        <f>+F6/20000</f>
        <v>-1.5</v>
      </c>
      <c r="F6" s="330">
        <f>-H4</f>
        <v>-30000</v>
      </c>
      <c r="G6" s="338"/>
      <c r="H6" s="332"/>
      <c r="I6" s="338"/>
      <c r="J6" s="332"/>
      <c r="K6" s="350"/>
      <c r="L6" s="343"/>
    </row>
    <row r="7" spans="2:12" x14ac:dyDescent="0.25">
      <c r="B7" s="344" t="s">
        <v>312</v>
      </c>
      <c r="C7" s="329">
        <v>-0.9</v>
      </c>
      <c r="D7" s="330">
        <f>+C7*15000</f>
        <v>-13500</v>
      </c>
      <c r="E7" s="329">
        <v>-0.2</v>
      </c>
      <c r="F7" s="330">
        <f>+E7*20000</f>
        <v>-4000</v>
      </c>
      <c r="G7" s="329">
        <v>-0.05</v>
      </c>
      <c r="H7" s="330">
        <f>+G7*100000</f>
        <v>-5000</v>
      </c>
      <c r="I7" s="338"/>
      <c r="J7" s="332"/>
      <c r="K7" s="350"/>
      <c r="L7" s="343"/>
    </row>
    <row r="8" spans="2:12" x14ac:dyDescent="0.25">
      <c r="B8" s="346" t="s">
        <v>309</v>
      </c>
      <c r="C8" s="331">
        <v>-2.2666666000000002</v>
      </c>
      <c r="D8" s="332">
        <f>+C8*15000</f>
        <v>-33999.999000000003</v>
      </c>
      <c r="E8" s="331">
        <v>-0.1</v>
      </c>
      <c r="F8" s="332">
        <f>+E8*20000</f>
        <v>-2000</v>
      </c>
      <c r="G8" s="331">
        <v>-0.15</v>
      </c>
      <c r="H8" s="332">
        <f>+G8*100000</f>
        <v>-15000</v>
      </c>
      <c r="I8" s="331">
        <v>-0.111111</v>
      </c>
      <c r="J8" s="332">
        <f>+I8*135000</f>
        <v>-14999.985000000001</v>
      </c>
      <c r="K8" s="350"/>
      <c r="L8" s="343">
        <f>+D8+F8+H8+J8</f>
        <v>-65999.983999999997</v>
      </c>
    </row>
    <row r="9" spans="2:12" x14ac:dyDescent="0.25">
      <c r="B9" s="342" t="s">
        <v>177</v>
      </c>
      <c r="C9" s="327">
        <f t="shared" ref="C9:J9" si="0">SUM(C4:C8)</f>
        <v>2.8333333999999994</v>
      </c>
      <c r="D9" s="328">
        <f t="shared" si="0"/>
        <v>42500.000999999997</v>
      </c>
      <c r="E9" s="327">
        <f t="shared" si="0"/>
        <v>0.19999999999999998</v>
      </c>
      <c r="F9" s="328">
        <f t="shared" si="0"/>
        <v>4000</v>
      </c>
      <c r="G9" s="327">
        <f t="shared" si="0"/>
        <v>0.1</v>
      </c>
      <c r="H9" s="328">
        <f t="shared" si="0"/>
        <v>10000</v>
      </c>
      <c r="I9" s="327">
        <f t="shared" si="0"/>
        <v>5.5555666666666656E-2</v>
      </c>
      <c r="J9" s="328">
        <f t="shared" si="0"/>
        <v>7500.0149999999994</v>
      </c>
      <c r="K9" s="349"/>
      <c r="L9" s="343">
        <f>+D9+F9+H9+J9</f>
        <v>64000.015999999996</v>
      </c>
    </row>
    <row r="10" spans="2:12" ht="18.75" customHeight="1" x14ac:dyDescent="0.25">
      <c r="B10" s="333" t="s">
        <v>313</v>
      </c>
      <c r="C10" s="333"/>
      <c r="D10" s="332">
        <v>-25000</v>
      </c>
      <c r="E10" s="352"/>
      <c r="F10" s="332">
        <v>-2500</v>
      </c>
      <c r="G10" s="345"/>
      <c r="H10" s="332">
        <v>-6000</v>
      </c>
      <c r="I10" s="345"/>
      <c r="J10" s="332">
        <v>-5500</v>
      </c>
      <c r="K10" s="332">
        <v>-1000</v>
      </c>
      <c r="L10" s="343">
        <f>+D10+F10+H10+J10+K10</f>
        <v>-40000</v>
      </c>
    </row>
    <row r="11" spans="2:12" x14ac:dyDescent="0.25">
      <c r="B11" s="354" t="s">
        <v>314</v>
      </c>
      <c r="C11" s="357"/>
      <c r="D11" s="326">
        <f>+SUM(D9:D10)</f>
        <v>17500.000999999997</v>
      </c>
      <c r="E11" s="353"/>
      <c r="F11" s="326">
        <f>+SUM(F9:F10)</f>
        <v>1500</v>
      </c>
      <c r="G11" s="341"/>
      <c r="H11" s="326">
        <f>+SUM(H9:H10)</f>
        <v>4000</v>
      </c>
      <c r="I11" s="341"/>
      <c r="J11" s="326">
        <f>+SUM(J9:J10)</f>
        <v>2000.0149999999994</v>
      </c>
      <c r="K11" s="326">
        <f>+SUM(K9:K10)</f>
        <v>-1000</v>
      </c>
      <c r="L11" s="343">
        <f>+D11+F11+H11+J11+K11</f>
        <v>24000.015999999996</v>
      </c>
    </row>
    <row r="12" spans="2:12" x14ac:dyDescent="0.25">
      <c r="B12" s="333" t="s">
        <v>153</v>
      </c>
      <c r="C12" s="333"/>
      <c r="D12" s="332">
        <f>-D11*'TURIASSU - PARTE 1'!$D$9</f>
        <v>-7000.000399999999</v>
      </c>
      <c r="E12" s="352"/>
      <c r="F12" s="332">
        <f>-F11*'TURIASSU - PARTE 1'!$D$9</f>
        <v>-600</v>
      </c>
      <c r="G12" s="345"/>
      <c r="H12" s="332">
        <f>-H11*'TURIASSU - PARTE 1'!$D$9</f>
        <v>-1600</v>
      </c>
      <c r="I12" s="345"/>
      <c r="J12" s="332">
        <f>-J11*'TURIASSU - PARTE 1'!$D$9</f>
        <v>-800.00599999999986</v>
      </c>
      <c r="K12" s="332">
        <f>-K11*'TURIASSU - PARTE 1'!$D$9</f>
        <v>400</v>
      </c>
      <c r="L12" s="343">
        <f>+D12+F12+H12+J12+K12</f>
        <v>-9600.0063999999984</v>
      </c>
    </row>
    <row r="13" spans="2:12" ht="15.75" x14ac:dyDescent="0.25">
      <c r="B13" s="351" t="s">
        <v>232</v>
      </c>
      <c r="C13" s="334"/>
      <c r="D13" s="335">
        <f>SUM(D11:D12)</f>
        <v>10500.000599999998</v>
      </c>
      <c r="E13" s="355"/>
      <c r="F13" s="335">
        <f>SUM(F11:F12)</f>
        <v>900</v>
      </c>
      <c r="G13" s="356"/>
      <c r="H13" s="335">
        <f>SUM(H11:H12)</f>
        <v>2400</v>
      </c>
      <c r="I13" s="356"/>
      <c r="J13" s="335">
        <f>SUM(J11:J12)</f>
        <v>1200.0089999999996</v>
      </c>
      <c r="K13" s="335">
        <f>SUM(K11:K12)</f>
        <v>-600</v>
      </c>
      <c r="L13" s="335">
        <f>SUM(L11:L12)</f>
        <v>14400.009599999998</v>
      </c>
    </row>
    <row r="14" spans="2:12" x14ac:dyDescent="0.25">
      <c r="B14" s="362" t="s">
        <v>190</v>
      </c>
      <c r="C14" s="372"/>
      <c r="D14" s="361">
        <v>27500</v>
      </c>
      <c r="E14" s="358"/>
      <c r="F14" s="361">
        <v>2700</v>
      </c>
      <c r="G14" s="359"/>
      <c r="H14" s="361">
        <v>9600</v>
      </c>
      <c r="I14" s="359"/>
      <c r="J14" s="361">
        <v>7200</v>
      </c>
      <c r="K14" s="361">
        <v>3000</v>
      </c>
      <c r="L14" s="360">
        <f>+D14+F14+H14+J14+K14</f>
        <v>50000</v>
      </c>
    </row>
    <row r="15" spans="2:12" x14ac:dyDescent="0.25">
      <c r="B15" s="363" t="s">
        <v>182</v>
      </c>
      <c r="C15" s="363"/>
      <c r="D15" s="373">
        <f>+D13/D4</f>
        <v>8.0769235384615362E-2</v>
      </c>
      <c r="E15" s="364"/>
      <c r="F15" s="373">
        <f>+F13/F4</f>
        <v>2.2499999999999999E-2</v>
      </c>
      <c r="G15" s="365"/>
      <c r="H15" s="373">
        <f>+H13/H4</f>
        <v>0.08</v>
      </c>
      <c r="I15" s="365"/>
      <c r="J15" s="373">
        <f>+J13/J4</f>
        <v>5.3333733333333314E-2</v>
      </c>
      <c r="K15" s="376" t="s">
        <v>196</v>
      </c>
      <c r="L15" s="366">
        <f>+L13/L4</f>
        <v>0.1107693046153846</v>
      </c>
    </row>
    <row r="16" spans="2:12" x14ac:dyDescent="0.25">
      <c r="B16" s="346" t="s">
        <v>191</v>
      </c>
      <c r="C16" s="346"/>
      <c r="D16" s="374">
        <f>+D4/D14</f>
        <v>4.7272727272727275</v>
      </c>
      <c r="E16" s="352"/>
      <c r="F16" s="374">
        <f>+F4/F14</f>
        <v>14.814814814814815</v>
      </c>
      <c r="G16" s="345"/>
      <c r="H16" s="374">
        <f>+H4/H14</f>
        <v>3.125</v>
      </c>
      <c r="I16" s="352"/>
      <c r="J16" s="374">
        <f>+J4/J14</f>
        <v>3.125</v>
      </c>
      <c r="K16" s="377" t="s">
        <v>196</v>
      </c>
      <c r="L16" s="367">
        <f>+L4/L14</f>
        <v>2.6</v>
      </c>
    </row>
    <row r="17" spans="2:12" ht="15.75" x14ac:dyDescent="0.25">
      <c r="B17" s="354" t="s">
        <v>233</v>
      </c>
      <c r="C17" s="357"/>
      <c r="D17" s="368">
        <f>+D15*D16</f>
        <v>0.38181820363636354</v>
      </c>
      <c r="E17" s="353"/>
      <c r="F17" s="368">
        <f>+F15*F16</f>
        <v>0.33333333333333331</v>
      </c>
      <c r="G17" s="341"/>
      <c r="H17" s="368">
        <f>+H15*H16</f>
        <v>0.25</v>
      </c>
      <c r="I17" s="341"/>
      <c r="J17" s="368">
        <f>+J15*J16</f>
        <v>0.16666791666666661</v>
      </c>
      <c r="K17" s="368">
        <f>+K13/K14</f>
        <v>-0.2</v>
      </c>
      <c r="L17" s="368">
        <f>+L15*L16</f>
        <v>0.28800019199999999</v>
      </c>
    </row>
    <row r="18" spans="2:12" ht="15.75" x14ac:dyDescent="0.25">
      <c r="B18" s="369" t="s">
        <v>163</v>
      </c>
      <c r="C18" s="375"/>
      <c r="D18" s="371">
        <f>+(D17-'TURIASSU - PARTE 1'!$C$28)*'TURIASSU - PARTE 2'!D14</f>
        <v>3900.0005999999976</v>
      </c>
      <c r="E18" s="370"/>
      <c r="F18" s="371">
        <f>+(F17-'TURIASSU - PARTE 1'!$C$28)*'TURIASSU - PARTE 2'!F14</f>
        <v>251.99999999999997</v>
      </c>
      <c r="G18" s="370"/>
      <c r="H18" s="371">
        <f>+(H17-'TURIASSU - PARTE 1'!$C$28)*'TURIASSU - PARTE 2'!H14</f>
        <v>96.000000000000085</v>
      </c>
      <c r="I18" s="370"/>
      <c r="J18" s="371">
        <f>+(J17-'TURIASSU - PARTE 1'!$C$28)*'TURIASSU - PARTE 2'!J14</f>
        <v>-527.99100000000033</v>
      </c>
      <c r="K18" s="371">
        <f>+(K17-'TURIASSU - PARTE 1'!$C$28)*'TURIASSU - PARTE 2'!K14</f>
        <v>-1320</v>
      </c>
      <c r="L18" s="371">
        <f>+SUM(C18:K18)</f>
        <v>2400.0095999999971</v>
      </c>
    </row>
  </sheetData>
  <mergeCells count="4">
    <mergeCell ref="G2:H2"/>
    <mergeCell ref="I2:J2"/>
    <mergeCell ref="C2:D2"/>
    <mergeCell ref="E2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6"/>
  <sheetViews>
    <sheetView topLeftCell="A40" zoomScaleNormal="100" workbookViewId="0">
      <selection activeCell="L48" sqref="L48"/>
    </sheetView>
  </sheetViews>
  <sheetFormatPr defaultRowHeight="18.75" x14ac:dyDescent="0.25"/>
  <cols>
    <col min="1" max="1" width="1.5703125" style="1" customWidth="1"/>
    <col min="2" max="2" width="30.85546875" style="1" customWidth="1"/>
    <col min="3" max="3" width="13" style="1" customWidth="1"/>
    <col min="4" max="4" width="1.140625" style="1" customWidth="1"/>
    <col min="5" max="5" width="11.140625" style="1" hidden="1" customWidth="1"/>
    <col min="6" max="6" width="1.140625" style="1" hidden="1" customWidth="1"/>
    <col min="7" max="7" width="13.140625" style="1" hidden="1" customWidth="1"/>
    <col min="8" max="8" width="1.42578125" style="1" customWidth="1"/>
    <col min="9" max="9" width="13.140625" style="1" customWidth="1"/>
    <col min="10" max="10" width="2.28515625" style="1" customWidth="1"/>
    <col min="11" max="11" width="13.140625" style="1" customWidth="1"/>
    <col min="12" max="12" width="2.28515625" style="1" customWidth="1"/>
    <col min="13" max="13" width="13.140625" style="1" customWidth="1"/>
    <col min="14" max="14" width="7.42578125" style="1" customWidth="1"/>
    <col min="15" max="15" width="11.140625" style="1" bestFit="1" customWidth="1"/>
    <col min="16" max="16" width="11.42578125" style="295" bestFit="1" customWidth="1"/>
    <col min="17" max="16384" width="9.140625" style="1"/>
  </cols>
  <sheetData>
    <row r="2" spans="2:13" x14ac:dyDescent="0.25">
      <c r="B2" s="501" t="s">
        <v>315</v>
      </c>
      <c r="C2" s="501"/>
      <c r="D2" s="501"/>
      <c r="E2" s="501"/>
      <c r="F2" s="501"/>
      <c r="G2" s="501"/>
      <c r="H2" s="501"/>
      <c r="I2" s="501"/>
      <c r="J2" s="501"/>
      <c r="K2" s="501"/>
      <c r="L2" s="81"/>
      <c r="M2" s="81"/>
    </row>
    <row r="4" spans="2:13" x14ac:dyDescent="0.25">
      <c r="B4" s="391" t="s">
        <v>326</v>
      </c>
      <c r="C4" s="81" t="s">
        <v>327</v>
      </c>
      <c r="E4" s="81" t="s">
        <v>328</v>
      </c>
      <c r="G4" s="81" t="s">
        <v>330</v>
      </c>
      <c r="I4" s="81" t="s">
        <v>331</v>
      </c>
      <c r="K4" s="81" t="s">
        <v>331</v>
      </c>
      <c r="M4" s="81" t="s">
        <v>331</v>
      </c>
    </row>
    <row r="6" spans="2:13" x14ac:dyDescent="0.25">
      <c r="B6" s="381"/>
      <c r="C6" s="382" t="s">
        <v>316</v>
      </c>
      <c r="E6" s="382" t="s">
        <v>316</v>
      </c>
      <c r="G6" s="382" t="s">
        <v>316</v>
      </c>
      <c r="I6" s="382" t="s">
        <v>316</v>
      </c>
      <c r="K6" s="382" t="s">
        <v>316</v>
      </c>
      <c r="M6" s="382" t="s">
        <v>316</v>
      </c>
    </row>
    <row r="7" spans="2:13" x14ac:dyDescent="0.25">
      <c r="B7" s="378" t="s">
        <v>317</v>
      </c>
      <c r="C7" s="380">
        <v>5</v>
      </c>
      <c r="E7" s="380">
        <f>+C7*(1+4%)</f>
        <v>5.2</v>
      </c>
      <c r="G7" s="380">
        <f>+C7*(1-4%)</f>
        <v>4.8</v>
      </c>
      <c r="I7" s="392">
        <v>4.25</v>
      </c>
      <c r="K7" s="392">
        <v>3.35</v>
      </c>
      <c r="M7" s="392">
        <v>4</v>
      </c>
    </row>
    <row r="8" spans="2:13" x14ac:dyDescent="0.25">
      <c r="B8" s="378" t="s">
        <v>318</v>
      </c>
      <c r="C8" s="380">
        <v>-3</v>
      </c>
      <c r="E8" s="380">
        <f>+C8</f>
        <v>-3</v>
      </c>
      <c r="G8" s="380">
        <f>+C8</f>
        <v>-3</v>
      </c>
      <c r="I8" s="392">
        <f>+E8</f>
        <v>-3</v>
      </c>
      <c r="K8" s="392">
        <f>+G8</f>
        <v>-3</v>
      </c>
      <c r="M8" s="392">
        <f>+I8</f>
        <v>-3</v>
      </c>
    </row>
    <row r="9" spans="2:13" x14ac:dyDescent="0.25">
      <c r="B9" s="383" t="s">
        <v>319</v>
      </c>
      <c r="C9" s="384">
        <f>SUM(C7:C8)</f>
        <v>2</v>
      </c>
      <c r="E9" s="384">
        <f>SUM(E7:E8)</f>
        <v>2.2000000000000002</v>
      </c>
      <c r="G9" s="384">
        <f>SUM(G7:G8)</f>
        <v>1.7999999999999998</v>
      </c>
      <c r="I9" s="393">
        <f>SUM(I7:I8)</f>
        <v>1.25</v>
      </c>
      <c r="K9" s="393">
        <f>SUM(K7:K8)</f>
        <v>0.35000000000000009</v>
      </c>
      <c r="M9" s="393">
        <f>SUM(M7:M8)</f>
        <v>1</v>
      </c>
    </row>
    <row r="11" spans="2:13" x14ac:dyDescent="0.25">
      <c r="B11" s="378" t="s">
        <v>190</v>
      </c>
      <c r="C11" s="82">
        <v>700000</v>
      </c>
      <c r="E11" s="82">
        <f>+C11-50000</f>
        <v>650000</v>
      </c>
      <c r="G11" s="82">
        <f>+C11+50000</f>
        <v>750000</v>
      </c>
      <c r="I11" s="82">
        <v>50000</v>
      </c>
      <c r="K11" s="82">
        <v>50000</v>
      </c>
      <c r="M11" s="82">
        <v>50000</v>
      </c>
    </row>
    <row r="13" spans="2:13" x14ac:dyDescent="0.25">
      <c r="B13" s="381"/>
      <c r="C13" s="382" t="s">
        <v>320</v>
      </c>
      <c r="E13" s="382" t="s">
        <v>320</v>
      </c>
      <c r="G13" s="382" t="s">
        <v>320</v>
      </c>
      <c r="I13" s="382" t="s">
        <v>320</v>
      </c>
      <c r="K13" s="382" t="s">
        <v>320</v>
      </c>
      <c r="M13" s="382" t="s">
        <v>320</v>
      </c>
    </row>
    <row r="14" spans="2:13" x14ac:dyDescent="0.25">
      <c r="B14" s="378" t="s">
        <v>329</v>
      </c>
      <c r="C14" s="82">
        <v>462000</v>
      </c>
      <c r="E14" s="82">
        <f>+C14</f>
        <v>462000</v>
      </c>
      <c r="G14" s="82">
        <f>+C14</f>
        <v>462000</v>
      </c>
      <c r="I14" s="82"/>
      <c r="K14" s="82"/>
      <c r="M14" s="82"/>
    </row>
    <row r="15" spans="2:13" x14ac:dyDescent="0.25">
      <c r="B15" s="378" t="s">
        <v>149</v>
      </c>
      <c r="C15" s="82">
        <f>+C11*14%</f>
        <v>98000.000000000015</v>
      </c>
      <c r="E15" s="82">
        <f>+E11*14%</f>
        <v>91000.000000000015</v>
      </c>
      <c r="G15" s="82">
        <f>+G11*14%</f>
        <v>105000.00000000001</v>
      </c>
      <c r="I15" s="82">
        <f>+I11*14%</f>
        <v>7000.0000000000009</v>
      </c>
      <c r="K15" s="82">
        <f>+K11*14%</f>
        <v>7000.0000000000009</v>
      </c>
      <c r="M15" s="82">
        <f>+M11*14%</f>
        <v>7000.0000000000009</v>
      </c>
    </row>
    <row r="17" spans="2:13" x14ac:dyDescent="0.25">
      <c r="B17" s="385"/>
      <c r="C17" s="386" t="s">
        <v>321</v>
      </c>
      <c r="E17" s="386" t="s">
        <v>321</v>
      </c>
      <c r="G17" s="386" t="s">
        <v>321</v>
      </c>
      <c r="I17" s="386" t="s">
        <v>321</v>
      </c>
      <c r="K17" s="386" t="s">
        <v>321</v>
      </c>
      <c r="M17" s="386" t="s">
        <v>321</v>
      </c>
    </row>
    <row r="18" spans="2:13" x14ac:dyDescent="0.25">
      <c r="B18" s="387" t="s">
        <v>322</v>
      </c>
      <c r="C18" s="388">
        <f>+C14/C9</f>
        <v>231000</v>
      </c>
      <c r="E18" s="388">
        <f>+E14/E9</f>
        <v>209999.99999999997</v>
      </c>
      <c r="G18" s="388">
        <f>+G14/G9</f>
        <v>256666.66666666669</v>
      </c>
      <c r="I18" s="388">
        <f>+I14/I9</f>
        <v>0</v>
      </c>
      <c r="K18" s="388">
        <f>+K14/K9</f>
        <v>0</v>
      </c>
      <c r="M18" s="388">
        <f>+M14/M9</f>
        <v>0</v>
      </c>
    </row>
    <row r="19" spans="2:13" x14ac:dyDescent="0.25">
      <c r="B19" s="387" t="s">
        <v>323</v>
      </c>
      <c r="C19" s="388">
        <f>+C15/C9+C18</f>
        <v>280000</v>
      </c>
      <c r="E19" s="388">
        <f>+E15/E9+E18</f>
        <v>251363.63636363635</v>
      </c>
      <c r="G19" s="388">
        <f>+G15/G9+G18</f>
        <v>315000.00000000006</v>
      </c>
      <c r="I19" s="388">
        <f>+I15/I9+I18</f>
        <v>5600.0000000000009</v>
      </c>
      <c r="K19" s="388">
        <f>+K15/K9+K18</f>
        <v>19999.999999999996</v>
      </c>
      <c r="M19" s="388">
        <f>+M15/M9+M18</f>
        <v>7000.0000000000009</v>
      </c>
    </row>
    <row r="21" spans="2:13" x14ac:dyDescent="0.25">
      <c r="B21" s="387" t="s">
        <v>324</v>
      </c>
      <c r="C21" s="388">
        <v>280000</v>
      </c>
      <c r="E21" s="388">
        <f>+C21-20000</f>
        <v>260000</v>
      </c>
      <c r="G21" s="388">
        <f>+C21+20000</f>
        <v>300000</v>
      </c>
      <c r="I21" s="388">
        <v>20000</v>
      </c>
      <c r="K21" s="388">
        <v>20000</v>
      </c>
      <c r="M21" s="388">
        <v>20000</v>
      </c>
    </row>
    <row r="23" spans="2:13" x14ac:dyDescent="0.25">
      <c r="B23" s="385"/>
      <c r="C23" s="386" t="s">
        <v>321</v>
      </c>
      <c r="E23" s="386" t="s">
        <v>321</v>
      </c>
      <c r="G23" s="386" t="s">
        <v>321</v>
      </c>
      <c r="I23" s="386" t="s">
        <v>321</v>
      </c>
      <c r="K23" s="386" t="s">
        <v>321</v>
      </c>
      <c r="M23" s="386" t="s">
        <v>321</v>
      </c>
    </row>
    <row r="24" spans="2:13" x14ac:dyDescent="0.25">
      <c r="B24" s="387" t="str">
        <f>+B28</f>
        <v>Lucro operacional</v>
      </c>
      <c r="C24" s="388">
        <f>+C21-C18</f>
        <v>49000</v>
      </c>
      <c r="E24" s="388">
        <f>+E21-E18</f>
        <v>50000.000000000029</v>
      </c>
      <c r="G24" s="388">
        <f>+G21-G18</f>
        <v>43333.333333333314</v>
      </c>
      <c r="I24" s="388">
        <f>+I21-I18</f>
        <v>20000</v>
      </c>
      <c r="K24" s="388">
        <f>+K21-K18</f>
        <v>20000</v>
      </c>
      <c r="M24" s="388">
        <f>+M21-M18</f>
        <v>20000</v>
      </c>
    </row>
    <row r="25" spans="2:13" x14ac:dyDescent="0.25">
      <c r="B25" s="387" t="str">
        <f t="shared" ref="B25" si="0">+B29</f>
        <v>EVA®</v>
      </c>
      <c r="C25" s="388">
        <f>+C21-C19</f>
        <v>0</v>
      </c>
      <c r="E25" s="388">
        <f>+E21-E19</f>
        <v>8636.3636363636469</v>
      </c>
      <c r="G25" s="388">
        <f>+G21-G19</f>
        <v>-15000.000000000058</v>
      </c>
      <c r="I25" s="388">
        <f>+I21-I19</f>
        <v>14400</v>
      </c>
      <c r="K25" s="388">
        <f>+K21-K19</f>
        <v>0</v>
      </c>
      <c r="M25" s="388">
        <f>+M21-M19</f>
        <v>13000</v>
      </c>
    </row>
    <row r="27" spans="2:13" x14ac:dyDescent="0.25">
      <c r="B27" s="381"/>
      <c r="C27" s="382" t="s">
        <v>320</v>
      </c>
      <c r="E27" s="382" t="s">
        <v>320</v>
      </c>
      <c r="G27" s="382" t="s">
        <v>320</v>
      </c>
      <c r="I27" s="382" t="s">
        <v>320</v>
      </c>
      <c r="K27" s="382" t="s">
        <v>320</v>
      </c>
      <c r="M27" s="382" t="s">
        <v>320</v>
      </c>
    </row>
    <row r="28" spans="2:13" x14ac:dyDescent="0.25">
      <c r="B28" s="378" t="s">
        <v>325</v>
      </c>
      <c r="C28" s="82">
        <f>+C24*C9</f>
        <v>98000</v>
      </c>
      <c r="E28" s="82">
        <f>+E24*E9</f>
        <v>110000.00000000007</v>
      </c>
      <c r="G28" s="82">
        <f>+G24*G9</f>
        <v>77999.999999999956</v>
      </c>
      <c r="I28" s="82">
        <f>+I24*I9</f>
        <v>25000</v>
      </c>
      <c r="K28" s="82">
        <f>+K24*K9</f>
        <v>7000.0000000000018</v>
      </c>
      <c r="M28" s="82">
        <f>+M24*M9</f>
        <v>20000</v>
      </c>
    </row>
    <row r="29" spans="2:13" x14ac:dyDescent="0.25">
      <c r="B29" s="378" t="s">
        <v>163</v>
      </c>
      <c r="C29" s="82">
        <f>+C25*C9</f>
        <v>0</v>
      </c>
      <c r="E29" s="82">
        <f>+E25*E9</f>
        <v>19000.000000000025</v>
      </c>
      <c r="G29" s="82">
        <f>+G25*G9</f>
        <v>-27000.000000000102</v>
      </c>
      <c r="I29" s="82">
        <f>+I25*I9</f>
        <v>18000</v>
      </c>
      <c r="K29" s="82">
        <f>+K25*K9</f>
        <v>0</v>
      </c>
      <c r="M29" s="82">
        <f>+M25*M9</f>
        <v>13000</v>
      </c>
    </row>
    <row r="31" spans="2:13" x14ac:dyDescent="0.25">
      <c r="B31" s="381"/>
      <c r="C31" s="382"/>
      <c r="E31" s="382"/>
      <c r="G31" s="382"/>
      <c r="I31" s="382"/>
      <c r="K31" s="382"/>
      <c r="M31" s="382"/>
    </row>
    <row r="32" spans="2:13" x14ac:dyDescent="0.25">
      <c r="B32" s="378" t="s">
        <v>80</v>
      </c>
      <c r="C32" s="82">
        <f>+C21*C7</f>
        <v>1400000</v>
      </c>
      <c r="E32" s="82">
        <f>+E21*E7</f>
        <v>1352000</v>
      </c>
      <c r="G32" s="82">
        <f>+G21*G7</f>
        <v>1440000</v>
      </c>
      <c r="I32" s="82">
        <f>+I21*I7</f>
        <v>85000</v>
      </c>
      <c r="K32" s="82">
        <f>+K21*K7</f>
        <v>67000</v>
      </c>
      <c r="M32" s="82">
        <f>+M21*M7</f>
        <v>80000</v>
      </c>
    </row>
    <row r="33" spans="2:13" x14ac:dyDescent="0.25">
      <c r="B33" s="378" t="s">
        <v>182</v>
      </c>
      <c r="C33" s="389">
        <f>+C28/C32</f>
        <v>7.0000000000000007E-2</v>
      </c>
      <c r="E33" s="389">
        <f>+E28/E32</f>
        <v>8.1360946745562185E-2</v>
      </c>
      <c r="G33" s="389">
        <f>+G28/G32</f>
        <v>5.4166666666666634E-2</v>
      </c>
      <c r="I33" s="389">
        <f>+I28/I32</f>
        <v>0.29411764705882354</v>
      </c>
      <c r="K33" s="389">
        <f>+K28/K32</f>
        <v>0.10447761194029853</v>
      </c>
      <c r="M33" s="389">
        <f>+M28/M32</f>
        <v>0.25</v>
      </c>
    </row>
    <row r="34" spans="2:13" x14ac:dyDescent="0.25">
      <c r="B34" s="378" t="s">
        <v>191</v>
      </c>
      <c r="C34" s="380">
        <f>+C32/C11</f>
        <v>2</v>
      </c>
      <c r="E34" s="380">
        <f>+E32/E11</f>
        <v>2.08</v>
      </c>
      <c r="G34" s="380">
        <f>+G32/G11</f>
        <v>1.92</v>
      </c>
      <c r="I34" s="380">
        <f>+I32/I11</f>
        <v>1.7</v>
      </c>
      <c r="K34" s="380">
        <f>+K32/K11</f>
        <v>1.34</v>
      </c>
      <c r="M34" s="380">
        <f>+M32/M11</f>
        <v>1.6</v>
      </c>
    </row>
    <row r="35" spans="2:13" x14ac:dyDescent="0.25">
      <c r="B35" s="383" t="s">
        <v>233</v>
      </c>
      <c r="C35" s="390">
        <f>+C33*C34</f>
        <v>0.14000000000000001</v>
      </c>
      <c r="E35" s="390">
        <f>+E33*E34</f>
        <v>0.16923076923076935</v>
      </c>
      <c r="G35" s="390">
        <f>+G33*G34</f>
        <v>0.10399999999999994</v>
      </c>
      <c r="I35" s="390">
        <f>+I33*I34</f>
        <v>0.5</v>
      </c>
      <c r="K35" s="390">
        <f>+K33*K34</f>
        <v>0.14000000000000004</v>
      </c>
      <c r="M35" s="390">
        <f>+M33*M34</f>
        <v>0.4</v>
      </c>
    </row>
    <row r="37" spans="2:13" x14ac:dyDescent="0.25">
      <c r="B37" s="391" t="s">
        <v>163</v>
      </c>
      <c r="C37" s="81">
        <f>+(C35-14%)*C11</f>
        <v>0</v>
      </c>
      <c r="E37" s="81">
        <f>+(E35-14%)*E11</f>
        <v>19000.000000000069</v>
      </c>
      <c r="G37" s="81">
        <f>+(G35-14%)*G11</f>
        <v>-27000.000000000055</v>
      </c>
      <c r="I37" s="81">
        <f>+(I35-14%)*I11</f>
        <v>18000</v>
      </c>
      <c r="K37" s="81">
        <f>+(K35-14%)*K11</f>
        <v>1.3877787807814457E-12</v>
      </c>
      <c r="M37" s="81">
        <f>+(M35-14%)*M11</f>
        <v>13000</v>
      </c>
    </row>
    <row r="39" spans="2:13" x14ac:dyDescent="0.25">
      <c r="B39" s="501" t="s">
        <v>332</v>
      </c>
      <c r="C39" s="501"/>
      <c r="D39" s="501"/>
      <c r="E39" s="501"/>
      <c r="F39" s="501"/>
      <c r="G39" s="501"/>
      <c r="H39" s="501"/>
      <c r="I39" s="501"/>
      <c r="J39" s="501"/>
      <c r="K39" s="501"/>
      <c r="L39" s="81"/>
      <c r="M39" s="81"/>
    </row>
    <row r="41" spans="2:13" x14ac:dyDescent="0.25">
      <c r="B41" s="502" t="s">
        <v>333</v>
      </c>
      <c r="C41" s="502"/>
      <c r="E41" s="82"/>
      <c r="G41" s="82"/>
      <c r="I41" s="392">
        <v>4.25</v>
      </c>
      <c r="K41" s="392">
        <v>4.25</v>
      </c>
      <c r="M41" s="392">
        <v>4.25</v>
      </c>
    </row>
    <row r="42" spans="2:13" x14ac:dyDescent="0.25">
      <c r="B42" s="502" t="s">
        <v>334</v>
      </c>
      <c r="C42" s="502"/>
      <c r="E42" s="82"/>
      <c r="G42" s="82"/>
      <c r="I42" s="392">
        <f>+I7</f>
        <v>4.25</v>
      </c>
      <c r="K42" s="392">
        <f>+K7</f>
        <v>3.35</v>
      </c>
      <c r="M42" s="392">
        <f>+M7</f>
        <v>4</v>
      </c>
    </row>
    <row r="43" spans="2:13" x14ac:dyDescent="0.25">
      <c r="B43" s="378" t="s">
        <v>335</v>
      </c>
      <c r="C43" s="82"/>
      <c r="E43" s="82"/>
      <c r="G43" s="82"/>
      <c r="I43" s="82">
        <f>+I41-I42</f>
        <v>0</v>
      </c>
      <c r="K43" s="392">
        <f>+K41-K42</f>
        <v>0.89999999999999991</v>
      </c>
      <c r="M43" s="392">
        <f>+M41-M42</f>
        <v>0.25</v>
      </c>
    </row>
    <row r="44" spans="2:13" x14ac:dyDescent="0.25">
      <c r="B44" s="500" t="s">
        <v>336</v>
      </c>
      <c r="C44" s="500"/>
      <c r="D44" s="13"/>
      <c r="E44" s="379"/>
      <c r="F44" s="13"/>
      <c r="G44" s="81"/>
      <c r="H44" s="13"/>
      <c r="I44" s="81">
        <f>+I43*200000</f>
        <v>0</v>
      </c>
      <c r="K44" s="81">
        <f>+K43*20000</f>
        <v>18000</v>
      </c>
      <c r="M44" s="81">
        <f>+M43*20000</f>
        <v>5000</v>
      </c>
    </row>
    <row r="46" spans="2:13" x14ac:dyDescent="0.25">
      <c r="B46" s="500" t="s">
        <v>337</v>
      </c>
      <c r="C46" s="500"/>
      <c r="D46" s="13"/>
      <c r="E46" s="379"/>
      <c r="F46" s="13"/>
      <c r="H46" s="13"/>
      <c r="I46" s="81">
        <f>+I37+I44</f>
        <v>18000</v>
      </c>
      <c r="K46" s="81">
        <f>+K37+K44</f>
        <v>18000</v>
      </c>
      <c r="M46" s="81">
        <f>+M37+M44</f>
        <v>18000</v>
      </c>
    </row>
  </sheetData>
  <mergeCells count="6">
    <mergeCell ref="B44:C44"/>
    <mergeCell ref="B46:C46"/>
    <mergeCell ref="B2:K2"/>
    <mergeCell ref="B39:K39"/>
    <mergeCell ref="B41:C41"/>
    <mergeCell ref="B42:C4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4"/>
  <sheetViews>
    <sheetView topLeftCell="A40" zoomScaleNormal="100" workbookViewId="0">
      <selection activeCell="C45" sqref="C45"/>
    </sheetView>
  </sheetViews>
  <sheetFormatPr defaultRowHeight="18.75" x14ac:dyDescent="0.25"/>
  <cols>
    <col min="1" max="1" width="1.5703125" style="1" customWidth="1"/>
    <col min="2" max="2" width="46.85546875" style="1" customWidth="1"/>
    <col min="3" max="3" width="11.42578125" style="295" bestFit="1" customWidth="1"/>
    <col min="4" max="4" width="10.140625" style="1" bestFit="1" customWidth="1"/>
    <col min="5" max="16384" width="9.140625" style="1"/>
  </cols>
  <sheetData>
    <row r="2" spans="2:4" ht="60" customHeight="1" x14ac:dyDescent="0.25">
      <c r="B2" s="503" t="s">
        <v>389</v>
      </c>
      <c r="C2" s="503"/>
      <c r="D2" s="503"/>
    </row>
    <row r="3" spans="2:4" s="417" customFormat="1" ht="15" x14ac:dyDescent="0.25"/>
    <row r="4" spans="2:4" s="417" customFormat="1" ht="15" x14ac:dyDescent="0.25">
      <c r="B4" s="407"/>
      <c r="C4" s="415" t="s">
        <v>391</v>
      </c>
    </row>
    <row r="5" spans="2:4" s="417" customFormat="1" ht="15" x14ac:dyDescent="0.25">
      <c r="B5" s="395" t="s">
        <v>317</v>
      </c>
      <c r="C5" s="411">
        <f>1360/8</f>
        <v>170</v>
      </c>
    </row>
    <row r="6" spans="2:4" s="417" customFormat="1" ht="15" x14ac:dyDescent="0.25">
      <c r="B6" s="395" t="s">
        <v>175</v>
      </c>
      <c r="C6" s="411">
        <v>-38</v>
      </c>
    </row>
    <row r="7" spans="2:4" s="417" customFormat="1" ht="15" x14ac:dyDescent="0.25">
      <c r="B7" s="395" t="s">
        <v>223</v>
      </c>
      <c r="C7" s="411">
        <v>-27</v>
      </c>
    </row>
    <row r="8" spans="2:4" s="417" customFormat="1" ht="15" x14ac:dyDescent="0.25">
      <c r="B8" s="395" t="s">
        <v>351</v>
      </c>
      <c r="C8" s="411">
        <f>-40*0.25</f>
        <v>-10</v>
      </c>
    </row>
    <row r="9" spans="2:4" s="417" customFormat="1" ht="15" x14ac:dyDescent="0.25">
      <c r="B9" s="395" t="s">
        <v>353</v>
      </c>
      <c r="C9" s="411">
        <v>-5</v>
      </c>
    </row>
    <row r="10" spans="2:4" s="417" customFormat="1" ht="15" x14ac:dyDescent="0.25">
      <c r="B10" s="407" t="s">
        <v>390</v>
      </c>
      <c r="C10" s="415">
        <f>SUM(C5:C9)</f>
        <v>90</v>
      </c>
    </row>
    <row r="11" spans="2:4" s="417" customFormat="1" ht="15" x14ac:dyDescent="0.25"/>
    <row r="12" spans="2:4" s="417" customFormat="1" ht="15" x14ac:dyDescent="0.25">
      <c r="B12" s="407"/>
      <c r="C12" s="415" t="s">
        <v>392</v>
      </c>
    </row>
    <row r="13" spans="2:4" s="417" customFormat="1" ht="15" x14ac:dyDescent="0.25">
      <c r="B13" s="395" t="s">
        <v>393</v>
      </c>
      <c r="C13" s="394">
        <f>0.75*40*8000</f>
        <v>240000</v>
      </c>
    </row>
    <row r="14" spans="2:4" s="417" customFormat="1" ht="15" x14ac:dyDescent="0.25">
      <c r="B14" s="395" t="s">
        <v>344</v>
      </c>
      <c r="C14" s="394">
        <v>350000</v>
      </c>
    </row>
    <row r="15" spans="2:4" s="417" customFormat="1" ht="15" x14ac:dyDescent="0.25">
      <c r="B15" s="407" t="s">
        <v>10</v>
      </c>
      <c r="C15" s="409">
        <f>SUM(C13:C14)</f>
        <v>590000</v>
      </c>
    </row>
    <row r="16" spans="2:4" s="417" customFormat="1" ht="15" x14ac:dyDescent="0.25"/>
    <row r="17" spans="2:4" s="417" customFormat="1" ht="15" x14ac:dyDescent="0.25">
      <c r="B17" s="418"/>
      <c r="C17" s="418" t="s">
        <v>394</v>
      </c>
    </row>
    <row r="18" spans="2:4" s="417" customFormat="1" ht="15" x14ac:dyDescent="0.25">
      <c r="B18" s="387" t="s">
        <v>156</v>
      </c>
      <c r="C18" s="388">
        <f>C15/C10</f>
        <v>6555.5555555555557</v>
      </c>
    </row>
    <row r="19" spans="2:4" s="417" customFormat="1" ht="15" x14ac:dyDescent="0.25">
      <c r="B19" s="387" t="s">
        <v>324</v>
      </c>
      <c r="C19" s="388">
        <v>8000</v>
      </c>
    </row>
    <row r="20" spans="2:4" s="417" customFormat="1" ht="15" x14ac:dyDescent="0.25">
      <c r="B20" s="387" t="s">
        <v>325</v>
      </c>
      <c r="C20" s="388">
        <f>C19-C18</f>
        <v>1444.4444444444443</v>
      </c>
    </row>
    <row r="21" spans="2:4" s="417" customFormat="1" ht="15" x14ac:dyDescent="0.25"/>
    <row r="22" spans="2:4" s="417" customFormat="1" ht="15" x14ac:dyDescent="0.25">
      <c r="B22" s="407"/>
      <c r="C22" s="415" t="s">
        <v>392</v>
      </c>
    </row>
    <row r="23" spans="2:4" s="417" customFormat="1" ht="15" x14ac:dyDescent="0.25">
      <c r="B23" s="395" t="s">
        <v>325</v>
      </c>
      <c r="C23" s="394">
        <f>C20*C10</f>
        <v>129999.99999999999</v>
      </c>
    </row>
    <row r="24" spans="2:4" s="417" customFormat="1" ht="15" x14ac:dyDescent="0.25"/>
    <row r="25" spans="2:4" ht="15" x14ac:dyDescent="0.25">
      <c r="B25" s="407" t="s">
        <v>398</v>
      </c>
      <c r="C25" s="415" t="s">
        <v>171</v>
      </c>
      <c r="D25" s="417"/>
    </row>
    <row r="26" spans="2:4" ht="15" x14ac:dyDescent="0.25">
      <c r="B26" s="395" t="s">
        <v>339</v>
      </c>
      <c r="C26" s="411">
        <v>60</v>
      </c>
      <c r="D26" s="417"/>
    </row>
    <row r="27" spans="2:4" ht="15" x14ac:dyDescent="0.25">
      <c r="B27" s="395" t="s">
        <v>395</v>
      </c>
      <c r="C27" s="411">
        <v>49</v>
      </c>
      <c r="D27" s="417"/>
    </row>
    <row r="28" spans="2:4" ht="15" x14ac:dyDescent="0.25">
      <c r="B28" s="395" t="s">
        <v>341</v>
      </c>
      <c r="C28" s="411">
        <f>54*1/3</f>
        <v>18</v>
      </c>
      <c r="D28" s="417"/>
    </row>
    <row r="29" spans="2:4" ht="15" x14ac:dyDescent="0.25">
      <c r="B29" s="395" t="s">
        <v>396</v>
      </c>
      <c r="C29" s="411">
        <f>3000*C10/2500</f>
        <v>108</v>
      </c>
      <c r="D29" s="417"/>
    </row>
    <row r="30" spans="2:4" ht="15" x14ac:dyDescent="0.25">
      <c r="B30" s="407" t="s">
        <v>397</v>
      </c>
      <c r="C30" s="415">
        <f>SUM(C26:C29)</f>
        <v>235</v>
      </c>
      <c r="D30" s="417"/>
    </row>
    <row r="31" spans="2:4" x14ac:dyDescent="0.25">
      <c r="D31" s="417"/>
    </row>
    <row r="32" spans="2:4" ht="15" x14ac:dyDescent="0.25">
      <c r="B32" s="407" t="s">
        <v>399</v>
      </c>
      <c r="C32" s="415"/>
      <c r="D32" s="417"/>
    </row>
    <row r="33" spans="2:4" ht="15" x14ac:dyDescent="0.25">
      <c r="B33" s="395" t="s">
        <v>400</v>
      </c>
      <c r="C33" s="411">
        <v>-35</v>
      </c>
      <c r="D33" s="417"/>
    </row>
    <row r="34" spans="2:4" ht="15" x14ac:dyDescent="0.25">
      <c r="B34" s="395" t="s">
        <v>401</v>
      </c>
      <c r="C34" s="394">
        <f>C33*2500</f>
        <v>-87500</v>
      </c>
      <c r="D34" s="417"/>
    </row>
    <row r="35" spans="2:4" ht="15" x14ac:dyDescent="0.25">
      <c r="B35" s="395" t="s">
        <v>404</v>
      </c>
      <c r="C35" s="394">
        <v>0</v>
      </c>
      <c r="D35" s="417"/>
    </row>
    <row r="36" spans="2:4" ht="15" x14ac:dyDescent="0.25">
      <c r="B36" s="395" t="s">
        <v>403</v>
      </c>
      <c r="C36" s="394">
        <f>C35*2500</f>
        <v>0</v>
      </c>
      <c r="D36" s="417"/>
    </row>
    <row r="37" spans="2:4" ht="15" x14ac:dyDescent="0.25">
      <c r="B37" s="407" t="s">
        <v>402</v>
      </c>
      <c r="C37" s="409">
        <f>C36+C34</f>
        <v>-87500</v>
      </c>
      <c r="D37" s="417"/>
    </row>
    <row r="39" spans="2:4" ht="15" x14ac:dyDescent="0.25">
      <c r="B39" s="407" t="s">
        <v>405</v>
      </c>
      <c r="C39" s="415"/>
    </row>
    <row r="40" spans="2:4" ht="15" x14ac:dyDescent="0.25">
      <c r="B40" s="395" t="s">
        <v>400</v>
      </c>
      <c r="C40" s="411">
        <v>0</v>
      </c>
    </row>
    <row r="41" spans="2:4" ht="15" x14ac:dyDescent="0.25">
      <c r="B41" s="395" t="s">
        <v>401</v>
      </c>
      <c r="C41" s="394">
        <f>C40*2500</f>
        <v>0</v>
      </c>
    </row>
    <row r="42" spans="2:4" ht="15" x14ac:dyDescent="0.25">
      <c r="B42" s="395" t="s">
        <v>404</v>
      </c>
      <c r="C42" s="394">
        <v>-35</v>
      </c>
    </row>
    <row r="43" spans="2:4" ht="15" x14ac:dyDescent="0.25">
      <c r="B43" s="395" t="s">
        <v>403</v>
      </c>
      <c r="C43" s="394">
        <f>C42*2500</f>
        <v>-87500</v>
      </c>
    </row>
    <row r="44" spans="2:4" ht="15" x14ac:dyDescent="0.25">
      <c r="B44" s="407" t="s">
        <v>402</v>
      </c>
      <c r="C44" s="409">
        <f>C43+C41</f>
        <v>-87500</v>
      </c>
    </row>
  </sheetData>
  <mergeCells count="1"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6"/>
  <sheetViews>
    <sheetView topLeftCell="A71" zoomScaleNormal="100" workbookViewId="0">
      <selection activeCell="B86" sqref="B86:D86"/>
    </sheetView>
  </sheetViews>
  <sheetFormatPr defaultRowHeight="18.75" x14ac:dyDescent="0.25"/>
  <cols>
    <col min="1" max="1" width="1.5703125" style="1" customWidth="1"/>
    <col min="2" max="2" width="36.5703125" style="1" customWidth="1"/>
    <col min="3" max="3" width="11.42578125" style="295" bestFit="1" customWidth="1"/>
    <col min="4" max="4" width="10.140625" style="1" bestFit="1" customWidth="1"/>
    <col min="5" max="16384" width="9.140625" style="1"/>
  </cols>
  <sheetData>
    <row r="2" spans="2:4" ht="15.75" x14ac:dyDescent="0.25">
      <c r="B2" s="505" t="s">
        <v>338</v>
      </c>
      <c r="C2" s="505"/>
      <c r="D2" s="505"/>
    </row>
    <row r="3" spans="2:4" ht="15.75" x14ac:dyDescent="0.25">
      <c r="B3" s="396"/>
      <c r="C3" s="396" t="s">
        <v>171</v>
      </c>
      <c r="D3" s="396" t="s">
        <v>320</v>
      </c>
    </row>
    <row r="4" spans="2:4" ht="15" x14ac:dyDescent="0.25">
      <c r="B4" s="395" t="s">
        <v>339</v>
      </c>
      <c r="C4" s="394">
        <v>15</v>
      </c>
      <c r="D4" s="394">
        <f>+C4*30000</f>
        <v>450000</v>
      </c>
    </row>
    <row r="5" spans="2:4" ht="15" x14ac:dyDescent="0.25">
      <c r="B5" s="395" t="s">
        <v>340</v>
      </c>
      <c r="C5" s="394">
        <v>8</v>
      </c>
      <c r="D5" s="394">
        <f t="shared" ref="D5:D9" si="0">+C5*30000</f>
        <v>240000</v>
      </c>
    </row>
    <row r="6" spans="2:4" ht="15" x14ac:dyDescent="0.25">
      <c r="B6" s="395" t="s">
        <v>341</v>
      </c>
      <c r="C6" s="394">
        <v>3</v>
      </c>
      <c r="D6" s="394">
        <f t="shared" si="0"/>
        <v>90000</v>
      </c>
    </row>
    <row r="7" spans="2:4" ht="15" x14ac:dyDescent="0.25">
      <c r="B7" s="395" t="s">
        <v>342</v>
      </c>
      <c r="C7" s="394">
        <v>9</v>
      </c>
      <c r="D7" s="394">
        <f t="shared" si="0"/>
        <v>270000</v>
      </c>
    </row>
    <row r="8" spans="2:4" ht="15" x14ac:dyDescent="0.25">
      <c r="B8" s="395" t="s">
        <v>343</v>
      </c>
      <c r="C8" s="394">
        <v>4</v>
      </c>
      <c r="D8" s="394">
        <f t="shared" si="0"/>
        <v>120000</v>
      </c>
    </row>
    <row r="9" spans="2:4" ht="15" x14ac:dyDescent="0.25">
      <c r="B9" s="395" t="s">
        <v>344</v>
      </c>
      <c r="C9" s="394">
        <v>6</v>
      </c>
      <c r="D9" s="394">
        <f t="shared" si="0"/>
        <v>180000</v>
      </c>
    </row>
    <row r="10" spans="2:4" ht="15.75" x14ac:dyDescent="0.25">
      <c r="B10" s="399" t="s">
        <v>10</v>
      </c>
      <c r="C10" s="400">
        <f>SUM(C4:C9)</f>
        <v>45</v>
      </c>
      <c r="D10" s="400">
        <f>SUM(D4:D9)</f>
        <v>1350000</v>
      </c>
    </row>
    <row r="12" spans="2:4" ht="15.75" x14ac:dyDescent="0.25">
      <c r="B12" s="399"/>
      <c r="C12" s="400" t="str">
        <f>+C3</f>
        <v>$/unid</v>
      </c>
    </row>
    <row r="13" spans="2:4" ht="15" x14ac:dyDescent="0.25">
      <c r="B13" s="395" t="s">
        <v>317</v>
      </c>
      <c r="C13" s="401">
        <v>50</v>
      </c>
    </row>
    <row r="14" spans="2:4" ht="15" x14ac:dyDescent="0.25">
      <c r="B14" s="395" t="s">
        <v>339</v>
      </c>
      <c r="C14" s="401">
        <f>-C4</f>
        <v>-15</v>
      </c>
    </row>
    <row r="15" spans="2:4" ht="15" x14ac:dyDescent="0.25">
      <c r="B15" s="395" t="s">
        <v>340</v>
      </c>
      <c r="C15" s="401">
        <f t="shared" ref="C15" si="1">-C5</f>
        <v>-8</v>
      </c>
    </row>
    <row r="16" spans="2:4" ht="15" x14ac:dyDescent="0.25">
      <c r="B16" s="395" t="str">
        <f>+B6</f>
        <v>Custos gerais variáveis</v>
      </c>
      <c r="C16" s="401">
        <f>-C6</f>
        <v>-3</v>
      </c>
    </row>
    <row r="17" spans="2:4" ht="15" x14ac:dyDescent="0.25">
      <c r="B17" s="395" t="str">
        <f>+B8</f>
        <v>Despesas variáveis de venda</v>
      </c>
      <c r="C17" s="401">
        <f>-C8</f>
        <v>-4</v>
      </c>
    </row>
    <row r="18" spans="2:4" ht="15.75" x14ac:dyDescent="0.25">
      <c r="B18" s="399" t="s">
        <v>345</v>
      </c>
      <c r="C18" s="402">
        <f>SUM(C13:C17)</f>
        <v>20</v>
      </c>
    </row>
    <row r="20" spans="2:4" ht="15.75" x14ac:dyDescent="0.25">
      <c r="B20" s="399"/>
      <c r="C20" s="400" t="str">
        <f>+D3</f>
        <v>$/ano</v>
      </c>
    </row>
    <row r="21" spans="2:4" ht="15" x14ac:dyDescent="0.25">
      <c r="B21" s="395" t="s">
        <v>342</v>
      </c>
      <c r="C21" s="394">
        <f>+D7</f>
        <v>270000</v>
      </c>
    </row>
    <row r="22" spans="2:4" ht="15" x14ac:dyDescent="0.25">
      <c r="B22" s="395" t="s">
        <v>344</v>
      </c>
      <c r="C22" s="394">
        <f>+D9</f>
        <v>180000</v>
      </c>
    </row>
    <row r="23" spans="2:4" ht="15.75" x14ac:dyDescent="0.25">
      <c r="B23" s="399" t="s">
        <v>345</v>
      </c>
      <c r="C23" s="400">
        <f>SUM(C21:C22)</f>
        <v>450000</v>
      </c>
    </row>
    <row r="25" spans="2:4" ht="15" x14ac:dyDescent="0.25">
      <c r="B25" s="388" t="s">
        <v>156</v>
      </c>
      <c r="C25" s="388">
        <f>+C23/C18</f>
        <v>22500</v>
      </c>
    </row>
    <row r="27" spans="2:4" ht="15.75" x14ac:dyDescent="0.25">
      <c r="B27" s="504" t="s">
        <v>346</v>
      </c>
      <c r="C27" s="504"/>
      <c r="D27" s="504"/>
    </row>
    <row r="28" spans="2:4" ht="15.75" x14ac:dyDescent="0.25">
      <c r="B28" s="396"/>
      <c r="C28" s="396" t="s">
        <v>171</v>
      </c>
      <c r="D28" s="396" t="s">
        <v>320</v>
      </c>
    </row>
    <row r="29" spans="2:4" ht="15" x14ac:dyDescent="0.25">
      <c r="B29" s="395" t="s">
        <v>347</v>
      </c>
      <c r="C29" s="401">
        <v>50</v>
      </c>
      <c r="D29" s="394">
        <f>+C29*5000</f>
        <v>250000</v>
      </c>
    </row>
    <row r="30" spans="2:4" ht="15" x14ac:dyDescent="0.25">
      <c r="B30" s="395" t="s">
        <v>348</v>
      </c>
      <c r="C30" s="401">
        <f>-C29*0.16</f>
        <v>-8</v>
      </c>
      <c r="D30" s="394">
        <f t="shared" ref="D30:D37" si="2">+C30*5000</f>
        <v>-40000</v>
      </c>
    </row>
    <row r="31" spans="2:4" ht="15" x14ac:dyDescent="0.25">
      <c r="B31" s="397" t="s">
        <v>349</v>
      </c>
      <c r="C31" s="403">
        <f>SUM(C29:C30)</f>
        <v>42</v>
      </c>
      <c r="D31" s="398">
        <f t="shared" si="2"/>
        <v>210000</v>
      </c>
    </row>
    <row r="32" spans="2:4" ht="15" x14ac:dyDescent="0.25">
      <c r="B32" s="395" t="s">
        <v>175</v>
      </c>
      <c r="C32" s="401">
        <f>-C4</f>
        <v>-15</v>
      </c>
      <c r="D32" s="394">
        <f t="shared" si="2"/>
        <v>-75000</v>
      </c>
    </row>
    <row r="33" spans="2:4" ht="15" x14ac:dyDescent="0.25">
      <c r="B33" s="395" t="s">
        <v>350</v>
      </c>
      <c r="C33" s="401">
        <f t="shared" ref="C33:C37" si="3">-C5</f>
        <v>-8</v>
      </c>
      <c r="D33" s="394">
        <f t="shared" si="2"/>
        <v>-40000</v>
      </c>
    </row>
    <row r="34" spans="2:4" ht="15" x14ac:dyDescent="0.25">
      <c r="B34" s="395" t="s">
        <v>351</v>
      </c>
      <c r="C34" s="401">
        <f t="shared" si="3"/>
        <v>-3</v>
      </c>
      <c r="D34" s="394">
        <f t="shared" si="2"/>
        <v>-15000</v>
      </c>
    </row>
    <row r="35" spans="2:4" ht="15" x14ac:dyDescent="0.25">
      <c r="B35" s="404" t="s">
        <v>352</v>
      </c>
      <c r="C35" s="405">
        <f t="shared" si="3"/>
        <v>-9</v>
      </c>
      <c r="D35" s="406">
        <f t="shared" si="2"/>
        <v>-45000</v>
      </c>
    </row>
    <row r="36" spans="2:4" ht="15" x14ac:dyDescent="0.25">
      <c r="B36" s="395" t="s">
        <v>353</v>
      </c>
      <c r="C36" s="401">
        <f>-C8*(1-75%)</f>
        <v>-1</v>
      </c>
      <c r="D36" s="394">
        <f t="shared" si="2"/>
        <v>-5000</v>
      </c>
    </row>
    <row r="37" spans="2:4" ht="15" x14ac:dyDescent="0.25">
      <c r="B37" s="404" t="s">
        <v>354</v>
      </c>
      <c r="C37" s="405">
        <f t="shared" si="3"/>
        <v>-6</v>
      </c>
      <c r="D37" s="406">
        <f t="shared" si="2"/>
        <v>-30000</v>
      </c>
    </row>
    <row r="38" spans="2:4" ht="15" x14ac:dyDescent="0.25">
      <c r="B38" s="395" t="s">
        <v>355</v>
      </c>
      <c r="C38" s="401">
        <f>+D38/5000</f>
        <v>-2</v>
      </c>
      <c r="D38" s="394">
        <v>-10000</v>
      </c>
    </row>
    <row r="39" spans="2:4" ht="15.75" x14ac:dyDescent="0.25">
      <c r="B39" s="399" t="s">
        <v>356</v>
      </c>
      <c r="C39" s="402">
        <f>SUM(C31:C38)</f>
        <v>-2</v>
      </c>
      <c r="D39" s="400">
        <f>+C39*5000</f>
        <v>-10000</v>
      </c>
    </row>
    <row r="40" spans="2:4" ht="48" customHeight="1" x14ac:dyDescent="0.25">
      <c r="B40" s="504" t="s">
        <v>358</v>
      </c>
      <c r="C40" s="504"/>
      <c r="D40" s="504"/>
    </row>
    <row r="42" spans="2:4" ht="15.75" x14ac:dyDescent="0.25">
      <c r="B42" s="504" t="s">
        <v>357</v>
      </c>
      <c r="C42" s="504"/>
      <c r="D42" s="504"/>
    </row>
    <row r="43" spans="2:4" ht="15.75" x14ac:dyDescent="0.25">
      <c r="B43" s="396"/>
      <c r="C43" s="396" t="s">
        <v>171</v>
      </c>
      <c r="D43" s="396" t="s">
        <v>320</v>
      </c>
    </row>
    <row r="44" spans="2:4" ht="15" x14ac:dyDescent="0.25">
      <c r="B44" s="395" t="s">
        <v>347</v>
      </c>
      <c r="C44" s="401">
        <v>50</v>
      </c>
      <c r="D44" s="394">
        <f>+C44*5000</f>
        <v>250000</v>
      </c>
    </row>
    <row r="45" spans="2:4" ht="15" x14ac:dyDescent="0.25">
      <c r="B45" s="395" t="s">
        <v>348</v>
      </c>
      <c r="C45" s="401">
        <f>-C44*0.16</f>
        <v>-8</v>
      </c>
      <c r="D45" s="394">
        <f t="shared" ref="D45:D51" si="4">+C45*5000</f>
        <v>-40000</v>
      </c>
    </row>
    <row r="46" spans="2:4" ht="15" x14ac:dyDescent="0.25">
      <c r="B46" s="397" t="s">
        <v>349</v>
      </c>
      <c r="C46" s="403">
        <f>SUM(C44:C45)</f>
        <v>42</v>
      </c>
      <c r="D46" s="398">
        <f t="shared" si="4"/>
        <v>210000</v>
      </c>
    </row>
    <row r="47" spans="2:4" ht="15" x14ac:dyDescent="0.25">
      <c r="B47" s="395" t="s">
        <v>175</v>
      </c>
      <c r="C47" s="401">
        <f>+C32</f>
        <v>-15</v>
      </c>
      <c r="D47" s="394">
        <f t="shared" si="4"/>
        <v>-75000</v>
      </c>
    </row>
    <row r="48" spans="2:4" ht="15" x14ac:dyDescent="0.25">
      <c r="B48" s="395" t="s">
        <v>350</v>
      </c>
      <c r="C48" s="401">
        <f t="shared" ref="C48:C49" si="5">+C33</f>
        <v>-8</v>
      </c>
      <c r="D48" s="394">
        <f t="shared" si="4"/>
        <v>-40000</v>
      </c>
    </row>
    <row r="49" spans="2:4" ht="15" x14ac:dyDescent="0.25">
      <c r="B49" s="395" t="s">
        <v>351</v>
      </c>
      <c r="C49" s="401">
        <f t="shared" si="5"/>
        <v>-3</v>
      </c>
      <c r="D49" s="394">
        <f t="shared" si="4"/>
        <v>-15000</v>
      </c>
    </row>
    <row r="50" spans="2:4" ht="15" x14ac:dyDescent="0.25">
      <c r="B50" s="395" t="s">
        <v>353</v>
      </c>
      <c r="C50" s="401">
        <f>+C36</f>
        <v>-1</v>
      </c>
      <c r="D50" s="394">
        <f t="shared" si="4"/>
        <v>-5000</v>
      </c>
    </row>
    <row r="51" spans="2:4" ht="15" x14ac:dyDescent="0.25">
      <c r="B51" s="407" t="s">
        <v>319</v>
      </c>
      <c r="C51" s="408">
        <f>SUM(C46:C50)</f>
        <v>15</v>
      </c>
      <c r="D51" s="409">
        <f t="shared" si="4"/>
        <v>75000</v>
      </c>
    </row>
    <row r="52" spans="2:4" ht="15" x14ac:dyDescent="0.25">
      <c r="B52" s="395" t="s">
        <v>355</v>
      </c>
      <c r="C52" s="401"/>
      <c r="D52" s="394">
        <v>-10000</v>
      </c>
    </row>
    <row r="53" spans="2:4" ht="15.75" x14ac:dyDescent="0.25">
      <c r="B53" s="399" t="s">
        <v>356</v>
      </c>
      <c r="C53" s="402"/>
      <c r="D53" s="400">
        <f>SUM(D51:D52)</f>
        <v>65000</v>
      </c>
    </row>
    <row r="54" spans="2:4" ht="51" customHeight="1" x14ac:dyDescent="0.25">
      <c r="B54" s="504" t="s">
        <v>359</v>
      </c>
      <c r="C54" s="504"/>
      <c r="D54" s="504"/>
    </row>
    <row r="56" spans="2:4" ht="15.75" x14ac:dyDescent="0.25">
      <c r="B56" s="504" t="s">
        <v>360</v>
      </c>
      <c r="C56" s="504"/>
      <c r="D56" s="504"/>
    </row>
    <row r="57" spans="2:4" ht="15.75" x14ac:dyDescent="0.25">
      <c r="B57" s="396"/>
      <c r="C57" s="396" t="s">
        <v>171</v>
      </c>
      <c r="D57" s="396" t="s">
        <v>320</v>
      </c>
    </row>
    <row r="58" spans="2:4" ht="15" x14ac:dyDescent="0.25">
      <c r="B58" s="395" t="str">
        <f>+B4</f>
        <v>Matéria prima</v>
      </c>
      <c r="C58" s="401">
        <f>+C4</f>
        <v>15</v>
      </c>
      <c r="D58" s="394"/>
    </row>
    <row r="59" spans="2:4" ht="15" x14ac:dyDescent="0.25">
      <c r="B59" s="395" t="str">
        <f t="shared" ref="B59:C61" si="6">+B5</f>
        <v>MOD</v>
      </c>
      <c r="C59" s="401">
        <f t="shared" si="6"/>
        <v>8</v>
      </c>
      <c r="D59" s="394"/>
    </row>
    <row r="60" spans="2:4" ht="15" x14ac:dyDescent="0.25">
      <c r="B60" s="395" t="str">
        <f t="shared" si="6"/>
        <v>Custos gerais variáveis</v>
      </c>
      <c r="C60" s="401">
        <f t="shared" si="6"/>
        <v>3</v>
      </c>
      <c r="D60" s="394"/>
    </row>
    <row r="61" spans="2:4" ht="15" x14ac:dyDescent="0.25">
      <c r="B61" s="395" t="str">
        <f t="shared" si="6"/>
        <v>Custos gerais fixos</v>
      </c>
      <c r="C61" s="401">
        <f t="shared" si="6"/>
        <v>9</v>
      </c>
      <c r="D61" s="394"/>
    </row>
    <row r="62" spans="2:4" ht="15" x14ac:dyDescent="0.25">
      <c r="B62" s="395" t="s">
        <v>361</v>
      </c>
      <c r="C62" s="401">
        <v>1.8</v>
      </c>
      <c r="D62" s="394"/>
    </row>
    <row r="63" spans="2:4" ht="15" x14ac:dyDescent="0.25">
      <c r="B63" s="397" t="s">
        <v>362</v>
      </c>
      <c r="C63" s="403">
        <f>SUM(C58:C62)</f>
        <v>36.799999999999997</v>
      </c>
      <c r="D63" s="398"/>
    </row>
    <row r="64" spans="2:4" ht="15" x14ac:dyDescent="0.25">
      <c r="B64" s="395" t="str">
        <f>+B47</f>
        <v>(-) Matéria prima</v>
      </c>
      <c r="C64" s="401">
        <f>-C58</f>
        <v>-15</v>
      </c>
      <c r="D64" s="398">
        <f t="shared" ref="D64:D67" si="7">+C64*5000</f>
        <v>-75000</v>
      </c>
    </row>
    <row r="65" spans="2:4" ht="15" x14ac:dyDescent="0.25">
      <c r="B65" s="395" t="str">
        <f t="shared" ref="B65:B66" si="8">+B48</f>
        <v>(-) MOD</v>
      </c>
      <c r="C65" s="401">
        <f t="shared" ref="C65:C66" si="9">-C59</f>
        <v>-8</v>
      </c>
      <c r="D65" s="394">
        <f t="shared" si="7"/>
        <v>-40000</v>
      </c>
    </row>
    <row r="66" spans="2:4" ht="15" x14ac:dyDescent="0.25">
      <c r="B66" s="395" t="str">
        <f t="shared" si="8"/>
        <v>(-) Custos gerais variáveis</v>
      </c>
      <c r="C66" s="401">
        <f t="shared" si="9"/>
        <v>-3</v>
      </c>
      <c r="D66" s="394">
        <f t="shared" si="7"/>
        <v>-15000</v>
      </c>
    </row>
    <row r="67" spans="2:4" ht="15" x14ac:dyDescent="0.25">
      <c r="B67" s="407" t="s">
        <v>319</v>
      </c>
      <c r="C67" s="408">
        <f>SUM(C63:C66)</f>
        <v>10.799999999999997</v>
      </c>
      <c r="D67" s="409">
        <f t="shared" si="7"/>
        <v>53999.999999999985</v>
      </c>
    </row>
    <row r="68" spans="2:4" ht="15" x14ac:dyDescent="0.25">
      <c r="B68" s="395" t="s">
        <v>365</v>
      </c>
      <c r="C68" s="401">
        <v>0</v>
      </c>
      <c r="D68" s="394">
        <f t="shared" ref="D68" si="10">+C68*5000</f>
        <v>0</v>
      </c>
    </row>
    <row r="69" spans="2:4" ht="15" x14ac:dyDescent="0.25">
      <c r="B69" s="407" t="s">
        <v>366</v>
      </c>
      <c r="C69" s="408"/>
      <c r="D69" s="409">
        <f>SUM(D67:D68)</f>
        <v>53999.999999999985</v>
      </c>
    </row>
    <row r="70" spans="2:4" ht="35.25" customHeight="1" x14ac:dyDescent="0.25">
      <c r="B70" s="504" t="s">
        <v>363</v>
      </c>
      <c r="C70" s="504"/>
      <c r="D70" s="504"/>
    </row>
    <row r="72" spans="2:4" ht="15.75" x14ac:dyDescent="0.25">
      <c r="B72" s="504" t="s">
        <v>364</v>
      </c>
      <c r="C72" s="504"/>
      <c r="D72" s="504"/>
    </row>
    <row r="73" spans="2:4" ht="15.75" x14ac:dyDescent="0.25">
      <c r="B73" s="396"/>
      <c r="C73" s="396" t="s">
        <v>171</v>
      </c>
      <c r="D73" s="396" t="s">
        <v>320</v>
      </c>
    </row>
    <row r="74" spans="2:4" ht="15" x14ac:dyDescent="0.25">
      <c r="B74" s="395" t="str">
        <f>+B58</f>
        <v>Matéria prima</v>
      </c>
      <c r="C74" s="401">
        <f>+C58</f>
        <v>15</v>
      </c>
      <c r="D74" s="394"/>
    </row>
    <row r="75" spans="2:4" ht="15" x14ac:dyDescent="0.25">
      <c r="B75" s="395" t="str">
        <f t="shared" ref="B75:C82" si="11">+B59</f>
        <v>MOD</v>
      </c>
      <c r="C75" s="401">
        <f t="shared" si="11"/>
        <v>8</v>
      </c>
      <c r="D75" s="394"/>
    </row>
    <row r="76" spans="2:4" ht="15" x14ac:dyDescent="0.25">
      <c r="B76" s="395" t="str">
        <f t="shared" si="11"/>
        <v>Custos gerais variáveis</v>
      </c>
      <c r="C76" s="401">
        <f t="shared" si="11"/>
        <v>3</v>
      </c>
      <c r="D76" s="394"/>
    </row>
    <row r="77" spans="2:4" ht="15" x14ac:dyDescent="0.25">
      <c r="B77" s="395" t="str">
        <f t="shared" si="11"/>
        <v>Custos gerais fixos</v>
      </c>
      <c r="C77" s="401">
        <f t="shared" si="11"/>
        <v>9</v>
      </c>
      <c r="D77" s="394"/>
    </row>
    <row r="78" spans="2:4" ht="15" x14ac:dyDescent="0.25">
      <c r="B78" s="395" t="str">
        <f t="shared" si="11"/>
        <v>Taxa</v>
      </c>
      <c r="C78" s="401">
        <f t="shared" si="11"/>
        <v>1.8</v>
      </c>
      <c r="D78" s="394"/>
    </row>
    <row r="79" spans="2:4" ht="15" x14ac:dyDescent="0.25">
      <c r="B79" s="397" t="str">
        <f t="shared" si="11"/>
        <v>PREÇO PROPOSTO PELO EXÉRC</v>
      </c>
      <c r="C79" s="403">
        <f>SUM(C74:C78)</f>
        <v>36.799999999999997</v>
      </c>
      <c r="D79" s="398"/>
    </row>
    <row r="80" spans="2:4" ht="15" x14ac:dyDescent="0.25">
      <c r="B80" s="395" t="str">
        <f t="shared" si="11"/>
        <v>(-) Matéria prima</v>
      </c>
      <c r="C80" s="401">
        <f>-C74</f>
        <v>-15</v>
      </c>
      <c r="D80" s="398">
        <f t="shared" ref="D80:D83" si="12">+C80*5000</f>
        <v>-75000</v>
      </c>
    </row>
    <row r="81" spans="2:4" ht="15" x14ac:dyDescent="0.25">
      <c r="B81" s="395" t="str">
        <f t="shared" si="11"/>
        <v>(-) MOD</v>
      </c>
      <c r="C81" s="401">
        <f t="shared" ref="C81:C82" si="13">-C75</f>
        <v>-8</v>
      </c>
      <c r="D81" s="394">
        <f t="shared" si="12"/>
        <v>-40000</v>
      </c>
    </row>
    <row r="82" spans="2:4" ht="15" x14ac:dyDescent="0.25">
      <c r="B82" s="395" t="str">
        <f t="shared" si="11"/>
        <v>(-) Custos gerais variáveis</v>
      </c>
      <c r="C82" s="401">
        <f t="shared" si="13"/>
        <v>-3</v>
      </c>
      <c r="D82" s="394">
        <f t="shared" si="12"/>
        <v>-15000</v>
      </c>
    </row>
    <row r="83" spans="2:4" ht="15" x14ac:dyDescent="0.25">
      <c r="B83" s="407" t="s">
        <v>319</v>
      </c>
      <c r="C83" s="408">
        <f>SUM(C79:C82)</f>
        <v>10.799999999999997</v>
      </c>
      <c r="D83" s="409">
        <f t="shared" si="12"/>
        <v>53999.999999999985</v>
      </c>
    </row>
    <row r="84" spans="2:4" ht="15" x14ac:dyDescent="0.25">
      <c r="B84" s="395" t="s">
        <v>365</v>
      </c>
      <c r="C84" s="401">
        <v>0</v>
      </c>
      <c r="D84" s="394">
        <f>-C18*5000</f>
        <v>-100000</v>
      </c>
    </row>
    <row r="85" spans="2:4" ht="15" x14ac:dyDescent="0.25">
      <c r="B85" s="407" t="s">
        <v>366</v>
      </c>
      <c r="C85" s="408"/>
      <c r="D85" s="409">
        <f>SUM(D83:D84)</f>
        <v>-46000.000000000015</v>
      </c>
    </row>
    <row r="86" spans="2:4" ht="46.5" customHeight="1" x14ac:dyDescent="0.25">
      <c r="B86" s="504" t="s">
        <v>367</v>
      </c>
      <c r="C86" s="504"/>
      <c r="D86" s="504"/>
    </row>
  </sheetData>
  <mergeCells count="9">
    <mergeCell ref="B72:D72"/>
    <mergeCell ref="B86:D86"/>
    <mergeCell ref="B56:D56"/>
    <mergeCell ref="B70:D70"/>
    <mergeCell ref="B2:D2"/>
    <mergeCell ref="B27:D27"/>
    <mergeCell ref="B42:D42"/>
    <mergeCell ref="B40:D40"/>
    <mergeCell ref="B54:D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zoomScaleNormal="100" workbookViewId="0">
      <selection activeCell="B26" sqref="B26"/>
    </sheetView>
  </sheetViews>
  <sheetFormatPr defaultRowHeight="18.75" x14ac:dyDescent="0.25"/>
  <cols>
    <col min="1" max="1" width="1.5703125" style="1" customWidth="1"/>
    <col min="2" max="2" width="17.140625" style="1" customWidth="1"/>
    <col min="3" max="3" width="15.140625" style="295" bestFit="1" customWidth="1"/>
    <col min="4" max="4" width="10.140625" style="1" bestFit="1" customWidth="1"/>
    <col min="5" max="5" width="10.5703125" style="1" customWidth="1"/>
    <col min="6" max="6" width="9.140625" style="1"/>
    <col min="7" max="9" width="13.42578125" style="1" customWidth="1"/>
    <col min="10" max="11" width="17.42578125" style="1" customWidth="1"/>
    <col min="12" max="16384" width="9.140625" style="1"/>
  </cols>
  <sheetData>
    <row r="2" spans="2:11" ht="37.5" x14ac:dyDescent="0.25">
      <c r="B2" s="410" t="s">
        <v>368</v>
      </c>
      <c r="C2" s="410" t="s">
        <v>369</v>
      </c>
      <c r="D2" s="410" t="s">
        <v>375</v>
      </c>
      <c r="E2" s="410" t="s">
        <v>376</v>
      </c>
      <c r="F2" s="410" t="s">
        <v>377</v>
      </c>
      <c r="G2" s="410" t="s">
        <v>380</v>
      </c>
      <c r="H2" s="410" t="s">
        <v>381</v>
      </c>
      <c r="I2" s="410" t="s">
        <v>382</v>
      </c>
      <c r="J2" s="410" t="s">
        <v>378</v>
      </c>
      <c r="K2" s="410" t="s">
        <v>379</v>
      </c>
    </row>
    <row r="3" spans="2:11" ht="15" x14ac:dyDescent="0.25">
      <c r="B3" s="395" t="s">
        <v>370</v>
      </c>
      <c r="C3" s="412">
        <v>50000</v>
      </c>
      <c r="D3" s="411">
        <v>13.5</v>
      </c>
      <c r="E3" s="411">
        <v>4.3</v>
      </c>
      <c r="F3" s="411">
        <v>3.2</v>
      </c>
      <c r="G3" s="411">
        <f>2*J3</f>
        <v>0.8</v>
      </c>
      <c r="H3" s="415">
        <f>+D3-E3-F3-G3</f>
        <v>5.1999999999999993</v>
      </c>
      <c r="I3" s="415">
        <f>+H3/J3</f>
        <v>12.999999999999998</v>
      </c>
      <c r="J3" s="413">
        <f>+F3/8</f>
        <v>0.4</v>
      </c>
      <c r="K3" s="412">
        <f>+J3*C3</f>
        <v>20000</v>
      </c>
    </row>
    <row r="4" spans="2:11" ht="15" x14ac:dyDescent="0.25">
      <c r="B4" s="395" t="s">
        <v>371</v>
      </c>
      <c r="C4" s="412">
        <v>42000</v>
      </c>
      <c r="D4" s="411">
        <v>5.5</v>
      </c>
      <c r="E4" s="411">
        <v>1.1000000000000001</v>
      </c>
      <c r="F4" s="411">
        <v>2</v>
      </c>
      <c r="G4" s="411">
        <f t="shared" ref="G4:G7" si="0">2*J4</f>
        <v>0.5</v>
      </c>
      <c r="H4" s="415">
        <f t="shared" ref="H4:H7" si="1">+D4-E4-F4-G4</f>
        <v>1.9000000000000004</v>
      </c>
      <c r="I4" s="415">
        <f t="shared" ref="I4:I7" si="2">+H4/J4</f>
        <v>7.6000000000000014</v>
      </c>
      <c r="J4" s="413">
        <f t="shared" ref="J4:J7" si="3">+F4/8</f>
        <v>0.25</v>
      </c>
      <c r="K4" s="412">
        <f t="shared" ref="K4:K7" si="4">+J4*C4</f>
        <v>10500</v>
      </c>
    </row>
    <row r="5" spans="2:11" ht="15" x14ac:dyDescent="0.25">
      <c r="B5" s="395" t="s">
        <v>372</v>
      </c>
      <c r="C5" s="412">
        <v>35000</v>
      </c>
      <c r="D5" s="411">
        <v>21</v>
      </c>
      <c r="E5" s="411">
        <v>6.44</v>
      </c>
      <c r="F5" s="411">
        <v>5.6</v>
      </c>
      <c r="G5" s="411">
        <f t="shared" si="0"/>
        <v>1.4</v>
      </c>
      <c r="H5" s="415">
        <f t="shared" si="1"/>
        <v>7.5599999999999987</v>
      </c>
      <c r="I5" s="415">
        <f t="shared" si="2"/>
        <v>10.799999999999999</v>
      </c>
      <c r="J5" s="413">
        <f t="shared" si="3"/>
        <v>0.7</v>
      </c>
      <c r="K5" s="412">
        <f t="shared" si="4"/>
        <v>24500</v>
      </c>
    </row>
    <row r="6" spans="2:11" ht="15" x14ac:dyDescent="0.25">
      <c r="B6" s="395" t="s">
        <v>373</v>
      </c>
      <c r="C6" s="412">
        <v>40000</v>
      </c>
      <c r="D6" s="411">
        <v>10</v>
      </c>
      <c r="E6" s="411">
        <v>2</v>
      </c>
      <c r="F6" s="411">
        <v>4</v>
      </c>
      <c r="G6" s="411">
        <f t="shared" si="0"/>
        <v>1</v>
      </c>
      <c r="H6" s="415">
        <f t="shared" si="1"/>
        <v>3</v>
      </c>
      <c r="I6" s="415">
        <f t="shared" si="2"/>
        <v>6</v>
      </c>
      <c r="J6" s="413">
        <f t="shared" si="3"/>
        <v>0.5</v>
      </c>
      <c r="K6" s="412">
        <f t="shared" si="4"/>
        <v>20000</v>
      </c>
    </row>
    <row r="7" spans="2:11" ht="15" x14ac:dyDescent="0.25">
      <c r="B7" s="395" t="s">
        <v>374</v>
      </c>
      <c r="C7" s="412">
        <v>325000</v>
      </c>
      <c r="D7" s="411">
        <v>8</v>
      </c>
      <c r="E7" s="411">
        <v>3.2</v>
      </c>
      <c r="F7" s="411">
        <v>1.6</v>
      </c>
      <c r="G7" s="411">
        <f t="shared" si="0"/>
        <v>0.4</v>
      </c>
      <c r="H7" s="415">
        <f t="shared" si="1"/>
        <v>2.8</v>
      </c>
      <c r="I7" s="415">
        <f t="shared" si="2"/>
        <v>13.999999999999998</v>
      </c>
      <c r="J7" s="413">
        <f t="shared" si="3"/>
        <v>0.2</v>
      </c>
      <c r="K7" s="412">
        <f t="shared" si="4"/>
        <v>65000</v>
      </c>
    </row>
    <row r="8" spans="2:11" ht="15" x14ac:dyDescent="0.25">
      <c r="B8" s="407" t="s">
        <v>10</v>
      </c>
      <c r="C8" s="414"/>
      <c r="D8" s="415"/>
      <c r="E8" s="409"/>
      <c r="F8" s="409"/>
      <c r="G8" s="409"/>
      <c r="H8" s="409"/>
      <c r="I8" s="409"/>
      <c r="J8" s="414"/>
      <c r="K8" s="414">
        <f>SUM(K3:K7)</f>
        <v>140000</v>
      </c>
    </row>
    <row r="9" spans="2:11" ht="15" x14ac:dyDescent="0.25">
      <c r="B9" s="395"/>
      <c r="C9" s="412"/>
      <c r="D9" s="394"/>
      <c r="E9" s="394"/>
      <c r="F9" s="394"/>
      <c r="G9" s="394"/>
      <c r="H9" s="394"/>
      <c r="I9" s="394"/>
      <c r="J9" s="412"/>
      <c r="K9" s="394"/>
    </row>
    <row r="10" spans="2:11" ht="15" x14ac:dyDescent="0.25">
      <c r="B10" s="395"/>
      <c r="C10" s="412"/>
      <c r="D10" s="394"/>
      <c r="E10" s="394"/>
      <c r="F10" s="394"/>
      <c r="G10" s="394"/>
      <c r="H10" s="394"/>
      <c r="I10" s="394"/>
      <c r="J10" s="412"/>
      <c r="K10" s="394"/>
    </row>
    <row r="11" spans="2:11" ht="15" x14ac:dyDescent="0.25">
      <c r="B11" s="395"/>
      <c r="C11" s="412"/>
      <c r="D11" s="394"/>
      <c r="E11" s="394"/>
      <c r="F11" s="394"/>
      <c r="G11" s="394"/>
      <c r="H11" s="394"/>
      <c r="I11" s="394"/>
      <c r="J11" s="412"/>
      <c r="K11" s="394"/>
    </row>
    <row r="13" spans="2:11" x14ac:dyDescent="0.25">
      <c r="C13" s="503" t="s">
        <v>385</v>
      </c>
      <c r="D13" s="503"/>
    </row>
    <row r="14" spans="2:11" ht="37.5" x14ac:dyDescent="0.25">
      <c r="B14" s="410" t="s">
        <v>383</v>
      </c>
      <c r="C14" s="410" t="s">
        <v>384</v>
      </c>
      <c r="D14" s="410" t="s">
        <v>386</v>
      </c>
      <c r="E14" s="410" t="s">
        <v>387</v>
      </c>
    </row>
    <row r="15" spans="2:11" ht="15" x14ac:dyDescent="0.25">
      <c r="B15" s="395" t="s">
        <v>374</v>
      </c>
      <c r="C15" s="412">
        <f>+C7</f>
        <v>325000</v>
      </c>
      <c r="D15" s="412">
        <f>+C15*J7</f>
        <v>65000</v>
      </c>
      <c r="E15" s="394">
        <f>+C15*H7</f>
        <v>910000</v>
      </c>
    </row>
    <row r="16" spans="2:11" ht="15" x14ac:dyDescent="0.25">
      <c r="B16" s="395" t="s">
        <v>370</v>
      </c>
      <c r="C16" s="412">
        <f>+C3</f>
        <v>50000</v>
      </c>
      <c r="D16" s="412">
        <f>+C16*J3</f>
        <v>20000</v>
      </c>
      <c r="E16" s="394">
        <f>+C16*H3</f>
        <v>259999.99999999997</v>
      </c>
    </row>
    <row r="17" spans="2:5" ht="15" x14ac:dyDescent="0.25">
      <c r="B17" s="395" t="s">
        <v>372</v>
      </c>
      <c r="C17" s="412">
        <f>+C5</f>
        <v>35000</v>
      </c>
      <c r="D17" s="412">
        <f>+C17*J5</f>
        <v>24500</v>
      </c>
      <c r="E17" s="394">
        <f>+C17*H5</f>
        <v>264599.99999999994</v>
      </c>
    </row>
    <row r="18" spans="2:5" ht="15" x14ac:dyDescent="0.25">
      <c r="B18" s="395" t="s">
        <v>371</v>
      </c>
      <c r="C18" s="412">
        <f>+C4</f>
        <v>42000</v>
      </c>
      <c r="D18" s="412">
        <f>+C18*J4</f>
        <v>10500</v>
      </c>
      <c r="E18" s="394">
        <f>+C18*H4</f>
        <v>79800.000000000015</v>
      </c>
    </row>
    <row r="19" spans="2:5" ht="15" x14ac:dyDescent="0.25">
      <c r="B19" s="395" t="s">
        <v>373</v>
      </c>
      <c r="C19" s="412">
        <f>+D19/J6</f>
        <v>20000</v>
      </c>
      <c r="D19" s="412">
        <v>10000</v>
      </c>
      <c r="E19" s="394">
        <f>+C19*H6</f>
        <v>60000</v>
      </c>
    </row>
    <row r="20" spans="2:5" ht="15" x14ac:dyDescent="0.25">
      <c r="B20" s="407" t="s">
        <v>10</v>
      </c>
      <c r="C20" s="414"/>
      <c r="D20" s="414">
        <f>SUM(D15:D19)</f>
        <v>130000</v>
      </c>
      <c r="E20" s="409">
        <f>SUM(E15:E19)</f>
        <v>1574400</v>
      </c>
    </row>
    <row r="21" spans="2:5" x14ac:dyDescent="0.25">
      <c r="D21" s="295"/>
    </row>
    <row r="22" spans="2:5" ht="18.75" customHeight="1" x14ac:dyDescent="0.25">
      <c r="B22" s="506" t="s">
        <v>388</v>
      </c>
      <c r="C22" s="506"/>
      <c r="D22" s="506"/>
      <c r="E22" s="506"/>
    </row>
    <row r="23" spans="2:5" ht="18.75" customHeight="1" x14ac:dyDescent="0.25">
      <c r="B23" s="506"/>
      <c r="C23" s="506"/>
      <c r="D23" s="506"/>
      <c r="E23" s="506"/>
    </row>
    <row r="24" spans="2:5" ht="18.75" customHeight="1" x14ac:dyDescent="0.25">
      <c r="B24" s="506"/>
      <c r="C24" s="506"/>
      <c r="D24" s="506"/>
      <c r="E24" s="506"/>
    </row>
    <row r="25" spans="2:5" ht="18.75" customHeight="1" x14ac:dyDescent="0.25">
      <c r="B25" s="506"/>
      <c r="C25" s="506"/>
      <c r="D25" s="506"/>
      <c r="E25" s="506"/>
    </row>
  </sheetData>
  <mergeCells count="2">
    <mergeCell ref="C13:D13"/>
    <mergeCell ref="B22:E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9"/>
  <sheetViews>
    <sheetView zoomScale="120" zoomScaleNormal="120" workbookViewId="0">
      <pane xSplit="1" ySplit="2" topLeftCell="B99" activePane="bottomRight" state="frozen"/>
      <selection pane="topRight" activeCell="B1" sqref="B1"/>
      <selection pane="bottomLeft" activeCell="A3" sqref="A3"/>
      <selection pane="bottomRight" activeCell="F108" sqref="F108:F109"/>
    </sheetView>
  </sheetViews>
  <sheetFormatPr defaultRowHeight="18.75" x14ac:dyDescent="0.25"/>
  <cols>
    <col min="1" max="1" width="1.5703125" style="1" customWidth="1"/>
    <col min="2" max="2" width="12.5703125" style="1" customWidth="1"/>
    <col min="3" max="3" width="12.5703125" style="295" customWidth="1"/>
    <col min="4" max="6" width="12.5703125" style="1" customWidth="1"/>
    <col min="7" max="7" width="19" style="1" hidden="1" customWidth="1"/>
    <col min="8" max="8" width="20.42578125" style="1" hidden="1" customWidth="1"/>
    <col min="9" max="16384" width="9.140625" style="1"/>
  </cols>
  <sheetData>
    <row r="2" spans="2:10" ht="56.25" x14ac:dyDescent="0.25">
      <c r="B2" s="416" t="s">
        <v>406</v>
      </c>
      <c r="C2" s="416" t="s">
        <v>407</v>
      </c>
      <c r="D2" s="416" t="s">
        <v>408</v>
      </c>
      <c r="E2" s="416" t="s">
        <v>409</v>
      </c>
      <c r="F2" s="416" t="s">
        <v>387</v>
      </c>
      <c r="G2" s="416" t="s">
        <v>411</v>
      </c>
      <c r="H2" s="416" t="s">
        <v>410</v>
      </c>
      <c r="I2" s="416" t="s">
        <v>413</v>
      </c>
      <c r="J2" s="416" t="s">
        <v>414</v>
      </c>
    </row>
    <row r="3" spans="2:10" ht="15" x14ac:dyDescent="0.25">
      <c r="B3" s="420">
        <v>1.89</v>
      </c>
      <c r="C3" s="394">
        <v>1500</v>
      </c>
      <c r="D3" s="422">
        <v>0.43</v>
      </c>
      <c r="E3" s="421">
        <f>+B3-D3</f>
        <v>1.46</v>
      </c>
      <c r="F3" s="394">
        <f>+E3*C3</f>
        <v>2190</v>
      </c>
      <c r="G3" s="394">
        <v>675</v>
      </c>
      <c r="H3" s="394">
        <f>+F3-G3</f>
        <v>1515</v>
      </c>
      <c r="I3" s="394"/>
      <c r="J3" s="394"/>
    </row>
    <row r="4" spans="2:10" ht="15" x14ac:dyDescent="0.25">
      <c r="B4" s="420">
        <v>1.49</v>
      </c>
      <c r="C4" s="394">
        <v>2340</v>
      </c>
      <c r="D4" s="422">
        <v>0.43</v>
      </c>
      <c r="E4" s="421">
        <f>+B4-D4</f>
        <v>1.06</v>
      </c>
      <c r="F4" s="394">
        <f>+E4*C4</f>
        <v>2480.4</v>
      </c>
      <c r="G4" s="394">
        <v>675</v>
      </c>
      <c r="H4" s="394">
        <f>+F4-G4</f>
        <v>1805.4</v>
      </c>
      <c r="I4" s="424">
        <f>+B4/B3-1</f>
        <v>-0.21164021164021163</v>
      </c>
      <c r="J4" s="424">
        <f>+C4/C3-1</f>
        <v>0.56000000000000005</v>
      </c>
    </row>
    <row r="6" spans="2:10" x14ac:dyDescent="0.25">
      <c r="B6" s="506" t="s">
        <v>412</v>
      </c>
      <c r="C6" s="506"/>
      <c r="D6" s="506"/>
      <c r="E6" s="423">
        <f>+LN(1+J4)/LN(1+I4)</f>
        <v>-1.8699936720875119</v>
      </c>
    </row>
    <row r="8" spans="2:10" x14ac:dyDescent="0.25">
      <c r="B8" s="506" t="s">
        <v>415</v>
      </c>
      <c r="C8" s="506"/>
      <c r="D8" s="506"/>
      <c r="E8" s="423">
        <f>+(E6/(1+E6))*$D$4</f>
        <v>0.92425646851917187</v>
      </c>
    </row>
    <row r="10" spans="2:10" ht="15" x14ac:dyDescent="0.25">
      <c r="B10" s="425">
        <f>+E8</f>
        <v>0.92425646851917187</v>
      </c>
      <c r="C10" s="409">
        <f>+C3*(1+J10)</f>
        <v>5715.3245121464915</v>
      </c>
      <c r="D10" s="426">
        <f>+D4</f>
        <v>0.43</v>
      </c>
      <c r="E10" s="427">
        <f>+B10-D10</f>
        <v>0.49425646851917188</v>
      </c>
      <c r="F10" s="409">
        <f>+E10*C10</f>
        <v>2824.8361098145838</v>
      </c>
      <c r="G10" s="409"/>
      <c r="H10" s="409"/>
      <c r="I10" s="428">
        <f>+B10/B3-1</f>
        <v>-0.51097541348191955</v>
      </c>
      <c r="J10" s="428">
        <f>+(1+I10)^E6-1</f>
        <v>2.8102163414309942</v>
      </c>
    </row>
    <row r="12" spans="2:10" ht="15" x14ac:dyDescent="0.25">
      <c r="B12" s="420">
        <f>+B3</f>
        <v>1.89</v>
      </c>
      <c r="C12" s="394">
        <f>+C3</f>
        <v>1500</v>
      </c>
      <c r="D12" s="422">
        <f>+$D$10</f>
        <v>0.43</v>
      </c>
      <c r="E12" s="421">
        <f>+B12-D12</f>
        <v>1.46</v>
      </c>
      <c r="F12" s="394">
        <f>+E12*C12</f>
        <v>2190</v>
      </c>
      <c r="G12" s="394"/>
      <c r="H12" s="394"/>
      <c r="I12" s="424"/>
      <c r="J12" s="424"/>
    </row>
    <row r="13" spans="2:10" ht="15" x14ac:dyDescent="0.25">
      <c r="B13" s="420">
        <f>+B12-0.01</f>
        <v>1.88</v>
      </c>
      <c r="C13" s="394">
        <f>+C12*(1+J13)</f>
        <v>1514.9546767963395</v>
      </c>
      <c r="D13" s="422">
        <f t="shared" ref="D13:D76" si="0">+$D$10</f>
        <v>0.43</v>
      </c>
      <c r="E13" s="421">
        <f t="shared" ref="E13:E16" si="1">+B13-D13</f>
        <v>1.45</v>
      </c>
      <c r="F13" s="394">
        <f t="shared" ref="F13:F16" si="2">+E13*C13</f>
        <v>2196.6842813546923</v>
      </c>
      <c r="G13" s="394"/>
      <c r="H13" s="394"/>
      <c r="I13" s="424">
        <f>+B13/B12-1</f>
        <v>-5.2910052910053462E-3</v>
      </c>
      <c r="J13" s="424">
        <f>+(1+I13)^$E$6-1</f>
        <v>9.9697845308930333E-3</v>
      </c>
    </row>
    <row r="14" spans="2:10" ht="15" x14ac:dyDescent="0.25">
      <c r="B14" s="420">
        <f t="shared" ref="B14:B16" si="3">+B13-0.01</f>
        <v>1.8699999999999999</v>
      </c>
      <c r="C14" s="394">
        <f t="shared" ref="C14" si="4">+C13*(1+J14)</f>
        <v>1530.1394046939718</v>
      </c>
      <c r="D14" s="422">
        <f t="shared" si="0"/>
        <v>0.43</v>
      </c>
      <c r="E14" s="421">
        <f t="shared" si="1"/>
        <v>1.44</v>
      </c>
      <c r="F14" s="394">
        <f t="shared" si="2"/>
        <v>2203.4007427593192</v>
      </c>
      <c r="G14" s="394"/>
      <c r="H14" s="394"/>
      <c r="I14" s="424">
        <f t="shared" ref="I14" si="5">+B14/B13-1</f>
        <v>-5.3191489361702482E-3</v>
      </c>
      <c r="J14" s="424">
        <f t="shared" ref="J14:J77" si="6">+(1+I14)^$E$6-1</f>
        <v>1.0023222562501433E-2</v>
      </c>
    </row>
    <row r="15" spans="2:10" ht="15" x14ac:dyDescent="0.25">
      <c r="B15" s="420">
        <f t="shared" si="3"/>
        <v>1.8599999999999999</v>
      </c>
      <c r="C15" s="394">
        <f t="shared" ref="C15:C16" si="7">+C14*(1+J15)</f>
        <v>1545.5589814039761</v>
      </c>
      <c r="D15" s="422">
        <f t="shared" si="0"/>
        <v>0.43</v>
      </c>
      <c r="E15" s="421">
        <f t="shared" si="1"/>
        <v>1.43</v>
      </c>
      <c r="F15" s="394">
        <f t="shared" si="2"/>
        <v>2210.1493434076856</v>
      </c>
      <c r="G15" s="394"/>
      <c r="H15" s="394"/>
      <c r="I15" s="424">
        <f t="shared" ref="I15:I16" si="8">+B15/B14-1</f>
        <v>-5.3475935828877219E-3</v>
      </c>
      <c r="J15" s="424">
        <f t="shared" si="6"/>
        <v>1.0077236533287071E-2</v>
      </c>
    </row>
    <row r="16" spans="2:10" ht="15" x14ac:dyDescent="0.25">
      <c r="B16" s="420">
        <f t="shared" si="3"/>
        <v>1.8499999999999999</v>
      </c>
      <c r="C16" s="394">
        <f t="shared" si="7"/>
        <v>1561.2183312298748</v>
      </c>
      <c r="D16" s="422">
        <f t="shared" si="0"/>
        <v>0.43</v>
      </c>
      <c r="E16" s="421">
        <f t="shared" si="1"/>
        <v>1.42</v>
      </c>
      <c r="F16" s="394">
        <f t="shared" si="2"/>
        <v>2216.930030346422</v>
      </c>
      <c r="G16" s="394"/>
      <c r="H16" s="394"/>
      <c r="I16" s="424">
        <f t="shared" si="8"/>
        <v>-5.3763440860215006E-3</v>
      </c>
      <c r="J16" s="424">
        <f t="shared" si="6"/>
        <v>1.0131835804592759E-2</v>
      </c>
    </row>
    <row r="17" spans="2:10" ht="15" x14ac:dyDescent="0.25">
      <c r="B17" s="420">
        <f t="shared" ref="B17" si="9">+B16-0.01</f>
        <v>1.8399999999999999</v>
      </c>
      <c r="C17" s="394">
        <f t="shared" ref="C17" si="10">+C16*(1+J17)</f>
        <v>1577.1225091157135</v>
      </c>
      <c r="D17" s="422">
        <f t="shared" si="0"/>
        <v>0.43</v>
      </c>
      <c r="E17" s="421">
        <f t="shared" ref="E17" si="11">+B17-D17</f>
        <v>1.41</v>
      </c>
      <c r="F17" s="394">
        <f t="shared" ref="F17" si="12">+E17*C17</f>
        <v>2223.7427378531556</v>
      </c>
      <c r="G17" s="394"/>
      <c r="H17" s="394"/>
      <c r="I17" s="424">
        <f t="shared" ref="I17" si="13">+B17/B16-1</f>
        <v>-5.4054054054054612E-3</v>
      </c>
      <c r="J17" s="424">
        <f t="shared" si="6"/>
        <v>1.0187029941744141E-2</v>
      </c>
    </row>
    <row r="18" spans="2:10" ht="15" x14ac:dyDescent="0.25">
      <c r="B18" s="420">
        <f t="shared" ref="B18:B81" si="14">+B17-0.01</f>
        <v>1.8299999999999998</v>
      </c>
      <c r="C18" s="394">
        <f t="shared" ref="C18:C81" si="15">+C17*(1+J18)</f>
        <v>1593.2767048464702</v>
      </c>
      <c r="D18" s="422">
        <f t="shared" si="0"/>
        <v>0.43</v>
      </c>
      <c r="E18" s="421">
        <f t="shared" ref="E18:E81" si="16">+B18-D18</f>
        <v>1.4</v>
      </c>
      <c r="F18" s="394">
        <f t="shared" ref="F18:F81" si="17">+E18*C18</f>
        <v>2230.5873867850582</v>
      </c>
      <c r="G18" s="394"/>
      <c r="H18" s="394"/>
      <c r="I18" s="424">
        <f t="shared" ref="I18:I81" si="18">+B18/B17-1</f>
        <v>-5.4347826086956763E-3</v>
      </c>
      <c r="J18" s="424">
        <f t="shared" si="6"/>
        <v>1.024282871963722E-2</v>
      </c>
    </row>
    <row r="19" spans="2:10" ht="15" x14ac:dyDescent="0.25">
      <c r="B19" s="420">
        <f t="shared" si="14"/>
        <v>1.8199999999999998</v>
      </c>
      <c r="C19" s="394">
        <f t="shared" si="15"/>
        <v>1609.686247407396</v>
      </c>
      <c r="D19" s="422">
        <f t="shared" si="0"/>
        <v>0.43</v>
      </c>
      <c r="E19" s="421">
        <f t="shared" si="16"/>
        <v>1.39</v>
      </c>
      <c r="F19" s="394">
        <f t="shared" si="17"/>
        <v>2237.4638838962801</v>
      </c>
      <c r="G19" s="394"/>
      <c r="H19" s="394"/>
      <c r="I19" s="424">
        <f t="shared" si="18"/>
        <v>-5.464480874316946E-3</v>
      </c>
      <c r="J19" s="424">
        <f t="shared" si="6"/>
        <v>1.0299242128508412E-2</v>
      </c>
    </row>
    <row r="20" spans="2:10" ht="15" x14ac:dyDescent="0.25">
      <c r="B20" s="420">
        <f t="shared" si="14"/>
        <v>1.8099999999999998</v>
      </c>
      <c r="C20" s="394">
        <f t="shared" si="15"/>
        <v>1626.3566095092135</v>
      </c>
      <c r="D20" s="422">
        <f t="shared" si="0"/>
        <v>0.43</v>
      </c>
      <c r="E20" s="421">
        <f t="shared" si="16"/>
        <v>1.38</v>
      </c>
      <c r="F20" s="394">
        <f t="shared" si="17"/>
        <v>2244.3721211227144</v>
      </c>
      <c r="G20" s="394"/>
      <c r="H20" s="394"/>
      <c r="I20" s="424">
        <f t="shared" si="18"/>
        <v>-5.494505494505475E-3</v>
      </c>
      <c r="J20" s="424">
        <f t="shared" si="6"/>
        <v>1.0356280379898442E-2</v>
      </c>
    </row>
    <row r="21" spans="2:10" ht="15" x14ac:dyDescent="0.25">
      <c r="B21" s="420">
        <f t="shared" si="14"/>
        <v>1.7999999999999998</v>
      </c>
      <c r="C21" s="394">
        <f t="shared" si="15"/>
        <v>1643.2934122864424</v>
      </c>
      <c r="D21" s="422">
        <f t="shared" si="0"/>
        <v>0.43</v>
      </c>
      <c r="E21" s="421">
        <f t="shared" si="16"/>
        <v>1.3699999999999999</v>
      </c>
      <c r="F21" s="394">
        <f t="shared" si="17"/>
        <v>2251.3119748324257</v>
      </c>
      <c r="G21" s="394"/>
      <c r="H21" s="394"/>
      <c r="I21" s="424">
        <f t="shared" si="18"/>
        <v>-5.5248618784530246E-3</v>
      </c>
      <c r="J21" s="424">
        <f t="shared" si="6"/>
        <v>1.0413953912813634E-2</v>
      </c>
    </row>
    <row r="22" spans="2:10" ht="15" x14ac:dyDescent="0.25">
      <c r="B22" s="420">
        <f t="shared" si="14"/>
        <v>1.7899999999999998</v>
      </c>
      <c r="C22" s="394">
        <f t="shared" si="15"/>
        <v>1660.5024301764811</v>
      </c>
      <c r="D22" s="422">
        <f t="shared" si="0"/>
        <v>0.43</v>
      </c>
      <c r="E22" s="421">
        <f t="shared" si="16"/>
        <v>1.3599999999999999</v>
      </c>
      <c r="F22" s="394">
        <f t="shared" si="17"/>
        <v>2258.2833050400141</v>
      </c>
      <c r="G22" s="394"/>
      <c r="H22" s="394"/>
      <c r="I22" s="424">
        <f t="shared" si="18"/>
        <v>-5.5555555555555358E-3</v>
      </c>
      <c r="J22" s="424">
        <f t="shared" si="6"/>
        <v>1.0472273400095045E-2</v>
      </c>
    </row>
    <row r="23" spans="2:10" ht="15" x14ac:dyDescent="0.25">
      <c r="B23" s="420">
        <f t="shared" si="14"/>
        <v>1.7799999999999998</v>
      </c>
      <c r="C23" s="394">
        <f t="shared" si="15"/>
        <v>1677.9895959874575</v>
      </c>
      <c r="D23" s="422">
        <f t="shared" si="0"/>
        <v>0.43</v>
      </c>
      <c r="E23" s="421">
        <f t="shared" si="16"/>
        <v>1.3499999999999999</v>
      </c>
      <c r="F23" s="394">
        <f t="shared" si="17"/>
        <v>2265.2859545830675</v>
      </c>
      <c r="G23" s="394"/>
      <c r="H23" s="394"/>
      <c r="I23" s="424">
        <f t="shared" si="18"/>
        <v>-5.5865921787709993E-3</v>
      </c>
      <c r="J23" s="424">
        <f t="shared" si="6"/>
        <v>1.0531249755002081E-2</v>
      </c>
    </row>
    <row r="24" spans="2:10" ht="15" x14ac:dyDescent="0.25">
      <c r="B24" s="420">
        <f t="shared" si="14"/>
        <v>1.7699999999999998</v>
      </c>
      <c r="C24" s="394">
        <f t="shared" si="15"/>
        <v>1695.7610061632624</v>
      </c>
      <c r="D24" s="422">
        <f t="shared" si="0"/>
        <v>0.43</v>
      </c>
      <c r="E24" s="421">
        <f t="shared" si="16"/>
        <v>1.3399999999999999</v>
      </c>
      <c r="F24" s="394">
        <f t="shared" si="17"/>
        <v>2272.3197482587716</v>
      </c>
      <c r="G24" s="394"/>
      <c r="H24" s="394"/>
      <c r="I24" s="424">
        <f t="shared" si="18"/>
        <v>-5.6179775280899014E-3</v>
      </c>
      <c r="J24" s="424">
        <f t="shared" si="6"/>
        <v>1.0590894138021723E-2</v>
      </c>
    </row>
    <row r="25" spans="2:10" ht="15" x14ac:dyDescent="0.25">
      <c r="B25" s="420">
        <f t="shared" si="14"/>
        <v>1.7599999999999998</v>
      </c>
      <c r="C25" s="394">
        <f t="shared" si="15"/>
        <v>1713.8229262546045</v>
      </c>
      <c r="D25" s="422">
        <f t="shared" si="0"/>
        <v>0.43</v>
      </c>
      <c r="E25" s="421">
        <f t="shared" si="16"/>
        <v>1.3299999999999998</v>
      </c>
      <c r="F25" s="394">
        <f t="shared" si="17"/>
        <v>2279.3844919186236</v>
      </c>
      <c r="G25" s="394"/>
      <c r="H25" s="394"/>
      <c r="I25" s="424">
        <f t="shared" si="18"/>
        <v>-5.6497175141243527E-3</v>
      </c>
      <c r="J25" s="424">
        <f t="shared" si="6"/>
        <v>1.0651217963908666E-2</v>
      </c>
    </row>
    <row r="26" spans="2:10" ht="15" x14ac:dyDescent="0.25">
      <c r="B26" s="420">
        <f t="shared" si="14"/>
        <v>1.7499999999999998</v>
      </c>
      <c r="C26" s="394">
        <f t="shared" si="15"/>
        <v>1732.1817966053709</v>
      </c>
      <c r="D26" s="422">
        <f t="shared" si="0"/>
        <v>0.43</v>
      </c>
      <c r="E26" s="421">
        <f t="shared" si="16"/>
        <v>1.3199999999999998</v>
      </c>
      <c r="F26" s="394">
        <f t="shared" si="17"/>
        <v>2286.4799715190893</v>
      </c>
      <c r="G26" s="394"/>
      <c r="H26" s="394"/>
      <c r="I26" s="424">
        <f t="shared" si="18"/>
        <v>-5.6818181818182323E-3</v>
      </c>
      <c r="J26" s="424">
        <f t="shared" si="6"/>
        <v>1.0712232908966834E-2</v>
      </c>
    </row>
    <row r="27" spans="2:10" ht="15" x14ac:dyDescent="0.25">
      <c r="B27" s="420">
        <f t="shared" si="14"/>
        <v>1.7399999999999998</v>
      </c>
      <c r="C27" s="394">
        <f t="shared" si="15"/>
        <v>1750.8442382640642</v>
      </c>
      <c r="D27" s="422">
        <f t="shared" si="0"/>
        <v>0.43</v>
      </c>
      <c r="E27" s="421">
        <f t="shared" si="16"/>
        <v>1.3099999999999998</v>
      </c>
      <c r="F27" s="394">
        <f t="shared" si="17"/>
        <v>2293.605952125924</v>
      </c>
      <c r="G27" s="394"/>
      <c r="H27" s="394"/>
      <c r="I27" s="424">
        <f t="shared" si="18"/>
        <v>-5.7142857142856718E-3</v>
      </c>
      <c r="J27" s="424">
        <f t="shared" si="6"/>
        <v>1.0773950918585351E-2</v>
      </c>
    </row>
    <row r="28" spans="2:10" ht="15" x14ac:dyDescent="0.25">
      <c r="B28" s="420">
        <f t="shared" si="14"/>
        <v>1.7299999999999998</v>
      </c>
      <c r="C28" s="394">
        <f t="shared" si="15"/>
        <v>1769.8170591305723</v>
      </c>
      <c r="D28" s="422">
        <f t="shared" si="0"/>
        <v>0.43</v>
      </c>
      <c r="E28" s="421">
        <f t="shared" si="16"/>
        <v>1.2999999999999998</v>
      </c>
      <c r="F28" s="394">
        <f t="shared" si="17"/>
        <v>2300.7621768697436</v>
      </c>
      <c r="G28" s="394"/>
      <c r="H28" s="394"/>
      <c r="I28" s="424">
        <f t="shared" si="18"/>
        <v>-5.7471264367816577E-3</v>
      </c>
      <c r="J28" s="424">
        <f t="shared" si="6"/>
        <v>1.0836384215034078E-2</v>
      </c>
    </row>
    <row r="29" spans="2:10" ht="15" x14ac:dyDescent="0.25">
      <c r="B29" s="420">
        <f t="shared" si="14"/>
        <v>1.7199999999999998</v>
      </c>
      <c r="C29" s="394">
        <f t="shared" si="15"/>
        <v>1789.1072603490702</v>
      </c>
      <c r="D29" s="422">
        <f t="shared" si="0"/>
        <v>0.43</v>
      </c>
      <c r="E29" s="421">
        <f t="shared" si="16"/>
        <v>1.2899999999999998</v>
      </c>
      <c r="F29" s="394">
        <f t="shared" si="17"/>
        <v>2307.9483658503004</v>
      </c>
      <c r="G29" s="394"/>
      <c r="H29" s="394"/>
      <c r="I29" s="424">
        <f t="shared" si="18"/>
        <v>-5.7803468208093012E-3</v>
      </c>
      <c r="J29" s="424">
        <f t="shared" si="6"/>
        <v>1.0899545305532499E-2</v>
      </c>
    </row>
    <row r="30" spans="2:10" ht="15" x14ac:dyDescent="0.25">
      <c r="B30" s="420">
        <f t="shared" si="14"/>
        <v>1.7099999999999997</v>
      </c>
      <c r="C30" s="394">
        <f t="shared" si="15"/>
        <v>1808.7220429584086</v>
      </c>
      <c r="D30" s="422">
        <f t="shared" si="0"/>
        <v>0.43</v>
      </c>
      <c r="E30" s="421">
        <f t="shared" si="16"/>
        <v>1.2799999999999998</v>
      </c>
      <c r="F30" s="394">
        <f t="shared" si="17"/>
        <v>2315.1642149867625</v>
      </c>
      <c r="G30" s="394"/>
      <c r="H30" s="394"/>
      <c r="I30" s="424">
        <f t="shared" si="18"/>
        <v>-5.8139534883721034E-3</v>
      </c>
      <c r="J30" s="424">
        <f t="shared" si="6"/>
        <v>1.0963446990602144E-2</v>
      </c>
    </row>
    <row r="31" spans="2:10" ht="15" x14ac:dyDescent="0.25">
      <c r="B31" s="420">
        <f t="shared" si="14"/>
        <v>1.6999999999999997</v>
      </c>
      <c r="C31" s="394">
        <f t="shared" si="15"/>
        <v>1828.6688148119422</v>
      </c>
      <c r="D31" s="422">
        <f t="shared" si="0"/>
        <v>0.43</v>
      </c>
      <c r="E31" s="421">
        <f t="shared" si="16"/>
        <v>1.2699999999999998</v>
      </c>
      <c r="F31" s="394">
        <f t="shared" si="17"/>
        <v>2322.4093948111663</v>
      </c>
      <c r="G31" s="394"/>
      <c r="H31" s="394"/>
      <c r="I31" s="424">
        <f t="shared" si="18"/>
        <v>-5.8479532163743242E-3</v>
      </c>
      <c r="J31" s="424">
        <f t="shared" si="6"/>
        <v>1.102810237271612E-2</v>
      </c>
    </row>
    <row r="32" spans="2:10" ht="15" x14ac:dyDescent="0.25">
      <c r="B32" s="420">
        <f t="shared" si="14"/>
        <v>1.6899999999999997</v>
      </c>
      <c r="C32" s="394">
        <f t="shared" si="15"/>
        <v>1848.9551977793726</v>
      </c>
      <c r="D32" s="422">
        <f t="shared" si="0"/>
        <v>0.43</v>
      </c>
      <c r="E32" s="421">
        <f t="shared" si="16"/>
        <v>1.2599999999999998</v>
      </c>
      <c r="F32" s="394">
        <f t="shared" si="17"/>
        <v>2329.6835492020091</v>
      </c>
      <c r="G32" s="394"/>
      <c r="H32" s="394"/>
      <c r="I32" s="424">
        <f t="shared" si="18"/>
        <v>-5.8823529411764497E-3</v>
      </c>
      <c r="J32" s="424">
        <f t="shared" si="6"/>
        <v>1.1093524865253723E-2</v>
      </c>
    </row>
    <row r="33" spans="2:10" ht="15" x14ac:dyDescent="0.25">
      <c r="B33" s="420">
        <f t="shared" si="14"/>
        <v>1.6799999999999997</v>
      </c>
      <c r="C33" s="394">
        <f t="shared" si="15"/>
        <v>1869.5890352438562</v>
      </c>
      <c r="D33" s="422">
        <f t="shared" si="0"/>
        <v>0.43</v>
      </c>
      <c r="E33" s="421">
        <f t="shared" si="16"/>
        <v>1.2499999999999998</v>
      </c>
      <c r="F33" s="394">
        <f t="shared" si="17"/>
        <v>2336.9862940548196</v>
      </c>
      <c r="G33" s="394"/>
      <c r="H33" s="394"/>
      <c r="I33" s="424">
        <f t="shared" si="18"/>
        <v>-5.9171597633136397E-3</v>
      </c>
      <c r="J33" s="424">
        <f t="shared" si="6"/>
        <v>1.1159728201778574E-2</v>
      </c>
    </row>
    <row r="34" spans="2:10" ht="15" x14ac:dyDescent="0.25">
      <c r="B34" s="420">
        <f t="shared" si="14"/>
        <v>1.6699999999999997</v>
      </c>
      <c r="C34" s="394">
        <f t="shared" si="15"/>
        <v>1890.5783999083224</v>
      </c>
      <c r="D34" s="422">
        <f t="shared" si="0"/>
        <v>0.43</v>
      </c>
      <c r="E34" s="421">
        <f t="shared" si="16"/>
        <v>1.2399999999999998</v>
      </c>
      <c r="F34" s="394">
        <f t="shared" si="17"/>
        <v>2344.3172158863194</v>
      </c>
      <c r="G34" s="394"/>
      <c r="H34" s="394"/>
      <c r="I34" s="424">
        <f t="shared" si="18"/>
        <v>-5.9523809523809312E-3</v>
      </c>
      <c r="J34" s="424">
        <f t="shared" si="6"/>
        <v>1.1226726445648261E-2</v>
      </c>
    </row>
    <row r="35" spans="2:10" ht="15" x14ac:dyDescent="0.25">
      <c r="B35" s="420">
        <f t="shared" si="14"/>
        <v>1.6599999999999997</v>
      </c>
      <c r="C35" s="394">
        <f t="shared" si="15"/>
        <v>1911.9316019257053</v>
      </c>
      <c r="D35" s="422">
        <f t="shared" si="0"/>
        <v>0.43</v>
      </c>
      <c r="E35" s="421">
        <f t="shared" si="16"/>
        <v>1.2299999999999998</v>
      </c>
      <c r="F35" s="394">
        <f t="shared" si="17"/>
        <v>2351.6758703686169</v>
      </c>
      <c r="G35" s="394"/>
      <c r="H35" s="394"/>
      <c r="I35" s="424">
        <f t="shared" si="18"/>
        <v>-5.9880239520958556E-3</v>
      </c>
      <c r="J35" s="424">
        <f t="shared" si="6"/>
        <v>1.1294533999975043E-2</v>
      </c>
    </row>
    <row r="36" spans="2:10" ht="15" x14ac:dyDescent="0.25">
      <c r="B36" s="420">
        <f t="shared" si="14"/>
        <v>1.6499999999999997</v>
      </c>
      <c r="C36" s="394">
        <f t="shared" si="15"/>
        <v>1933.6571973685736</v>
      </c>
      <c r="D36" s="422">
        <f t="shared" si="0"/>
        <v>0.43</v>
      </c>
      <c r="E36" s="421">
        <f t="shared" si="16"/>
        <v>1.2199999999999998</v>
      </c>
      <c r="F36" s="394">
        <f t="shared" si="17"/>
        <v>2359.0617807896592</v>
      </c>
      <c r="G36" s="394"/>
      <c r="H36" s="394"/>
      <c r="I36" s="424">
        <f t="shared" si="18"/>
        <v>-6.0240963855421326E-3</v>
      </c>
      <c r="J36" s="424">
        <f t="shared" si="6"/>
        <v>1.1363165617946924E-2</v>
      </c>
    </row>
    <row r="37" spans="2:10" ht="15" x14ac:dyDescent="0.25">
      <c r="B37" s="420">
        <f t="shared" si="14"/>
        <v>1.6399999999999997</v>
      </c>
      <c r="C37" s="394">
        <f t="shared" si="15"/>
        <v>1955.7639970544926</v>
      </c>
      <c r="D37" s="422">
        <f t="shared" si="0"/>
        <v>0.43</v>
      </c>
      <c r="E37" s="421">
        <f t="shared" si="16"/>
        <v>1.2099999999999997</v>
      </c>
      <c r="F37" s="394">
        <f t="shared" si="17"/>
        <v>2366.4744364359358</v>
      </c>
      <c r="G37" s="394"/>
      <c r="H37" s="394"/>
      <c r="I37" s="424">
        <f t="shared" si="18"/>
        <v>-6.0606060606060996E-3</v>
      </c>
      <c r="J37" s="424">
        <f t="shared" si="6"/>
        <v>1.1432636413529318E-2</v>
      </c>
    </row>
    <row r="38" spans="2:10" ht="15" x14ac:dyDescent="0.25">
      <c r="B38" s="420">
        <f t="shared" si="14"/>
        <v>1.6299999999999997</v>
      </c>
      <c r="C38" s="394">
        <f t="shared" si="15"/>
        <v>1978.2610757443367</v>
      </c>
      <c r="D38" s="422">
        <f t="shared" si="0"/>
        <v>0.43</v>
      </c>
      <c r="E38" s="421">
        <f t="shared" si="16"/>
        <v>1.1999999999999997</v>
      </c>
      <c r="F38" s="394">
        <f t="shared" si="17"/>
        <v>2373.9132908932033</v>
      </c>
      <c r="G38" s="394"/>
      <c r="H38" s="394"/>
      <c r="I38" s="424">
        <f t="shared" si="18"/>
        <v>-6.0975609756097615E-3</v>
      </c>
      <c r="J38" s="424">
        <f t="shared" si="6"/>
        <v>1.1502961872560391E-2</v>
      </c>
    </row>
    <row r="39" spans="2:10" ht="15" x14ac:dyDescent="0.25">
      <c r="B39" s="420">
        <f t="shared" si="14"/>
        <v>1.6199999999999997</v>
      </c>
      <c r="C39" s="394">
        <f t="shared" si="15"/>
        <v>2001.1577817317223</v>
      </c>
      <c r="D39" s="422">
        <f t="shared" si="0"/>
        <v>0.43</v>
      </c>
      <c r="E39" s="421">
        <f t="shared" si="16"/>
        <v>1.1899999999999997</v>
      </c>
      <c r="F39" s="394">
        <f t="shared" si="17"/>
        <v>2381.3777602607488</v>
      </c>
      <c r="G39" s="394"/>
      <c r="H39" s="394"/>
      <c r="I39" s="424">
        <f t="shared" si="18"/>
        <v>-6.1349693251533388E-3</v>
      </c>
      <c r="J39" s="424">
        <f t="shared" si="6"/>
        <v>1.157415786425986E-2</v>
      </c>
    </row>
    <row r="40" spans="2:10" ht="15" x14ac:dyDescent="0.25">
      <c r="B40" s="420">
        <f t="shared" si="14"/>
        <v>1.6099999999999997</v>
      </c>
      <c r="C40" s="394">
        <f t="shared" si="15"/>
        <v>2024.4637468427263</v>
      </c>
      <c r="D40" s="422">
        <f t="shared" si="0"/>
        <v>0.43</v>
      </c>
      <c r="E40" s="421">
        <f t="shared" si="16"/>
        <v>1.1799999999999997</v>
      </c>
      <c r="F40" s="394">
        <f t="shared" si="17"/>
        <v>2388.8672212744164</v>
      </c>
      <c r="G40" s="394"/>
      <c r="H40" s="394"/>
      <c r="I40" s="424">
        <f t="shared" si="18"/>
        <v>-6.1728395061728669E-3</v>
      </c>
      <c r="J40" s="424">
        <f t="shared" si="6"/>
        <v>1.1646240653166329E-2</v>
      </c>
    </row>
    <row r="41" spans="2:10" ht="15" x14ac:dyDescent="0.25">
      <c r="B41" s="420">
        <f t="shared" si="14"/>
        <v>1.5999999999999996</v>
      </c>
      <c r="C41" s="394">
        <f t="shared" si="15"/>
        <v>2048.1888968661292</v>
      </c>
      <c r="D41" s="422">
        <f t="shared" si="0"/>
        <v>0.43</v>
      </c>
      <c r="E41" s="421">
        <f t="shared" si="16"/>
        <v>1.1699999999999997</v>
      </c>
      <c r="F41" s="394">
        <f t="shared" si="17"/>
        <v>2396.3810093333705</v>
      </c>
      <c r="G41" s="394"/>
      <c r="H41" s="394"/>
      <c r="I41" s="424">
        <f t="shared" si="18"/>
        <v>-6.2111801242236142E-3</v>
      </c>
      <c r="J41" s="424">
        <f t="shared" si="6"/>
        <v>1.1719226911523384E-2</v>
      </c>
    </row>
    <row r="42" spans="2:10" ht="15" x14ac:dyDescent="0.25">
      <c r="B42" s="420">
        <f t="shared" si="14"/>
        <v>1.5899999999999996</v>
      </c>
      <c r="C42" s="394">
        <f t="shared" si="15"/>
        <v>2072.3434624355496</v>
      </c>
      <c r="D42" s="422">
        <f t="shared" si="0"/>
        <v>0.43</v>
      </c>
      <c r="E42" s="421">
        <f t="shared" si="16"/>
        <v>1.1599999999999997</v>
      </c>
      <c r="F42" s="394">
        <f t="shared" si="17"/>
        <v>2403.918416425237</v>
      </c>
      <c r="G42" s="394"/>
      <c r="H42" s="394"/>
      <c r="I42" s="424">
        <f t="shared" si="18"/>
        <v>-6.2499999999999778E-3</v>
      </c>
      <c r="J42" s="424">
        <f t="shared" si="6"/>
        <v>1.1793133732136862E-2</v>
      </c>
    </row>
    <row r="43" spans="2:10" ht="15" x14ac:dyDescent="0.25">
      <c r="B43" s="420">
        <f t="shared" si="14"/>
        <v>1.5799999999999996</v>
      </c>
      <c r="C43" s="394">
        <f t="shared" si="15"/>
        <v>2096.9379903860399</v>
      </c>
      <c r="D43" s="422">
        <f t="shared" si="0"/>
        <v>0.43</v>
      </c>
      <c r="E43" s="421">
        <f t="shared" si="16"/>
        <v>1.1499999999999997</v>
      </c>
      <c r="F43" s="394">
        <f t="shared" si="17"/>
        <v>2411.4786889439451</v>
      </c>
      <c r="G43" s="394"/>
      <c r="H43" s="394"/>
      <c r="I43" s="424">
        <f t="shared" si="18"/>
        <v>-6.2893081761006275E-3</v>
      </c>
      <c r="J43" s="424">
        <f t="shared" si="6"/>
        <v>1.1867978641718624E-2</v>
      </c>
    </row>
    <row r="44" spans="2:10" ht="15" x14ac:dyDescent="0.25">
      <c r="B44" s="420">
        <f t="shared" si="14"/>
        <v>1.5699999999999996</v>
      </c>
      <c r="C44" s="394">
        <f t="shared" si="15"/>
        <v>2121.9833556089925</v>
      </c>
      <c r="D44" s="422">
        <f t="shared" si="0"/>
        <v>0.43</v>
      </c>
      <c r="E44" s="421">
        <f t="shared" si="16"/>
        <v>1.1399999999999997</v>
      </c>
      <c r="F44" s="394">
        <f t="shared" si="17"/>
        <v>2419.0610253942509</v>
      </c>
      <c r="G44" s="394"/>
      <c r="H44" s="394"/>
      <c r="I44" s="424">
        <f t="shared" si="18"/>
        <v>-6.3291139240506666E-3</v>
      </c>
      <c r="J44" s="424">
        <f t="shared" si="6"/>
        <v>1.19437796147428E-2</v>
      </c>
    </row>
    <row r="45" spans="2:10" ht="15" x14ac:dyDescent="0.25">
      <c r="B45" s="420">
        <f t="shared" si="14"/>
        <v>1.5599999999999996</v>
      </c>
      <c r="C45" s="394">
        <f t="shared" si="15"/>
        <v>2147.4907734305634</v>
      </c>
      <c r="D45" s="422">
        <f t="shared" si="0"/>
        <v>0.43</v>
      </c>
      <c r="E45" s="421">
        <f t="shared" si="16"/>
        <v>1.1299999999999997</v>
      </c>
      <c r="F45" s="394">
        <f t="shared" si="17"/>
        <v>2426.6645739765358</v>
      </c>
      <c r="G45" s="394"/>
      <c r="H45" s="394"/>
      <c r="I45" s="424">
        <f t="shared" si="18"/>
        <v>-6.3694267515923553E-3</v>
      </c>
      <c r="J45" s="424">
        <f t="shared" si="6"/>
        <v>1.2020555087836948E-2</v>
      </c>
    </row>
    <row r="46" spans="2:10" ht="15" x14ac:dyDescent="0.25">
      <c r="B46" s="420">
        <f t="shared" si="14"/>
        <v>1.5499999999999996</v>
      </c>
      <c r="C46" s="394">
        <f t="shared" si="15"/>
        <v>2173.4718125402742</v>
      </c>
      <c r="D46" s="422">
        <f t="shared" si="0"/>
        <v>0.43</v>
      </c>
      <c r="E46" s="421">
        <f t="shared" si="16"/>
        <v>1.1199999999999997</v>
      </c>
      <c r="F46" s="394">
        <f t="shared" si="17"/>
        <v>2434.2884300451065</v>
      </c>
      <c r="G46" s="394"/>
      <c r="H46" s="394"/>
      <c r="I46" s="424">
        <f t="shared" si="18"/>
        <v>-6.4102564102563875E-3</v>
      </c>
      <c r="J46" s="424">
        <f t="shared" si="6"/>
        <v>1.2098323974732095E-2</v>
      </c>
    </row>
    <row r="47" spans="2:10" ht="15" x14ac:dyDescent="0.25">
      <c r="B47" s="420">
        <f t="shared" si="14"/>
        <v>1.5399999999999996</v>
      </c>
      <c r="C47" s="394">
        <f t="shared" si="15"/>
        <v>2199.9384084979793</v>
      </c>
      <c r="D47" s="422">
        <f t="shared" si="0"/>
        <v>0.43</v>
      </c>
      <c r="E47" s="421">
        <f t="shared" si="16"/>
        <v>1.1099999999999997</v>
      </c>
      <c r="F47" s="394">
        <f t="shared" si="17"/>
        <v>2441.9316334327564</v>
      </c>
      <c r="G47" s="394"/>
      <c r="H47" s="394"/>
      <c r="I47" s="424">
        <f t="shared" si="18"/>
        <v>-6.4516129032258229E-3</v>
      </c>
      <c r="J47" s="424">
        <f t="shared" si="6"/>
        <v>1.2177105681794753E-2</v>
      </c>
    </row>
    <row r="48" spans="2:10" ht="15" x14ac:dyDescent="0.25">
      <c r="B48" s="420">
        <f t="shared" si="14"/>
        <v>1.5299999999999996</v>
      </c>
      <c r="C48" s="394">
        <f t="shared" si="15"/>
        <v>2226.9028778490378</v>
      </c>
      <c r="D48" s="422">
        <f t="shared" si="0"/>
        <v>0.43</v>
      </c>
      <c r="E48" s="421">
        <f t="shared" si="16"/>
        <v>1.0999999999999996</v>
      </c>
      <c r="F48" s="394">
        <f t="shared" si="17"/>
        <v>2449.5931656339408</v>
      </c>
      <c r="G48" s="394"/>
      <c r="H48" s="394"/>
      <c r="I48" s="424">
        <f t="shared" si="18"/>
        <v>-6.4935064935065512E-3</v>
      </c>
      <c r="J48" s="424">
        <f t="shared" si="6"/>
        <v>1.2256920124172455E-2</v>
      </c>
    </row>
    <row r="49" spans="2:10" ht="15" x14ac:dyDescent="0.25">
      <c r="B49" s="420">
        <f t="shared" si="14"/>
        <v>1.5199999999999996</v>
      </c>
      <c r="C49" s="394">
        <f t="shared" si="15"/>
        <v>2254.3779328792712</v>
      </c>
      <c r="D49" s="422">
        <f t="shared" si="0"/>
        <v>0.43</v>
      </c>
      <c r="E49" s="421">
        <f t="shared" si="16"/>
        <v>1.0899999999999996</v>
      </c>
      <c r="F49" s="394">
        <f t="shared" si="17"/>
        <v>2457.2719468384048</v>
      </c>
      <c r="G49" s="394"/>
      <c r="H49" s="394"/>
      <c r="I49" s="424">
        <f t="shared" si="18"/>
        <v>-6.5359477124182774E-3</v>
      </c>
      <c r="J49" s="424">
        <f t="shared" si="6"/>
        <v>1.2337787742576101E-2</v>
      </c>
    </row>
    <row r="50" spans="2:10" ht="15" x14ac:dyDescent="0.25">
      <c r="B50" s="420">
        <f t="shared" si="14"/>
        <v>1.5099999999999996</v>
      </c>
      <c r="C50" s="394">
        <f t="shared" si="15"/>
        <v>2282.376697043142</v>
      </c>
      <c r="D50" s="422">
        <f t="shared" si="0"/>
        <v>0.43</v>
      </c>
      <c r="E50" s="421">
        <f t="shared" si="16"/>
        <v>1.0799999999999996</v>
      </c>
      <c r="F50" s="394">
        <f t="shared" si="17"/>
        <v>2464.9668328065927</v>
      </c>
      <c r="G50" s="394"/>
      <c r="H50" s="394"/>
      <c r="I50" s="424">
        <f t="shared" si="18"/>
        <v>-6.5789473684210176E-3</v>
      </c>
      <c r="J50" s="424">
        <f t="shared" si="6"/>
        <v>1.2419729520733558E-2</v>
      </c>
    </row>
    <row r="51" spans="2:10" ht="15" x14ac:dyDescent="0.25">
      <c r="B51" s="420">
        <f t="shared" si="14"/>
        <v>1.4999999999999996</v>
      </c>
      <c r="C51" s="394">
        <f t="shared" si="15"/>
        <v>2310.9127211005816</v>
      </c>
      <c r="D51" s="422">
        <f t="shared" si="0"/>
        <v>0.43</v>
      </c>
      <c r="E51" s="421">
        <f t="shared" si="16"/>
        <v>1.0699999999999996</v>
      </c>
      <c r="F51" s="394">
        <f t="shared" si="17"/>
        <v>2472.6766115776213</v>
      </c>
      <c r="G51" s="394"/>
      <c r="H51" s="394"/>
      <c r="I51" s="424">
        <f t="shared" si="18"/>
        <v>-6.6225165562914245E-3</v>
      </c>
      <c r="J51" s="424">
        <f t="shared" si="6"/>
        <v>1.2502767003540027E-2</v>
      </c>
    </row>
    <row r="52" spans="2:10" ht="15" x14ac:dyDescent="0.25">
      <c r="B52" s="420">
        <f t="shared" si="14"/>
        <v>1.4899999999999995</v>
      </c>
      <c r="C52" s="394">
        <f t="shared" si="15"/>
        <v>2340.0000000000018</v>
      </c>
      <c r="D52" s="422">
        <f t="shared" si="0"/>
        <v>0.43</v>
      </c>
      <c r="E52" s="421">
        <f t="shared" si="16"/>
        <v>1.0599999999999996</v>
      </c>
      <c r="F52" s="394">
        <f t="shared" si="17"/>
        <v>2480.400000000001</v>
      </c>
      <c r="G52" s="394"/>
      <c r="H52" s="394"/>
      <c r="I52" s="424">
        <f t="shared" si="18"/>
        <v>-6.6666666666667096E-3</v>
      </c>
      <c r="J52" s="424">
        <f t="shared" si="6"/>
        <v>1.2586922315944271E-2</v>
      </c>
    </row>
    <row r="53" spans="2:10" ht="15" x14ac:dyDescent="0.25">
      <c r="B53" s="420">
        <f t="shared" si="14"/>
        <v>1.4799999999999995</v>
      </c>
      <c r="C53" s="394">
        <f t="shared" si="15"/>
        <v>2369.6529905472903</v>
      </c>
      <c r="D53" s="422">
        <f t="shared" si="0"/>
        <v>0.43</v>
      </c>
      <c r="E53" s="421">
        <f t="shared" si="16"/>
        <v>1.0499999999999996</v>
      </c>
      <c r="F53" s="394">
        <f t="shared" si="17"/>
        <v>2488.135640074654</v>
      </c>
      <c r="G53" s="394"/>
      <c r="H53" s="394"/>
      <c r="I53" s="424">
        <f t="shared" si="18"/>
        <v>-6.7114093959731447E-3</v>
      </c>
      <c r="J53" s="424">
        <f t="shared" si="6"/>
        <v>1.2672218182602002E-2</v>
      </c>
    </row>
    <row r="54" spans="2:10" ht="15" x14ac:dyDescent="0.25">
      <c r="B54" s="420">
        <f t="shared" si="14"/>
        <v>1.4699999999999995</v>
      </c>
      <c r="C54" s="394">
        <f t="shared" si="15"/>
        <v>2399.8866299029874</v>
      </c>
      <c r="D54" s="422">
        <f t="shared" si="0"/>
        <v>0.43</v>
      </c>
      <c r="E54" s="421">
        <f t="shared" si="16"/>
        <v>1.0399999999999996</v>
      </c>
      <c r="F54" s="394">
        <f t="shared" si="17"/>
        <v>2495.8820950991058</v>
      </c>
      <c r="G54" s="394"/>
      <c r="H54" s="394"/>
      <c r="I54" s="424">
        <f t="shared" si="18"/>
        <v>-6.7567567567567988E-3</v>
      </c>
      <c r="J54" s="424">
        <f t="shared" si="6"/>
        <v>1.2758677948333075E-2</v>
      </c>
    </row>
    <row r="55" spans="2:10" ht="15" x14ac:dyDescent="0.25">
      <c r="B55" s="420">
        <f t="shared" si="14"/>
        <v>1.4599999999999995</v>
      </c>
      <c r="C55" s="394">
        <f t="shared" si="15"/>
        <v>2430.7163549524198</v>
      </c>
      <c r="D55" s="422">
        <f t="shared" si="0"/>
        <v>0.43</v>
      </c>
      <c r="E55" s="421">
        <f t="shared" si="16"/>
        <v>1.0299999999999996</v>
      </c>
      <c r="F55" s="394">
        <f t="shared" si="17"/>
        <v>2503.6378456009916</v>
      </c>
      <c r="G55" s="394"/>
      <c r="H55" s="394"/>
      <c r="I55" s="424">
        <f t="shared" si="18"/>
        <v>-6.8027210884353817E-3</v>
      </c>
      <c r="J55" s="424">
        <f t="shared" si="6"/>
        <v>1.284632559942156E-2</v>
      </c>
    </row>
    <row r="56" spans="2:10" ht="15" x14ac:dyDescent="0.25">
      <c r="B56" s="420">
        <f t="shared" si="14"/>
        <v>1.4499999999999995</v>
      </c>
      <c r="C56" s="394">
        <f t="shared" si="15"/>
        <v>2462.1581225963168</v>
      </c>
      <c r="D56" s="422">
        <f t="shared" si="0"/>
        <v>0.43</v>
      </c>
      <c r="E56" s="421">
        <f t="shared" si="16"/>
        <v>1.0199999999999996</v>
      </c>
      <c r="F56" s="394">
        <f t="shared" si="17"/>
        <v>2511.4012850482422</v>
      </c>
      <c r="G56" s="394"/>
      <c r="H56" s="394"/>
      <c r="I56" s="424">
        <f t="shared" si="18"/>
        <v>-6.8493150684931781E-3</v>
      </c>
      <c r="J56" s="424">
        <f t="shared" si="6"/>
        <v>1.2935185785801995E-2</v>
      </c>
    </row>
    <row r="57" spans="2:10" ht="15" x14ac:dyDescent="0.25">
      <c r="B57" s="420">
        <f t="shared" si="14"/>
        <v>1.4399999999999995</v>
      </c>
      <c r="C57" s="394">
        <f t="shared" si="15"/>
        <v>2494.2284310123632</v>
      </c>
      <c r="D57" s="422">
        <f t="shared" si="0"/>
        <v>0.43</v>
      </c>
      <c r="E57" s="421">
        <f t="shared" si="16"/>
        <v>1.0099999999999996</v>
      </c>
      <c r="F57" s="394">
        <f t="shared" si="17"/>
        <v>2519.1707153224856</v>
      </c>
      <c r="G57" s="394"/>
      <c r="H57" s="394"/>
      <c r="I57" s="424">
        <f t="shared" si="18"/>
        <v>-6.8965517241379448E-3</v>
      </c>
      <c r="J57" s="424">
        <f t="shared" si="6"/>
        <v>1.3025283844170232E-2</v>
      </c>
    </row>
    <row r="58" spans="2:10" ht="15" x14ac:dyDescent="0.25">
      <c r="B58" s="420">
        <f t="shared" si="14"/>
        <v>1.4299999999999995</v>
      </c>
      <c r="C58" s="394">
        <f t="shared" si="15"/>
        <v>2526.9443419412842</v>
      </c>
      <c r="D58" s="422">
        <f t="shared" si="0"/>
        <v>0.43</v>
      </c>
      <c r="E58" s="421">
        <f t="shared" si="16"/>
        <v>0.99999999999999956</v>
      </c>
      <c r="F58" s="394">
        <f t="shared" si="17"/>
        <v>2526.9443419412833</v>
      </c>
      <c r="G58" s="394"/>
      <c r="H58" s="394"/>
      <c r="I58" s="424">
        <f t="shared" si="18"/>
        <v>-6.9444444444444198E-3</v>
      </c>
      <c r="J58" s="424">
        <f t="shared" si="6"/>
        <v>1.311664582206773E-2</v>
      </c>
    </row>
    <row r="59" spans="2:10" ht="15" x14ac:dyDescent="0.25">
      <c r="B59" s="420">
        <f t="shared" si="14"/>
        <v>1.4199999999999995</v>
      </c>
      <c r="C59" s="394">
        <f t="shared" si="15"/>
        <v>2560.3235040544228</v>
      </c>
      <c r="D59" s="422">
        <f t="shared" si="0"/>
        <v>0.43</v>
      </c>
      <c r="E59" s="421">
        <f t="shared" si="16"/>
        <v>0.98999999999999955</v>
      </c>
      <c r="F59" s="394">
        <f t="shared" si="17"/>
        <v>2534.7202690138774</v>
      </c>
      <c r="G59" s="394"/>
      <c r="H59" s="394"/>
      <c r="I59" s="424">
        <f t="shared" si="18"/>
        <v>-6.9930069930069783E-3</v>
      </c>
      <c r="J59" s="424">
        <f t="shared" si="6"/>
        <v>1.320929850298791E-2</v>
      </c>
    </row>
    <row r="60" spans="2:10" ht="15" x14ac:dyDescent="0.25">
      <c r="B60" s="420">
        <f t="shared" si="14"/>
        <v>1.4099999999999995</v>
      </c>
      <c r="C60" s="394">
        <f t="shared" si="15"/>
        <v>2594.3841774633529</v>
      </c>
      <c r="D60" s="422">
        <f t="shared" si="0"/>
        <v>0.43</v>
      </c>
      <c r="E60" s="421">
        <f t="shared" si="16"/>
        <v>0.97999999999999954</v>
      </c>
      <c r="F60" s="394">
        <f t="shared" si="17"/>
        <v>2542.4964939140846</v>
      </c>
      <c r="G60" s="394"/>
      <c r="H60" s="394"/>
      <c r="I60" s="424">
        <f t="shared" si="18"/>
        <v>-7.0422535211267512E-3</v>
      </c>
      <c r="J60" s="424">
        <f t="shared" si="6"/>
        <v>1.3303269432551446E-2</v>
      </c>
    </row>
    <row r="61" spans="2:10" ht="15" x14ac:dyDescent="0.25">
      <c r="B61" s="420">
        <f t="shared" si="14"/>
        <v>1.3999999999999995</v>
      </c>
      <c r="C61" s="394">
        <f t="shared" si="15"/>
        <v>2629.1452594359271</v>
      </c>
      <c r="D61" s="422">
        <f t="shared" si="0"/>
        <v>0.43</v>
      </c>
      <c r="E61" s="421">
        <f t="shared" si="16"/>
        <v>0.96999999999999953</v>
      </c>
      <c r="F61" s="394">
        <f t="shared" si="17"/>
        <v>2550.2709016528479</v>
      </c>
      <c r="G61" s="394"/>
      <c r="H61" s="394"/>
      <c r="I61" s="424">
        <f t="shared" si="18"/>
        <v>-7.0921985815602939E-3</v>
      </c>
      <c r="J61" s="424">
        <f t="shared" si="6"/>
        <v>1.3398586945809088E-2</v>
      </c>
    </row>
    <row r="62" spans="2:10" ht="15" x14ac:dyDescent="0.25">
      <c r="B62" s="420">
        <f t="shared" si="14"/>
        <v>1.3899999999999995</v>
      </c>
      <c r="C62" s="394">
        <f t="shared" si="15"/>
        <v>2664.6263113872797</v>
      </c>
      <c r="D62" s="422">
        <f t="shared" si="0"/>
        <v>0.43</v>
      </c>
      <c r="E62" s="421">
        <f t="shared" si="16"/>
        <v>0.95999999999999952</v>
      </c>
      <c r="F62" s="394">
        <f t="shared" si="17"/>
        <v>2558.0412589317871</v>
      </c>
      <c r="G62" s="394"/>
      <c r="H62" s="394"/>
      <c r="I62" s="424">
        <f t="shared" si="18"/>
        <v>-7.1428571428571175E-3</v>
      </c>
      <c r="J62" s="424">
        <f t="shared" si="6"/>
        <v>1.3495280195725989E-2</v>
      </c>
    </row>
    <row r="63" spans="2:10" ht="15" x14ac:dyDescent="0.25">
      <c r="B63" s="420">
        <f t="shared" si="14"/>
        <v>1.3799999999999994</v>
      </c>
      <c r="C63" s="394">
        <f t="shared" si="15"/>
        <v>2700.8475872187196</v>
      </c>
      <c r="D63" s="422">
        <f t="shared" si="0"/>
        <v>0.43</v>
      </c>
      <c r="E63" s="421">
        <f t="shared" si="16"/>
        <v>0.94999999999999951</v>
      </c>
      <c r="F63" s="394">
        <f t="shared" si="17"/>
        <v>2565.8052078577821</v>
      </c>
      <c r="G63" s="394"/>
      <c r="H63" s="394"/>
      <c r="I63" s="424">
        <f t="shared" si="18"/>
        <v>-7.194244604316502E-3</v>
      </c>
      <c r="J63" s="424">
        <f t="shared" si="6"/>
        <v>1.3593379182907706E-2</v>
      </c>
    </row>
    <row r="64" spans="2:10" ht="15" x14ac:dyDescent="0.25">
      <c r="B64" s="420">
        <f t="shared" si="14"/>
        <v>1.3699999999999994</v>
      </c>
      <c r="C64" s="394">
        <f t="shared" si="15"/>
        <v>2737.8300630821868</v>
      </c>
      <c r="D64" s="422">
        <f t="shared" si="0"/>
        <v>0.43</v>
      </c>
      <c r="E64" s="421">
        <f t="shared" si="16"/>
        <v>0.9399999999999995</v>
      </c>
      <c r="F64" s="394">
        <f t="shared" si="17"/>
        <v>2573.5602592972541</v>
      </c>
      <c r="G64" s="394"/>
      <c r="H64" s="394"/>
      <c r="I64" s="424">
        <f t="shared" si="18"/>
        <v>-7.2463768115942351E-3</v>
      </c>
      <c r="J64" s="424">
        <f t="shared" si="6"/>
        <v>1.369291478663226E-2</v>
      </c>
    </row>
    <row r="65" spans="2:10" ht="15" x14ac:dyDescent="0.25">
      <c r="B65" s="420">
        <f t="shared" si="14"/>
        <v>1.3599999999999994</v>
      </c>
      <c r="C65" s="394">
        <f t="shared" si="15"/>
        <v>2775.5954686530299</v>
      </c>
      <c r="D65" s="422">
        <f t="shared" si="0"/>
        <v>0.43</v>
      </c>
      <c r="E65" s="421">
        <f t="shared" si="16"/>
        <v>0.92999999999999949</v>
      </c>
      <c r="F65" s="394">
        <f t="shared" si="17"/>
        <v>2581.3037858473162</v>
      </c>
      <c r="G65" s="394"/>
      <c r="H65" s="394"/>
      <c r="I65" s="424">
        <f t="shared" si="18"/>
        <v>-7.2992700729926918E-3</v>
      </c>
      <c r="J65" s="424">
        <f t="shared" si="6"/>
        <v>1.3793918797256444E-2</v>
      </c>
    </row>
    <row r="66" spans="2:10" ht="15" x14ac:dyDescent="0.25">
      <c r="B66" s="420">
        <f t="shared" si="14"/>
        <v>1.3499999999999994</v>
      </c>
      <c r="C66" s="394">
        <f t="shared" si="15"/>
        <v>2814.1663199993154</v>
      </c>
      <c r="D66" s="422">
        <f t="shared" si="0"/>
        <v>0.43</v>
      </c>
      <c r="E66" s="421">
        <f t="shared" si="16"/>
        <v>0.91999999999999948</v>
      </c>
      <c r="F66" s="394">
        <f t="shared" si="17"/>
        <v>2589.0330143993688</v>
      </c>
      <c r="G66" s="394"/>
      <c r="H66" s="394"/>
      <c r="I66" s="424">
        <f t="shared" si="18"/>
        <v>-7.3529411764705621E-3</v>
      </c>
      <c r="J66" s="424">
        <f t="shared" si="6"/>
        <v>1.3896423950066294E-2</v>
      </c>
    </row>
    <row r="67" spans="2:10" ht="15" x14ac:dyDescent="0.25">
      <c r="B67" s="420">
        <f t="shared" si="14"/>
        <v>1.3399999999999994</v>
      </c>
      <c r="C67" s="394">
        <f t="shared" si="15"/>
        <v>2853.5659541417331</v>
      </c>
      <c r="D67" s="422">
        <f t="shared" si="0"/>
        <v>0.43</v>
      </c>
      <c r="E67" s="421">
        <f t="shared" si="16"/>
        <v>0.90999999999999948</v>
      </c>
      <c r="F67" s="394">
        <f t="shared" si="17"/>
        <v>2596.7450182689754</v>
      </c>
      <c r="G67" s="394"/>
      <c r="H67" s="394"/>
      <c r="I67" s="424">
        <f t="shared" si="18"/>
        <v>-7.4074074074074181E-3</v>
      </c>
      <c r="J67" s="424">
        <f t="shared" si="6"/>
        <v>1.4000463960647247E-2</v>
      </c>
    </row>
    <row r="68" spans="2:10" ht="15" x14ac:dyDescent="0.25">
      <c r="B68" s="420">
        <f t="shared" si="14"/>
        <v>1.3299999999999994</v>
      </c>
      <c r="C68" s="394">
        <f t="shared" si="15"/>
        <v>2893.8185654044664</v>
      </c>
      <c r="D68" s="422">
        <f t="shared" si="0"/>
        <v>0.43</v>
      </c>
      <c r="E68" s="421">
        <f t="shared" si="16"/>
        <v>0.89999999999999947</v>
      </c>
      <c r="F68" s="394">
        <f t="shared" si="17"/>
        <v>2604.4367088640183</v>
      </c>
      <c r="G68" s="394"/>
      <c r="H68" s="394"/>
      <c r="I68" s="424">
        <f t="shared" si="18"/>
        <v>-7.4626865671642006E-3</v>
      </c>
      <c r="J68" s="424">
        <f t="shared" si="6"/>
        <v>1.410607356185678E-2</v>
      </c>
    </row>
    <row r="69" spans="2:10" ht="15" x14ac:dyDescent="0.25">
      <c r="B69" s="420">
        <f t="shared" si="14"/>
        <v>1.3199999999999994</v>
      </c>
      <c r="C69" s="394">
        <f t="shared" si="15"/>
        <v>2934.9492436641526</v>
      </c>
      <c r="D69" s="422">
        <f t="shared" si="0"/>
        <v>0.43</v>
      </c>
      <c r="E69" s="421">
        <f t="shared" si="16"/>
        <v>0.88999999999999946</v>
      </c>
      <c r="F69" s="394">
        <f t="shared" si="17"/>
        <v>2612.1048268610944</v>
      </c>
      <c r="G69" s="394"/>
      <c r="H69" s="394"/>
      <c r="I69" s="424">
        <f t="shared" si="18"/>
        <v>-7.5187969924812581E-3</v>
      </c>
      <c r="J69" s="424">
        <f t="shared" si="6"/>
        <v>1.4213288542482383E-2</v>
      </c>
    </row>
    <row r="70" spans="2:10" ht="15" x14ac:dyDescent="0.25">
      <c r="B70" s="420">
        <f t="shared" si="14"/>
        <v>1.3099999999999994</v>
      </c>
      <c r="C70" s="394">
        <f t="shared" si="15"/>
        <v>2976.9840146113343</v>
      </c>
      <c r="D70" s="422">
        <f t="shared" si="0"/>
        <v>0.43</v>
      </c>
      <c r="E70" s="421">
        <f t="shared" si="16"/>
        <v>0.87999999999999945</v>
      </c>
      <c r="F70" s="394">
        <f t="shared" si="17"/>
        <v>2619.7459328579725</v>
      </c>
      <c r="G70" s="394"/>
      <c r="H70" s="394"/>
      <c r="I70" s="424">
        <f t="shared" si="18"/>
        <v>-7.575757575757569E-3</v>
      </c>
      <c r="J70" s="424">
        <f t="shared" si="6"/>
        <v>1.4322145787674101E-2</v>
      </c>
    </row>
    <row r="71" spans="2:10" ht="15" x14ac:dyDescent="0.25">
      <c r="B71" s="420">
        <f t="shared" si="14"/>
        <v>1.2999999999999994</v>
      </c>
      <c r="C71" s="394">
        <f t="shared" si="15"/>
        <v>3019.9498821466532</v>
      </c>
      <c r="D71" s="422">
        <f t="shared" si="0"/>
        <v>0.43</v>
      </c>
      <c r="E71" s="421">
        <f t="shared" si="16"/>
        <v>0.86999999999999944</v>
      </c>
      <c r="F71" s="394">
        <f t="shared" si="17"/>
        <v>2627.3563974675867</v>
      </c>
      <c r="G71" s="394"/>
      <c r="H71" s="394"/>
      <c r="I71" s="424">
        <f t="shared" si="18"/>
        <v>-7.6335877862595547E-3</v>
      </c>
      <c r="J71" s="424">
        <f t="shared" si="6"/>
        <v>1.4432683321253359E-2</v>
      </c>
    </row>
    <row r="72" spans="2:10" ht="15" x14ac:dyDescent="0.25">
      <c r="B72" s="420">
        <f t="shared" si="14"/>
        <v>1.2899999999999994</v>
      </c>
      <c r="C72" s="394">
        <f t="shared" si="15"/>
        <v>3063.8748730424381</v>
      </c>
      <c r="D72" s="422">
        <f t="shared" si="0"/>
        <v>0.43</v>
      </c>
      <c r="E72" s="421">
        <f t="shared" si="16"/>
        <v>0.85999999999999943</v>
      </c>
      <c r="F72" s="394">
        <f t="shared" si="17"/>
        <v>2634.9323908164952</v>
      </c>
      <c r="G72" s="394"/>
      <c r="H72" s="394"/>
      <c r="I72" s="424">
        <f t="shared" si="18"/>
        <v>-7.692307692307665E-3</v>
      </c>
      <c r="J72" s="424">
        <f t="shared" si="6"/>
        <v>1.4544940349990876E-2</v>
      </c>
    </row>
    <row r="73" spans="2:10" ht="15" x14ac:dyDescent="0.25">
      <c r="B73" s="420">
        <f t="shared" si="14"/>
        <v>1.2799999999999994</v>
      </c>
      <c r="C73" s="394">
        <f t="shared" si="15"/>
        <v>3108.7880840094654</v>
      </c>
      <c r="D73" s="422">
        <f t="shared" si="0"/>
        <v>0.43</v>
      </c>
      <c r="E73" s="421">
        <f t="shared" si="16"/>
        <v>0.84999999999999942</v>
      </c>
      <c r="F73" s="394">
        <f t="shared" si="17"/>
        <v>2642.4698714080437</v>
      </c>
      <c r="G73" s="394"/>
      <c r="H73" s="394"/>
      <c r="I73" s="424">
        <f t="shared" si="18"/>
        <v>-7.7519379844961378E-3</v>
      </c>
      <c r="J73" s="424">
        <f t="shared" si="6"/>
        <v>1.4658957309972687E-2</v>
      </c>
    </row>
    <row r="74" spans="2:10" ht="15" x14ac:dyDescent="0.25">
      <c r="B74" s="420">
        <f t="shared" si="14"/>
        <v>1.2699999999999994</v>
      </c>
      <c r="C74" s="394">
        <f t="shared" si="15"/>
        <v>3154.7197313184183</v>
      </c>
      <c r="D74" s="422">
        <f t="shared" si="0"/>
        <v>0.43</v>
      </c>
      <c r="E74" s="421">
        <f t="shared" si="16"/>
        <v>0.83999999999999941</v>
      </c>
      <c r="F74" s="394">
        <f t="shared" si="17"/>
        <v>2649.9645743074693</v>
      </c>
      <c r="G74" s="394"/>
      <c r="H74" s="394"/>
      <c r="I74" s="424">
        <f t="shared" si="18"/>
        <v>-7.8125E-3</v>
      </c>
      <c r="J74" s="424">
        <f t="shared" si="6"/>
        <v>1.4774775915157967E-2</v>
      </c>
    </row>
    <row r="75" spans="2:10" ht="15" x14ac:dyDescent="0.25">
      <c r="B75" s="420">
        <f t="shared" si="14"/>
        <v>1.2599999999999993</v>
      </c>
      <c r="C75" s="394">
        <f t="shared" si="15"/>
        <v>3201.7012031361855</v>
      </c>
      <c r="D75" s="422">
        <f t="shared" si="0"/>
        <v>0.43</v>
      </c>
      <c r="E75" s="421">
        <f t="shared" si="16"/>
        <v>0.8299999999999994</v>
      </c>
      <c r="F75" s="394">
        <f t="shared" si="17"/>
        <v>2657.4119986030323</v>
      </c>
      <c r="G75" s="394"/>
      <c r="H75" s="394"/>
      <c r="I75" s="424">
        <f t="shared" si="18"/>
        <v>-7.8740157480314821E-3</v>
      </c>
      <c r="J75" s="424">
        <f t="shared" si="6"/>
        <v>1.4892439208262997E-2</v>
      </c>
    </row>
    <row r="76" spans="2:10" ht="15" x14ac:dyDescent="0.25">
      <c r="B76" s="420">
        <f t="shared" si="14"/>
        <v>1.2499999999999993</v>
      </c>
      <c r="C76" s="394">
        <f t="shared" si="15"/>
        <v>3249.7651147484908</v>
      </c>
      <c r="D76" s="422">
        <f t="shared" si="0"/>
        <v>0.43</v>
      </c>
      <c r="E76" s="421">
        <f t="shared" si="16"/>
        <v>0.8199999999999994</v>
      </c>
      <c r="F76" s="394">
        <f t="shared" si="17"/>
        <v>2664.8073940937606</v>
      </c>
      <c r="G76" s="394"/>
      <c r="H76" s="394"/>
      <c r="I76" s="424">
        <f t="shared" si="18"/>
        <v>-7.9365079365079083E-3</v>
      </c>
      <c r="J76" s="424">
        <f t="shared" si="6"/>
        <v>1.5011991614090947E-2</v>
      </c>
    </row>
    <row r="77" spans="2:10" ht="15" x14ac:dyDescent="0.25">
      <c r="B77" s="420">
        <f t="shared" si="14"/>
        <v>1.2399999999999993</v>
      </c>
      <c r="C77" s="394">
        <f t="shared" si="15"/>
        <v>3298.9453668526971</v>
      </c>
      <c r="D77" s="422">
        <f t="shared" ref="D77:D139" si="19">+$D$10</f>
        <v>0.43</v>
      </c>
      <c r="E77" s="421">
        <f t="shared" si="16"/>
        <v>0.80999999999999939</v>
      </c>
      <c r="F77" s="394">
        <f t="shared" si="17"/>
        <v>2672.1457471506828</v>
      </c>
      <c r="G77" s="394"/>
      <c r="H77" s="394"/>
      <c r="I77" s="424">
        <f t="shared" si="18"/>
        <v>-8.0000000000000071E-3</v>
      </c>
      <c r="J77" s="424">
        <f t="shared" si="6"/>
        <v>1.5133478995454253E-2</v>
      </c>
    </row>
    <row r="78" spans="2:10" ht="15" x14ac:dyDescent="0.25">
      <c r="B78" s="420">
        <f t="shared" si="14"/>
        <v>1.2299999999999993</v>
      </c>
      <c r="C78" s="394">
        <f t="shared" si="15"/>
        <v>3349.2772071179056</v>
      </c>
      <c r="D78" s="422">
        <f t="shared" si="19"/>
        <v>0.43</v>
      </c>
      <c r="E78" s="421">
        <f t="shared" si="16"/>
        <v>0.79999999999999938</v>
      </c>
      <c r="F78" s="394">
        <f t="shared" si="17"/>
        <v>2679.4217656943224</v>
      </c>
      <c r="G78" s="394"/>
      <c r="H78" s="394"/>
      <c r="I78" s="424">
        <f t="shared" si="18"/>
        <v>-8.0645161290322509E-3</v>
      </c>
      <c r="J78" s="424">
        <f t="shared" ref="J78:J139" si="20">+(1+I78)^$E$6-1</f>
        <v>1.5256948711832363E-2</v>
      </c>
    </row>
    <row r="79" spans="2:10" ht="15" x14ac:dyDescent="0.25">
      <c r="B79" s="420">
        <f t="shared" si="14"/>
        <v>1.2199999999999993</v>
      </c>
      <c r="C79" s="394">
        <f t="shared" si="15"/>
        <v>3400.7972952238656</v>
      </c>
      <c r="D79" s="422">
        <f t="shared" si="19"/>
        <v>0.43</v>
      </c>
      <c r="E79" s="421">
        <f t="shared" si="16"/>
        <v>0.78999999999999937</v>
      </c>
      <c r="F79" s="394">
        <f t="shared" si="17"/>
        <v>2686.6298632268517</v>
      </c>
      <c r="G79" s="394"/>
      <c r="H79" s="394"/>
      <c r="I79" s="424">
        <f t="shared" si="18"/>
        <v>-8.1300813008130524E-3</v>
      </c>
      <c r="J79" s="424">
        <f t="shared" si="20"/>
        <v>1.5382449680924948E-2</v>
      </c>
    </row>
    <row r="80" spans="2:10" ht="15" x14ac:dyDescent="0.25">
      <c r="B80" s="420">
        <f t="shared" si="14"/>
        <v>1.2099999999999993</v>
      </c>
      <c r="C80" s="394">
        <f t="shared" si="15"/>
        <v>3453.5437716057686</v>
      </c>
      <c r="D80" s="422">
        <f t="shared" si="19"/>
        <v>0.43</v>
      </c>
      <c r="E80" s="421">
        <f t="shared" si="16"/>
        <v>0.77999999999999936</v>
      </c>
      <c r="F80" s="394">
        <f t="shared" si="17"/>
        <v>2693.7641418524972</v>
      </c>
      <c r="G80" s="394"/>
      <c r="H80" s="394"/>
      <c r="I80" s="424">
        <f t="shared" si="18"/>
        <v>-8.1967213114754189E-3</v>
      </c>
      <c r="J80" s="424">
        <f t="shared" si="20"/>
        <v>1.5510032443268873E-2</v>
      </c>
    </row>
    <row r="81" spans="2:10" ht="15" x14ac:dyDescent="0.25">
      <c r="B81" s="420">
        <f t="shared" si="14"/>
        <v>1.1999999999999993</v>
      </c>
      <c r="C81" s="394">
        <f t="shared" si="15"/>
        <v>3507.5563301488446</v>
      </c>
      <c r="D81" s="422">
        <f t="shared" si="19"/>
        <v>0.43</v>
      </c>
      <c r="E81" s="421">
        <f t="shared" si="16"/>
        <v>0.76999999999999935</v>
      </c>
      <c r="F81" s="394">
        <f t="shared" si="17"/>
        <v>2700.818374214608</v>
      </c>
      <c r="G81" s="394"/>
      <c r="H81" s="394"/>
      <c r="I81" s="424">
        <f t="shared" si="18"/>
        <v>-8.2644628099173278E-3</v>
      </c>
      <c r="J81" s="424">
        <f t="shared" si="20"/>
        <v>1.5639749230096589E-2</v>
      </c>
    </row>
    <row r="82" spans="2:10" ht="15" x14ac:dyDescent="0.25">
      <c r="B82" s="420">
        <f t="shared" ref="B82:B139" si="21">+B81-0.01</f>
        <v>1.1899999999999993</v>
      </c>
      <c r="C82" s="394">
        <f t="shared" ref="C82:C139" si="22">+C81*(1+J82)</f>
        <v>3562.8762950949217</v>
      </c>
      <c r="D82" s="422">
        <f t="shared" si="19"/>
        <v>0.43</v>
      </c>
      <c r="E82" s="421">
        <f t="shared" ref="E82:E139" si="23">+B82-D82</f>
        <v>0.75999999999999934</v>
      </c>
      <c r="F82" s="394">
        <f t="shared" ref="F82:F139" si="24">+E82*C82</f>
        <v>2707.7859842721382</v>
      </c>
      <c r="G82" s="394"/>
      <c r="H82" s="394"/>
      <c r="I82" s="424">
        <f t="shared" ref="I82:I139" si="25">+B82/B81-1</f>
        <v>-8.3333333333333037E-3</v>
      </c>
      <c r="J82" s="424">
        <f t="shared" si="20"/>
        <v>1.5771654034627991E-2</v>
      </c>
    </row>
    <row r="83" spans="2:10" ht="15" x14ac:dyDescent="0.25">
      <c r="B83" s="420">
        <f t="shared" si="21"/>
        <v>1.1799999999999993</v>
      </c>
      <c r="C83" s="394">
        <f t="shared" si="22"/>
        <v>3619.5467024428945</v>
      </c>
      <c r="D83" s="422">
        <f t="shared" si="19"/>
        <v>0.43</v>
      </c>
      <c r="E83" s="421">
        <f t="shared" si="23"/>
        <v>0.74999999999999933</v>
      </c>
      <c r="F83" s="394">
        <f t="shared" si="24"/>
        <v>2714.6600268321686</v>
      </c>
      <c r="G83" s="394"/>
      <c r="H83" s="394"/>
      <c r="I83" s="424">
        <f t="shared" si="25"/>
        <v>-8.4033613445377853E-3</v>
      </c>
      <c r="J83" s="424">
        <f t="shared" si="20"/>
        <v>1.5905802687000925E-2</v>
      </c>
    </row>
    <row r="84" spans="2:10" ht="15" x14ac:dyDescent="0.25">
      <c r="B84" s="420">
        <f t="shared" si="21"/>
        <v>1.1699999999999993</v>
      </c>
      <c r="C84" s="394">
        <f t="shared" si="22"/>
        <v>3677.6123861464976</v>
      </c>
      <c r="D84" s="422">
        <f t="shared" si="19"/>
        <v>0.43</v>
      </c>
      <c r="E84" s="421">
        <f t="shared" si="23"/>
        <v>0.73999999999999932</v>
      </c>
      <c r="F84" s="394">
        <f t="shared" si="24"/>
        <v>2721.4331657484058</v>
      </c>
      <c r="G84" s="394"/>
      <c r="H84" s="394"/>
      <c r="I84" s="424">
        <f t="shared" si="25"/>
        <v>-8.4745762711864181E-3</v>
      </c>
      <c r="J84" s="424">
        <f t="shared" si="20"/>
        <v>1.6042252933057499E-2</v>
      </c>
    </row>
    <row r="85" spans="2:10" ht="15" x14ac:dyDescent="0.25">
      <c r="B85" s="420">
        <f t="shared" si="21"/>
        <v>1.1599999999999993</v>
      </c>
      <c r="C85" s="394">
        <f t="shared" si="22"/>
        <v>3737.1200694360705</v>
      </c>
      <c r="D85" s="422">
        <f t="shared" si="19"/>
        <v>0.43</v>
      </c>
      <c r="E85" s="421">
        <f t="shared" si="23"/>
        <v>0.72999999999999932</v>
      </c>
      <c r="F85" s="394">
        <f t="shared" si="24"/>
        <v>2728.0976506883289</v>
      </c>
      <c r="G85" s="394"/>
      <c r="H85" s="394"/>
      <c r="I85" s="424">
        <f t="shared" si="25"/>
        <v>-8.5470085470085166E-3</v>
      </c>
      <c r="J85" s="424">
        <f t="shared" si="20"/>
        <v>1.6181064517222454E-2</v>
      </c>
    </row>
    <row r="86" spans="2:10" ht="15" x14ac:dyDescent="0.25">
      <c r="B86" s="420">
        <f t="shared" si="21"/>
        <v>1.1499999999999992</v>
      </c>
      <c r="C86" s="394">
        <f t="shared" si="22"/>
        <v>3798.1184616162755</v>
      </c>
      <c r="D86" s="422">
        <f t="shared" si="19"/>
        <v>0.43</v>
      </c>
      <c r="E86" s="421">
        <f t="shared" si="23"/>
        <v>0.71999999999999931</v>
      </c>
      <c r="F86" s="394">
        <f t="shared" si="24"/>
        <v>2734.6452923637157</v>
      </c>
      <c r="G86" s="394"/>
      <c r="H86" s="394"/>
      <c r="I86" s="424">
        <f t="shared" si="25"/>
        <v>-8.6206896551723755E-3</v>
      </c>
      <c r="J86" s="424">
        <f t="shared" si="20"/>
        <v>1.6322299269718066E-2</v>
      </c>
    </row>
    <row r="87" spans="2:10" ht="15" x14ac:dyDescent="0.25">
      <c r="B87" s="420">
        <f t="shared" si="21"/>
        <v>1.1399999999999992</v>
      </c>
      <c r="C87" s="394">
        <f t="shared" si="22"/>
        <v>3860.6583607192465</v>
      </c>
      <c r="D87" s="422">
        <f t="shared" si="19"/>
        <v>0.43</v>
      </c>
      <c r="E87" s="421">
        <f t="shared" si="23"/>
        <v>0.7099999999999993</v>
      </c>
      <c r="F87" s="394">
        <f t="shared" si="24"/>
        <v>2741.0674361106621</v>
      </c>
      <c r="G87" s="394"/>
      <c r="H87" s="394"/>
      <c r="I87" s="424">
        <f t="shared" si="25"/>
        <v>-8.6956521739131043E-3</v>
      </c>
      <c r="J87" s="424">
        <f t="shared" si="20"/>
        <v>1.6466021198390246E-2</v>
      </c>
    </row>
    <row r="88" spans="2:10" ht="15" x14ac:dyDescent="0.25">
      <c r="B88" s="420">
        <f t="shared" si="21"/>
        <v>1.1299999999999992</v>
      </c>
      <c r="C88" s="394">
        <f t="shared" si="22"/>
        <v>3924.7927624225167</v>
      </c>
      <c r="D88" s="422">
        <f t="shared" si="19"/>
        <v>0.43</v>
      </c>
      <c r="E88" s="421">
        <f t="shared" si="23"/>
        <v>0.69999999999999929</v>
      </c>
      <c r="F88" s="394">
        <f t="shared" si="24"/>
        <v>2747.354933695759</v>
      </c>
      <c r="G88" s="394"/>
      <c r="H88" s="394"/>
      <c r="I88" s="424">
        <f t="shared" si="25"/>
        <v>-8.7719298245614308E-3</v>
      </c>
      <c r="J88" s="424">
        <f t="shared" si="20"/>
        <v>1.6612296585425401E-2</v>
      </c>
    </row>
    <row r="89" spans="2:10" ht="15" x14ac:dyDescent="0.25">
      <c r="B89" s="420">
        <f t="shared" si="21"/>
        <v>1.1199999999999992</v>
      </c>
      <c r="C89" s="394">
        <f t="shared" si="22"/>
        <v>3990.5769756736454</v>
      </c>
      <c r="D89" s="422">
        <f t="shared" si="19"/>
        <v>0.43</v>
      </c>
      <c r="E89" s="421">
        <f t="shared" si="23"/>
        <v>0.68999999999999928</v>
      </c>
      <c r="F89" s="394">
        <f t="shared" si="24"/>
        <v>2753.4981132148123</v>
      </c>
      <c r="G89" s="394"/>
      <c r="H89" s="394"/>
      <c r="I89" s="424">
        <f t="shared" si="25"/>
        <v>-8.8495575221239076E-3</v>
      </c>
      <c r="J89" s="424">
        <f t="shared" si="20"/>
        <v>1.6761194089270681E-2</v>
      </c>
    </row>
    <row r="90" spans="2:10" ht="15" x14ac:dyDescent="0.25">
      <c r="B90" s="420">
        <f t="shared" si="21"/>
        <v>1.1099999999999992</v>
      </c>
      <c r="C90" s="394">
        <f t="shared" si="22"/>
        <v>4058.0687454988902</v>
      </c>
      <c r="D90" s="422">
        <f t="shared" si="19"/>
        <v>0.43</v>
      </c>
      <c r="E90" s="421">
        <f t="shared" si="23"/>
        <v>0.67999999999999927</v>
      </c>
      <c r="F90" s="394">
        <f t="shared" si="24"/>
        <v>2759.4867469392425</v>
      </c>
      <c r="G90" s="394"/>
      <c r="H90" s="394"/>
      <c r="I90" s="424">
        <f t="shared" si="25"/>
        <v>-8.9285714285713969E-3</v>
      </c>
      <c r="J90" s="424">
        <f t="shared" si="20"/>
        <v>1.691278485208314E-2</v>
      </c>
    </row>
    <row r="91" spans="2:10" ht="15" x14ac:dyDescent="0.25">
      <c r="B91" s="420">
        <f t="shared" si="21"/>
        <v>1.0999999999999992</v>
      </c>
      <c r="C91" s="394">
        <f t="shared" si="22"/>
        <v>4127.3283835119328</v>
      </c>
      <c r="D91" s="422">
        <f t="shared" si="19"/>
        <v>0.43</v>
      </c>
      <c r="E91" s="421">
        <f t="shared" si="23"/>
        <v>0.66999999999999926</v>
      </c>
      <c r="F91" s="394">
        <f t="shared" si="24"/>
        <v>2765.3100169529921</v>
      </c>
      <c r="G91" s="394"/>
      <c r="H91" s="394"/>
      <c r="I91" s="424">
        <f t="shared" si="25"/>
        <v>-9.009009009009028E-3</v>
      </c>
      <c r="J91" s="424">
        <f t="shared" si="20"/>
        <v>1.7067142613062858E-2</v>
      </c>
    </row>
    <row r="92" spans="2:10" ht="15" x14ac:dyDescent="0.25">
      <c r="B92" s="420">
        <f t="shared" si="21"/>
        <v>1.0899999999999992</v>
      </c>
      <c r="C92" s="394">
        <f t="shared" si="22"/>
        <v>4198.418906680804</v>
      </c>
      <c r="D92" s="422">
        <f t="shared" si="19"/>
        <v>0.43</v>
      </c>
      <c r="E92" s="421">
        <f t="shared" si="23"/>
        <v>0.65999999999999925</v>
      </c>
      <c r="F92" s="394">
        <f t="shared" si="24"/>
        <v>2770.9564784093277</v>
      </c>
      <c r="G92" s="394"/>
      <c r="H92" s="394"/>
      <c r="I92" s="424">
        <f t="shared" si="25"/>
        <v>-9.0909090909091494E-3</v>
      </c>
      <c r="J92" s="424">
        <f t="shared" si="20"/>
        <v>1.7224343828047939E-2</v>
      </c>
    </row>
    <row r="93" spans="2:10" ht="15" x14ac:dyDescent="0.25">
      <c r="B93" s="420">
        <f t="shared" si="21"/>
        <v>1.0799999999999992</v>
      </c>
      <c r="C93" s="394">
        <f t="shared" si="22"/>
        <v>4271.4061849571935</v>
      </c>
      <c r="D93" s="422">
        <f t="shared" si="19"/>
        <v>0.43</v>
      </c>
      <c r="E93" s="421">
        <f t="shared" si="23"/>
        <v>0.64999999999999925</v>
      </c>
      <c r="F93" s="394">
        <f t="shared" si="24"/>
        <v>2776.4140202221724</v>
      </c>
      <c r="G93" s="394"/>
      <c r="H93" s="394"/>
      <c r="I93" s="424">
        <f t="shared" si="25"/>
        <v>-9.1743119266055606E-3</v>
      </c>
      <c r="J93" s="424">
        <f t="shared" si="20"/>
        <v>1.7384467795780845E-2</v>
      </c>
    </row>
    <row r="94" spans="2:10" ht="15" x14ac:dyDescent="0.25">
      <c r="B94" s="420">
        <f t="shared" si="21"/>
        <v>1.0699999999999992</v>
      </c>
      <c r="C94" s="394">
        <f t="shared" si="22"/>
        <v>4346.3590984226157</v>
      </c>
      <c r="D94" s="422">
        <f t="shared" si="19"/>
        <v>0.43</v>
      </c>
      <c r="E94" s="421">
        <f t="shared" si="23"/>
        <v>0.63999999999999924</v>
      </c>
      <c r="F94" s="394">
        <f t="shared" si="24"/>
        <v>2781.6698229904709</v>
      </c>
      <c r="G94" s="394"/>
      <c r="H94" s="394"/>
      <c r="I94" s="424">
        <f t="shared" si="25"/>
        <v>-9.2592592592593004E-3</v>
      </c>
      <c r="J94" s="424">
        <f t="shared" si="20"/>
        <v>1.754759679128326E-2</v>
      </c>
    </row>
    <row r="95" spans="2:10" ht="15" x14ac:dyDescent="0.25">
      <c r="B95" s="420">
        <f t="shared" si="21"/>
        <v>1.0599999999999992</v>
      </c>
      <c r="C95" s="394">
        <f t="shared" si="22"/>
        <v>4423.3497046608682</v>
      </c>
      <c r="D95" s="422">
        <f t="shared" si="19"/>
        <v>0.43</v>
      </c>
      <c r="E95" s="421">
        <f t="shared" si="23"/>
        <v>0.62999999999999923</v>
      </c>
      <c r="F95" s="394">
        <f t="shared" si="24"/>
        <v>2786.7103139363435</v>
      </c>
      <c r="G95" s="394"/>
      <c r="H95" s="394"/>
      <c r="I95" s="424">
        <f t="shared" si="25"/>
        <v>-9.3457943925233655E-3</v>
      </c>
      <c r="J95" s="424">
        <f t="shared" si="20"/>
        <v>1.7713816206809563E-2</v>
      </c>
    </row>
    <row r="96" spans="2:10" ht="15" x14ac:dyDescent="0.25">
      <c r="B96" s="420">
        <f t="shared" si="21"/>
        <v>1.0499999999999992</v>
      </c>
      <c r="C96" s="394">
        <f t="shared" si="22"/>
        <v>4502.4534171264295</v>
      </c>
      <c r="D96" s="422">
        <f t="shared" si="19"/>
        <v>0.43</v>
      </c>
      <c r="E96" s="421">
        <f t="shared" si="23"/>
        <v>0.61999999999999922</v>
      </c>
      <c r="F96" s="394">
        <f t="shared" si="24"/>
        <v>2791.5211186183828</v>
      </c>
      <c r="G96" s="394"/>
      <c r="H96" s="394"/>
      <c r="I96" s="424">
        <f t="shared" si="25"/>
        <v>-9.4339622641509413E-3</v>
      </c>
      <c r="J96" s="424">
        <f t="shared" si="20"/>
        <v>1.7883214700888272E-2</v>
      </c>
    </row>
    <row r="97" spans="2:10" ht="15" x14ac:dyDescent="0.25">
      <c r="B97" s="420">
        <f t="shared" si="21"/>
        <v>1.0399999999999991</v>
      </c>
      <c r="C97" s="394">
        <f t="shared" si="22"/>
        <v>4583.7491953443241</v>
      </c>
      <c r="D97" s="422">
        <f t="shared" si="19"/>
        <v>0.43</v>
      </c>
      <c r="E97" s="421">
        <f t="shared" si="23"/>
        <v>0.60999999999999921</v>
      </c>
      <c r="F97" s="394">
        <f t="shared" si="24"/>
        <v>2796.0870091600341</v>
      </c>
      <c r="G97" s="394"/>
      <c r="H97" s="394"/>
      <c r="I97" s="424">
        <f t="shared" si="25"/>
        <v>-9.52380952380949E-3</v>
      </c>
      <c r="J97" s="424">
        <f t="shared" si="20"/>
        <v>1.8055884355996143E-2</v>
      </c>
    </row>
    <row r="98" spans="2:10" ht="15" x14ac:dyDescent="0.25">
      <c r="B98" s="420">
        <f t="shared" si="21"/>
        <v>1.0299999999999991</v>
      </c>
      <c r="C98" s="394">
        <f t="shared" si="22"/>
        <v>4667.319747849263</v>
      </c>
      <c r="D98" s="422">
        <f t="shared" si="19"/>
        <v>0.43</v>
      </c>
      <c r="E98" s="421">
        <f t="shared" si="23"/>
        <v>0.5999999999999992</v>
      </c>
      <c r="F98" s="394">
        <f t="shared" si="24"/>
        <v>2800.3918487095539</v>
      </c>
      <c r="G98" s="394"/>
      <c r="H98" s="394"/>
      <c r="I98" s="424">
        <f t="shared" si="25"/>
        <v>-9.6153846153845812E-3</v>
      </c>
      <c r="J98" s="424">
        <f t="shared" si="20"/>
        <v>1.8231920845455774E-2</v>
      </c>
    </row>
    <row r="99" spans="2:10" ht="15" x14ac:dyDescent="0.25">
      <c r="B99" s="420">
        <f t="shared" si="21"/>
        <v>1.0199999999999991</v>
      </c>
      <c r="C99" s="394">
        <f t="shared" si="22"/>
        <v>4753.2517488511257</v>
      </c>
      <c r="D99" s="422">
        <f t="shared" si="19"/>
        <v>0.43</v>
      </c>
      <c r="E99" s="421">
        <f t="shared" si="23"/>
        <v>0.58999999999999919</v>
      </c>
      <c r="F99" s="394">
        <f t="shared" si="24"/>
        <v>2804.4185318221603</v>
      </c>
      <c r="G99" s="394"/>
      <c r="H99" s="394"/>
      <c r="I99" s="424">
        <f t="shared" si="25"/>
        <v>-9.7087378640776656E-3</v>
      </c>
      <c r="J99" s="424">
        <f t="shared" si="20"/>
        <v>1.8411423610191102E-2</v>
      </c>
    </row>
    <row r="100" spans="2:10" ht="15" x14ac:dyDescent="0.25">
      <c r="B100" s="420">
        <f t="shared" si="21"/>
        <v>1.0099999999999991</v>
      </c>
      <c r="C100" s="394">
        <f t="shared" si="22"/>
        <v>4841.6360697009095</v>
      </c>
      <c r="D100" s="422">
        <f t="shared" si="19"/>
        <v>0.43</v>
      </c>
      <c r="E100" s="421">
        <f t="shared" si="23"/>
        <v>0.57999999999999918</v>
      </c>
      <c r="F100" s="394">
        <f t="shared" si="24"/>
        <v>2808.1489204265235</v>
      </c>
      <c r="G100" s="394"/>
      <c r="H100" s="394"/>
      <c r="I100" s="424">
        <f t="shared" si="25"/>
        <v>-9.8039215686274161E-3</v>
      </c>
      <c r="J100" s="424">
        <f t="shared" si="20"/>
        <v>1.8594496046027142E-2</v>
      </c>
    </row>
    <row r="101" spans="2:10" ht="15" x14ac:dyDescent="0.25">
      <c r="B101" s="420">
        <f t="shared" si="21"/>
        <v>0.99999999999999911</v>
      </c>
      <c r="C101" s="394">
        <f t="shared" si="22"/>
        <v>4932.5680263269596</v>
      </c>
      <c r="D101" s="422">
        <f t="shared" si="19"/>
        <v>0.43</v>
      </c>
      <c r="E101" s="421">
        <f t="shared" si="23"/>
        <v>0.56999999999999917</v>
      </c>
      <c r="F101" s="394">
        <f t="shared" si="24"/>
        <v>2811.5637750063629</v>
      </c>
      <c r="G101" s="394"/>
      <c r="H101" s="394"/>
      <c r="I101" s="424">
        <f t="shared" si="25"/>
        <v>-9.9009900990099098E-3</v>
      </c>
      <c r="J101" s="424">
        <f t="shared" si="20"/>
        <v>1.8781245702275129E-2</v>
      </c>
    </row>
    <row r="102" spans="2:10" ht="15" x14ac:dyDescent="0.25">
      <c r="B102" s="420">
        <f t="shared" si="21"/>
        <v>0.9899999999999991</v>
      </c>
      <c r="C102" s="394">
        <f t="shared" si="22"/>
        <v>5026.1476439165635</v>
      </c>
      <c r="D102" s="422">
        <f t="shared" si="19"/>
        <v>0.43</v>
      </c>
      <c r="E102" s="421">
        <f t="shared" si="23"/>
        <v>0.55999999999999917</v>
      </c>
      <c r="F102" s="394">
        <f t="shared" si="24"/>
        <v>2814.6426805932715</v>
      </c>
      <c r="G102" s="394"/>
      <c r="H102" s="394"/>
      <c r="I102" s="424">
        <f t="shared" si="25"/>
        <v>-1.0000000000000009E-2</v>
      </c>
      <c r="J102" s="424">
        <f t="shared" si="20"/>
        <v>1.897178449240533E-2</v>
      </c>
    </row>
    <row r="103" spans="2:10" ht="15" x14ac:dyDescent="0.25">
      <c r="B103" s="420">
        <f t="shared" si="21"/>
        <v>0.97999999999999909</v>
      </c>
      <c r="C103" s="394">
        <f t="shared" si="22"/>
        <v>5122.4799402338886</v>
      </c>
      <c r="D103" s="422">
        <f t="shared" si="19"/>
        <v>0.43</v>
      </c>
      <c r="E103" s="421">
        <f t="shared" si="23"/>
        <v>0.54999999999999916</v>
      </c>
      <c r="F103" s="394">
        <f t="shared" si="24"/>
        <v>2817.3639671286342</v>
      </c>
      <c r="G103" s="394"/>
      <c r="H103" s="394"/>
      <c r="I103" s="424">
        <f t="shared" si="25"/>
        <v>-1.0101010101010166E-2</v>
      </c>
      <c r="J103" s="424">
        <f t="shared" si="20"/>
        <v>1.916622891767239E-2</v>
      </c>
    </row>
    <row r="104" spans="2:10" ht="15" x14ac:dyDescent="0.25">
      <c r="B104" s="420">
        <f t="shared" si="21"/>
        <v>0.96999999999999909</v>
      </c>
      <c r="C104" s="394">
        <f t="shared" si="22"/>
        <v>5221.6752290930253</v>
      </c>
      <c r="D104" s="422">
        <f t="shared" si="19"/>
        <v>0.43</v>
      </c>
      <c r="E104" s="421">
        <f t="shared" si="23"/>
        <v>0.53999999999999915</v>
      </c>
      <c r="F104" s="394">
        <f t="shared" si="24"/>
        <v>2819.704623710229</v>
      </c>
      <c r="G104" s="394"/>
      <c r="H104" s="394"/>
      <c r="I104" s="424">
        <f t="shared" si="25"/>
        <v>-1.0204081632653073E-2</v>
      </c>
      <c r="J104" s="424">
        <f t="shared" si="20"/>
        <v>1.9364700304635551E-2</v>
      </c>
    </row>
    <row r="105" spans="2:10" ht="15" x14ac:dyDescent="0.25">
      <c r="B105" s="420">
        <f t="shared" si="21"/>
        <v>0.95999999999999908</v>
      </c>
      <c r="C105" s="394">
        <f t="shared" si="22"/>
        <v>5323.8494456458357</v>
      </c>
      <c r="D105" s="422">
        <f t="shared" si="19"/>
        <v>0.43</v>
      </c>
      <c r="E105" s="421">
        <f t="shared" si="23"/>
        <v>0.52999999999999914</v>
      </c>
      <c r="F105" s="394">
        <f t="shared" si="24"/>
        <v>2821.6402061922881</v>
      </c>
      <c r="G105" s="394"/>
      <c r="H105" s="394"/>
      <c r="I105" s="424">
        <f t="shared" si="25"/>
        <v>-1.0309278350515427E-2</v>
      </c>
      <c r="J105" s="424">
        <f t="shared" si="20"/>
        <v>1.9567325057586515E-2</v>
      </c>
    </row>
    <row r="106" spans="2:10" ht="15" x14ac:dyDescent="0.25">
      <c r="B106" s="420">
        <f t="shared" si="21"/>
        <v>0.94999999999999907</v>
      </c>
      <c r="C106" s="394">
        <f t="shared" si="22"/>
        <v>5429.1244952999859</v>
      </c>
      <c r="D106" s="422">
        <f t="shared" si="19"/>
        <v>0.43</v>
      </c>
      <c r="E106" s="421">
        <f t="shared" si="23"/>
        <v>0.51999999999999913</v>
      </c>
      <c r="F106" s="394">
        <f t="shared" si="24"/>
        <v>2823.1447375559878</v>
      </c>
      <c r="G106" s="394"/>
      <c r="H106" s="394"/>
      <c r="I106" s="424">
        <f t="shared" si="25"/>
        <v>-1.0416666666666741E-2</v>
      </c>
      <c r="J106" s="424">
        <f t="shared" si="20"/>
        <v>1.9774234926994483E-2</v>
      </c>
    </row>
    <row r="107" spans="2:10" ht="15" x14ac:dyDescent="0.25">
      <c r="B107" s="420">
        <f t="shared" si="21"/>
        <v>0.93999999999999906</v>
      </c>
      <c r="C107" s="394">
        <f t="shared" si="22"/>
        <v>5537.6286282545962</v>
      </c>
      <c r="D107" s="422">
        <f t="shared" si="19"/>
        <v>0.43</v>
      </c>
      <c r="E107" s="421">
        <f t="shared" si="23"/>
        <v>0.50999999999999912</v>
      </c>
      <c r="F107" s="394">
        <f t="shared" si="24"/>
        <v>2824.1906004098391</v>
      </c>
      <c r="G107" s="394"/>
      <c r="H107" s="394"/>
      <c r="I107" s="424">
        <f t="shared" si="25"/>
        <v>-1.0526315789473717E-2</v>
      </c>
      <c r="J107" s="424">
        <f t="shared" si="20"/>
        <v>1.9985567295158324E-2</v>
      </c>
    </row>
    <row r="108" spans="2:10" ht="15" x14ac:dyDescent="0.25">
      <c r="B108" s="425">
        <f t="shared" si="21"/>
        <v>0.92999999999999905</v>
      </c>
      <c r="C108" s="409">
        <f t="shared" si="22"/>
        <v>5649.4968418314274</v>
      </c>
      <c r="D108" s="426">
        <f t="shared" si="19"/>
        <v>0.43</v>
      </c>
      <c r="E108" s="427">
        <f t="shared" si="23"/>
        <v>0.49999999999999906</v>
      </c>
      <c r="F108" s="415">
        <f t="shared" si="24"/>
        <v>2824.7484209157083</v>
      </c>
      <c r="G108" s="409"/>
      <c r="H108" s="409"/>
      <c r="I108" s="428">
        <f t="shared" si="25"/>
        <v>-1.0638297872340496E-2</v>
      </c>
      <c r="J108" s="428">
        <f t="shared" si="20"/>
        <v>2.0201465480376823E-2</v>
      </c>
    </row>
    <row r="109" spans="2:10" ht="15" x14ac:dyDescent="0.25">
      <c r="B109" s="425">
        <f t="shared" si="21"/>
        <v>0.91999999999999904</v>
      </c>
      <c r="C109" s="409">
        <f t="shared" si="22"/>
        <v>5764.8713129904227</v>
      </c>
      <c r="D109" s="426">
        <f t="shared" si="19"/>
        <v>0.43</v>
      </c>
      <c r="E109" s="427">
        <f t="shared" si="23"/>
        <v>0.48999999999999905</v>
      </c>
      <c r="F109" s="415">
        <f t="shared" si="24"/>
        <v>2824.7869433653018</v>
      </c>
      <c r="G109" s="409"/>
      <c r="H109" s="409"/>
      <c r="I109" s="428">
        <f t="shared" si="25"/>
        <v>-1.0752688172043001E-2</v>
      </c>
      <c r="J109" s="428">
        <f t="shared" si="20"/>
        <v>2.0422079061043208E-2</v>
      </c>
    </row>
    <row r="110" spans="2:10" ht="15" x14ac:dyDescent="0.25">
      <c r="B110" s="420">
        <f t="shared" si="21"/>
        <v>0.90999999999999903</v>
      </c>
      <c r="C110" s="394">
        <f t="shared" si="22"/>
        <v>5883.9018636524042</v>
      </c>
      <c r="D110" s="422">
        <f t="shared" si="19"/>
        <v>0.43</v>
      </c>
      <c r="E110" s="421">
        <f t="shared" si="23"/>
        <v>0.47999999999999904</v>
      </c>
      <c r="F110" s="394">
        <f t="shared" si="24"/>
        <v>2824.2728945531485</v>
      </c>
      <c r="G110" s="394"/>
      <c r="H110" s="394"/>
      <c r="I110" s="424">
        <f t="shared" si="25"/>
        <v>-1.0869565217391353E-2</v>
      </c>
      <c r="J110" s="424">
        <f t="shared" si="20"/>
        <v>2.0647564221210057E-2</v>
      </c>
    </row>
    <row r="111" spans="2:10" ht="15" x14ac:dyDescent="0.25">
      <c r="B111" s="420">
        <f t="shared" si="21"/>
        <v>0.89999999999999902</v>
      </c>
      <c r="C111" s="394">
        <f t="shared" si="22"/>
        <v>6006.7464617114265</v>
      </c>
      <c r="D111" s="422">
        <f t="shared" si="19"/>
        <v>0.43</v>
      </c>
      <c r="E111" s="421">
        <f t="shared" si="23"/>
        <v>0.46999999999999903</v>
      </c>
      <c r="F111" s="394">
        <f t="shared" si="24"/>
        <v>2823.1708370043648</v>
      </c>
      <c r="G111" s="394"/>
      <c r="H111" s="394"/>
      <c r="I111" s="424">
        <f t="shared" si="25"/>
        <v>-1.0989010989011061E-2</v>
      </c>
      <c r="J111" s="424">
        <f t="shared" si="20"/>
        <v>2.0878084119296814E-2</v>
      </c>
    </row>
    <row r="112" spans="2:10" ht="15" x14ac:dyDescent="0.25">
      <c r="B112" s="420">
        <f t="shared" si="21"/>
        <v>0.88999999999999901</v>
      </c>
      <c r="C112" s="394">
        <f t="shared" si="22"/>
        <v>6133.5717609079857</v>
      </c>
      <c r="D112" s="422">
        <f t="shared" si="19"/>
        <v>0.43</v>
      </c>
      <c r="E112" s="421">
        <f t="shared" si="23"/>
        <v>0.45999999999999902</v>
      </c>
      <c r="F112" s="394">
        <f t="shared" si="24"/>
        <v>2821.4430100176673</v>
      </c>
      <c r="G112" s="394"/>
      <c r="H112" s="394"/>
      <c r="I112" s="424">
        <f t="shared" si="25"/>
        <v>-1.1111111111111183E-2</v>
      </c>
      <c r="J112" s="424">
        <f t="shared" si="20"/>
        <v>2.1113809281776197E-2</v>
      </c>
    </row>
    <row r="113" spans="2:10" ht="15" x14ac:dyDescent="0.25">
      <c r="B113" s="420">
        <f t="shared" si="21"/>
        <v>0.87999999999999901</v>
      </c>
      <c r="C113" s="394">
        <f t="shared" si="22"/>
        <v>6264.5536830554365</v>
      </c>
      <c r="D113" s="422">
        <f t="shared" si="19"/>
        <v>0.43</v>
      </c>
      <c r="E113" s="421">
        <f t="shared" si="23"/>
        <v>0.44999999999999901</v>
      </c>
      <c r="F113" s="394">
        <f t="shared" si="24"/>
        <v>2819.04915737494</v>
      </c>
      <c r="G113" s="394"/>
      <c r="H113" s="394"/>
      <c r="I113" s="424">
        <f t="shared" si="25"/>
        <v>-1.1235955056179803E-2</v>
      </c>
      <c r="J113" s="424">
        <f t="shared" si="20"/>
        <v>2.1354918023827052E-2</v>
      </c>
    </row>
    <row r="114" spans="2:10" ht="15" x14ac:dyDescent="0.25">
      <c r="B114" s="420">
        <f t="shared" si="21"/>
        <v>0.869999999999999</v>
      </c>
      <c r="C114" s="394">
        <f t="shared" si="22"/>
        <v>6399.878046469833</v>
      </c>
      <c r="D114" s="422">
        <f t="shared" si="19"/>
        <v>0.43</v>
      </c>
      <c r="E114" s="421">
        <f t="shared" si="23"/>
        <v>0.439999999999999</v>
      </c>
      <c r="F114" s="394">
        <f t="shared" si="24"/>
        <v>2815.9463404467201</v>
      </c>
      <c r="G114" s="394"/>
      <c r="H114" s="394"/>
      <c r="I114" s="424">
        <f t="shared" si="25"/>
        <v>-1.1363636363636354E-2</v>
      </c>
      <c r="J114" s="424">
        <f t="shared" si="20"/>
        <v>2.1601596899141651E-2</v>
      </c>
    </row>
    <row r="115" spans="2:10" ht="15" x14ac:dyDescent="0.25">
      <c r="B115" s="420">
        <f t="shared" si="21"/>
        <v>0.85999999999999899</v>
      </c>
      <c r="C115" s="394">
        <f t="shared" si="22"/>
        <v>6539.7412448524674</v>
      </c>
      <c r="D115" s="422">
        <f t="shared" si="19"/>
        <v>0.43</v>
      </c>
      <c r="E115" s="421">
        <f t="shared" si="23"/>
        <v>0.42999999999999899</v>
      </c>
      <c r="F115" s="394">
        <f t="shared" si="24"/>
        <v>2812.0887352865543</v>
      </c>
      <c r="G115" s="394"/>
      <c r="H115" s="394"/>
      <c r="I115" s="424">
        <f t="shared" si="25"/>
        <v>-1.1494252873563204E-2</v>
      </c>
      <c r="J115" s="424">
        <f t="shared" si="20"/>
        <v>2.1854041181266437E-2</v>
      </c>
    </row>
    <row r="116" spans="2:10" ht="15" x14ac:dyDescent="0.25">
      <c r="B116" s="420">
        <f t="shared" si="21"/>
        <v>0.84999999999999898</v>
      </c>
      <c r="C116" s="394">
        <f t="shared" si="22"/>
        <v>6684.3509813200526</v>
      </c>
      <c r="D116" s="422">
        <f t="shared" si="19"/>
        <v>0.43</v>
      </c>
      <c r="E116" s="421">
        <f t="shared" si="23"/>
        <v>0.41999999999999899</v>
      </c>
      <c r="F116" s="394">
        <f t="shared" si="24"/>
        <v>2807.4274121544154</v>
      </c>
      <c r="G116" s="394"/>
      <c r="H116" s="394"/>
      <c r="I116" s="424">
        <f t="shared" si="25"/>
        <v>-1.1627906976744207E-2</v>
      </c>
      <c r="J116" s="424">
        <f t="shared" si="20"/>
        <v>2.2112455379088569E-2</v>
      </c>
    </row>
    <row r="117" spans="2:10" ht="15" x14ac:dyDescent="0.25">
      <c r="B117" s="420">
        <f t="shared" si="21"/>
        <v>0.83999999999999897</v>
      </c>
      <c r="C117" s="394">
        <f t="shared" si="22"/>
        <v>6833.9270627758015</v>
      </c>
      <c r="D117" s="422">
        <f t="shared" si="19"/>
        <v>0.43</v>
      </c>
      <c r="E117" s="421">
        <f t="shared" si="23"/>
        <v>0.40999999999999898</v>
      </c>
      <c r="F117" s="394">
        <f t="shared" si="24"/>
        <v>2801.9100957380715</v>
      </c>
      <c r="G117" s="394"/>
      <c r="H117" s="394"/>
      <c r="I117" s="424">
        <f t="shared" si="25"/>
        <v>-1.176470588235301E-2</v>
      </c>
      <c r="J117" s="424">
        <f t="shared" si="20"/>
        <v>2.2377053789328416E-2</v>
      </c>
    </row>
    <row r="118" spans="2:10" ht="15" x14ac:dyDescent="0.25">
      <c r="B118" s="420">
        <f t="shared" si="21"/>
        <v>0.82999999999999896</v>
      </c>
      <c r="C118" s="394">
        <f t="shared" si="22"/>
        <v>6988.7022603724963</v>
      </c>
      <c r="D118" s="422">
        <f t="shared" si="19"/>
        <v>0.43</v>
      </c>
      <c r="E118" s="421">
        <f t="shared" si="23"/>
        <v>0.39999999999999897</v>
      </c>
      <c r="F118" s="394">
        <f t="shared" si="24"/>
        <v>2795.4809041489912</v>
      </c>
      <c r="G118" s="394"/>
      <c r="H118" s="394"/>
      <c r="I118" s="424">
        <f t="shared" si="25"/>
        <v>-1.1904761904761973E-2</v>
      </c>
      <c r="J118" s="424">
        <f t="shared" si="20"/>
        <v>2.2648061089172389E-2</v>
      </c>
    </row>
    <row r="119" spans="2:10" ht="15" x14ac:dyDescent="0.25">
      <c r="B119" s="420">
        <f t="shared" si="21"/>
        <v>0.81999999999999895</v>
      </c>
      <c r="C119" s="394">
        <f t="shared" si="22"/>
        <v>7148.9232424440088</v>
      </c>
      <c r="D119" s="422">
        <f t="shared" si="19"/>
        <v>0.43</v>
      </c>
      <c r="E119" s="421">
        <f t="shared" si="23"/>
        <v>0.38999999999999896</v>
      </c>
      <c r="F119" s="394">
        <f t="shared" si="24"/>
        <v>2788.0800645531558</v>
      </c>
      <c r="G119" s="394"/>
      <c r="H119" s="394"/>
      <c r="I119" s="424">
        <f t="shared" si="25"/>
        <v>-1.2048192771084376E-2</v>
      </c>
      <c r="J119" s="424">
        <f t="shared" si="20"/>
        <v>2.2925712972492907E-2</v>
      </c>
    </row>
    <row r="120" spans="2:10" ht="15" x14ac:dyDescent="0.25">
      <c r="B120" s="420">
        <f t="shared" si="21"/>
        <v>0.80999999999999894</v>
      </c>
      <c r="C120" s="394">
        <f t="shared" si="22"/>
        <v>7314.8515869836829</v>
      </c>
      <c r="D120" s="422">
        <f t="shared" si="19"/>
        <v>0.43</v>
      </c>
      <c r="E120" s="421">
        <f t="shared" si="23"/>
        <v>0.37999999999999895</v>
      </c>
      <c r="F120" s="394">
        <f t="shared" si="24"/>
        <v>2779.6436030537916</v>
      </c>
      <c r="G120" s="394"/>
      <c r="H120" s="394"/>
      <c r="I120" s="424">
        <f t="shared" si="25"/>
        <v>-1.2195121951219523E-2</v>
      </c>
      <c r="J120" s="424">
        <f t="shared" si="20"/>
        <v>2.3210256833440024E-2</v>
      </c>
    </row>
    <row r="121" spans="2:10" ht="15" x14ac:dyDescent="0.25">
      <c r="B121" s="420">
        <f t="shared" si="21"/>
        <v>0.79999999999999893</v>
      </c>
      <c r="C121" s="394">
        <f t="shared" si="22"/>
        <v>7486.7648815370094</v>
      </c>
      <c r="D121" s="422">
        <f t="shared" si="19"/>
        <v>0.43</v>
      </c>
      <c r="E121" s="421">
        <f t="shared" si="23"/>
        <v>0.36999999999999894</v>
      </c>
      <c r="F121" s="394">
        <f t="shared" si="24"/>
        <v>2770.1030061686856</v>
      </c>
      <c r="G121" s="394"/>
      <c r="H121" s="394"/>
      <c r="I121" s="424">
        <f t="shared" si="25"/>
        <v>-1.2345679012345734E-2</v>
      </c>
      <c r="J121" s="424">
        <f t="shared" si="20"/>
        <v>2.3501952501570278E-2</v>
      </c>
    </row>
    <row r="122" spans="2:10" ht="15" x14ac:dyDescent="0.25">
      <c r="B122" s="420">
        <f t="shared" si="21"/>
        <v>0.78999999999999893</v>
      </c>
      <c r="C122" s="394">
        <f t="shared" si="22"/>
        <v>7664.9579192641768</v>
      </c>
      <c r="D122" s="422">
        <f t="shared" si="19"/>
        <v>0.43</v>
      </c>
      <c r="E122" s="421">
        <f t="shared" si="23"/>
        <v>0.35999999999999893</v>
      </c>
      <c r="F122" s="394">
        <f t="shared" si="24"/>
        <v>2759.3848509350955</v>
      </c>
      <c r="G122" s="394"/>
      <c r="H122" s="394"/>
      <c r="I122" s="424">
        <f t="shared" si="25"/>
        <v>-1.2500000000000067E-2</v>
      </c>
      <c r="J122" s="424">
        <f t="shared" si="20"/>
        <v>2.3801073033107523E-2</v>
      </c>
    </row>
    <row r="123" spans="2:10" ht="15" x14ac:dyDescent="0.25">
      <c r="B123" s="420">
        <f t="shared" si="21"/>
        <v>0.77999999999999892</v>
      </c>
      <c r="C123" s="394">
        <f t="shared" si="22"/>
        <v>7849.7440009291995</v>
      </c>
      <c r="D123" s="422">
        <f t="shared" si="19"/>
        <v>0.43</v>
      </c>
      <c r="E123" s="421">
        <f t="shared" si="23"/>
        <v>0.34999999999999892</v>
      </c>
      <c r="F123" s="394">
        <f t="shared" si="24"/>
        <v>2747.4104003252114</v>
      </c>
      <c r="G123" s="394"/>
      <c r="H123" s="394"/>
      <c r="I123" s="424">
        <f t="shared" si="25"/>
        <v>-1.2658227848101333E-2</v>
      </c>
      <c r="J123" s="424">
        <f t="shared" si="20"/>
        <v>2.4107905563395704E-2</v>
      </c>
    </row>
    <row r="124" spans="2:10" ht="15" x14ac:dyDescent="0.25">
      <c r="B124" s="420">
        <f t="shared" si="21"/>
        <v>0.76999999999999891</v>
      </c>
      <c r="C124" s="394">
        <f t="shared" si="22"/>
        <v>8041.4563537025206</v>
      </c>
      <c r="D124" s="422">
        <f t="shared" si="19"/>
        <v>0.43</v>
      </c>
      <c r="E124" s="421">
        <f t="shared" si="23"/>
        <v>0.33999999999999891</v>
      </c>
      <c r="F124" s="394">
        <f t="shared" si="24"/>
        <v>2734.0951602588484</v>
      </c>
      <c r="G124" s="394"/>
      <c r="H124" s="394"/>
      <c r="I124" s="424">
        <f t="shared" si="25"/>
        <v>-1.2820512820512886E-2</v>
      </c>
      <c r="J124" s="424">
        <f t="shared" si="20"/>
        <v>2.4422752226139766E-2</v>
      </c>
    </row>
    <row r="125" spans="2:10" ht="15" x14ac:dyDescent="0.25">
      <c r="B125" s="420">
        <f t="shared" si="21"/>
        <v>0.7599999999999989</v>
      </c>
      <c r="C125" s="394">
        <f t="shared" si="22"/>
        <v>8240.449678941739</v>
      </c>
      <c r="D125" s="422">
        <f t="shared" si="19"/>
        <v>0.43</v>
      </c>
      <c r="E125" s="421">
        <f t="shared" si="23"/>
        <v>0.32999999999999891</v>
      </c>
      <c r="F125" s="394">
        <f t="shared" si="24"/>
        <v>2719.3483940507649</v>
      </c>
      <c r="G125" s="394"/>
      <c r="H125" s="394"/>
      <c r="I125" s="424">
        <f t="shared" si="25"/>
        <v>-1.2987012987012991E-2</v>
      </c>
      <c r="J125" s="424">
        <f t="shared" si="20"/>
        <v>2.4745931145618405E-2</v>
      </c>
    </row>
    <row r="126" spans="2:10" ht="15" x14ac:dyDescent="0.25">
      <c r="B126" s="420">
        <f t="shared" si="21"/>
        <v>0.74999999999999889</v>
      </c>
      <c r="C126" s="394">
        <f t="shared" si="22"/>
        <v>8447.1018425620314</v>
      </c>
      <c r="D126" s="422">
        <f t="shared" si="19"/>
        <v>0.43</v>
      </c>
      <c r="E126" s="421">
        <f t="shared" si="23"/>
        <v>0.3199999999999989</v>
      </c>
      <c r="F126" s="394">
        <f t="shared" si="24"/>
        <v>2703.0725896198405</v>
      </c>
      <c r="G126" s="394"/>
      <c r="H126" s="394"/>
      <c r="I126" s="424">
        <f t="shared" si="25"/>
        <v>-1.3157894736842146E-2</v>
      </c>
      <c r="J126" s="424">
        <f t="shared" si="20"/>
        <v>2.5077777508718535E-2</v>
      </c>
    </row>
    <row r="127" spans="2:10" ht="15" x14ac:dyDescent="0.25">
      <c r="B127" s="420">
        <f t="shared" si="21"/>
        <v>0.73999999999999888</v>
      </c>
      <c r="C127" s="394">
        <f t="shared" si="22"/>
        <v>8661.8157232487847</v>
      </c>
      <c r="D127" s="422">
        <f t="shared" si="19"/>
        <v>0.43</v>
      </c>
      <c r="E127" s="421">
        <f t="shared" si="23"/>
        <v>0.30999999999999889</v>
      </c>
      <c r="F127" s="394">
        <f t="shared" si="24"/>
        <v>2685.1628742071134</v>
      </c>
      <c r="G127" s="394"/>
      <c r="H127" s="394"/>
      <c r="I127" s="424">
        <f t="shared" si="25"/>
        <v>-1.3333333333333419E-2</v>
      </c>
      <c r="J127" s="424">
        <f t="shared" si="20"/>
        <v>2.54186447243816E-2</v>
      </c>
    </row>
    <row r="128" spans="2:10" ht="15" x14ac:dyDescent="0.25">
      <c r="B128" s="420">
        <f t="shared" si="21"/>
        <v>0.72999999999999887</v>
      </c>
      <c r="C128" s="394">
        <f t="shared" si="22"/>
        <v>8885.0212356291704</v>
      </c>
      <c r="D128" s="422">
        <f t="shared" si="19"/>
        <v>0.43</v>
      </c>
      <c r="E128" s="421">
        <f t="shared" si="23"/>
        <v>0.29999999999999888</v>
      </c>
      <c r="F128" s="394">
        <f t="shared" si="24"/>
        <v>2665.5063706887413</v>
      </c>
      <c r="G128" s="394"/>
      <c r="H128" s="394"/>
      <c r="I128" s="424">
        <f t="shared" si="25"/>
        <v>-1.3513513513513598E-2</v>
      </c>
      <c r="J128" s="424">
        <f t="shared" si="20"/>
        <v>2.5768905678897003E-2</v>
      </c>
    </row>
    <row r="129" spans="2:10" ht="15" x14ac:dyDescent="0.25">
      <c r="B129" s="420">
        <f t="shared" si="21"/>
        <v>0.71999999999999886</v>
      </c>
      <c r="C129" s="394">
        <f t="shared" si="22"/>
        <v>9117.1775476405492</v>
      </c>
      <c r="D129" s="422">
        <f t="shared" si="19"/>
        <v>0.43</v>
      </c>
      <c r="E129" s="421">
        <f t="shared" si="23"/>
        <v>0.28999999999999887</v>
      </c>
      <c r="F129" s="394">
        <f t="shared" si="24"/>
        <v>2643.9814888157489</v>
      </c>
      <c r="G129" s="394"/>
      <c r="H129" s="394"/>
      <c r="I129" s="424">
        <f t="shared" si="25"/>
        <v>-1.3698630136986356E-2</v>
      </c>
      <c r="J129" s="424">
        <f t="shared" si="20"/>
        <v>2.6128954096409585E-2</v>
      </c>
    </row>
    <row r="130" spans="2:10" ht="15" x14ac:dyDescent="0.25">
      <c r="B130" s="420">
        <f t="shared" si="21"/>
        <v>0.70999999999999885</v>
      </c>
      <c r="C130" s="394">
        <f t="shared" si="22"/>
        <v>9358.775513751516</v>
      </c>
      <c r="D130" s="422">
        <f t="shared" si="19"/>
        <v>0.43</v>
      </c>
      <c r="E130" s="421">
        <f t="shared" si="23"/>
        <v>0.27999999999999886</v>
      </c>
      <c r="F130" s="394">
        <f t="shared" si="24"/>
        <v>2620.457143850414</v>
      </c>
      <c r="G130" s="394"/>
      <c r="H130" s="394"/>
      <c r="I130" s="424">
        <f t="shared" si="25"/>
        <v>-1.3888888888888951E-2</v>
      </c>
      <c r="J130" s="424">
        <f t="shared" si="20"/>
        <v>2.6499206015077492E-2</v>
      </c>
    </row>
    <row r="131" spans="2:10" ht="15" x14ac:dyDescent="0.25">
      <c r="B131" s="420">
        <f t="shared" si="21"/>
        <v>0.69999999999999885</v>
      </c>
      <c r="C131" s="394">
        <f t="shared" si="22"/>
        <v>9610.340348452235</v>
      </c>
      <c r="D131" s="422">
        <f t="shared" si="19"/>
        <v>0.43</v>
      </c>
      <c r="E131" s="421">
        <f t="shared" si="23"/>
        <v>0.26999999999999885</v>
      </c>
      <c r="F131" s="394">
        <f t="shared" si="24"/>
        <v>2594.7918940820923</v>
      </c>
      <c r="G131" s="394"/>
      <c r="H131" s="394"/>
      <c r="I131" s="424">
        <f t="shared" si="25"/>
        <v>-1.4084507042253502E-2</v>
      </c>
      <c r="J131" s="424">
        <f t="shared" si="20"/>
        <v>2.6880101390515998E-2</v>
      </c>
    </row>
    <row r="132" spans="2:10" ht="15" x14ac:dyDescent="0.25">
      <c r="B132" s="420">
        <f t="shared" si="21"/>
        <v>0.68999999999999884</v>
      </c>
      <c r="C132" s="394">
        <f t="shared" si="22"/>
        <v>9872.4345675889763</v>
      </c>
      <c r="D132" s="422">
        <f t="shared" si="19"/>
        <v>0.43</v>
      </c>
      <c r="E132" s="421">
        <f t="shared" si="23"/>
        <v>0.25999999999999884</v>
      </c>
      <c r="F132" s="394">
        <f t="shared" si="24"/>
        <v>2566.8329875731224</v>
      </c>
      <c r="G132" s="394"/>
      <c r="H132" s="394"/>
      <c r="I132" s="424">
        <f t="shared" si="25"/>
        <v>-1.4285714285714346E-2</v>
      </c>
      <c r="J132" s="424">
        <f t="shared" si="20"/>
        <v>2.7272105839514005E-2</v>
      </c>
    </row>
    <row r="133" spans="2:10" ht="15" x14ac:dyDescent="0.25">
      <c r="B133" s="420">
        <f t="shared" si="21"/>
        <v>0.67999999999999883</v>
      </c>
      <c r="C133" s="394">
        <f t="shared" si="22"/>
        <v>10145.661228737248</v>
      </c>
      <c r="D133" s="422">
        <f t="shared" si="19"/>
        <v>0.43</v>
      </c>
      <c r="E133" s="421">
        <f t="shared" si="23"/>
        <v>0.24999999999999883</v>
      </c>
      <c r="F133" s="394">
        <f t="shared" si="24"/>
        <v>2536.4153071843002</v>
      </c>
      <c r="G133" s="394"/>
      <c r="H133" s="394"/>
      <c r="I133" s="424">
        <f t="shared" si="25"/>
        <v>-1.449275362318847E-2</v>
      </c>
      <c r="J133" s="424">
        <f t="shared" si="20"/>
        <v>2.767571253855361E-2</v>
      </c>
    </row>
    <row r="134" spans="2:10" ht="15" x14ac:dyDescent="0.25">
      <c r="B134" s="420">
        <f t="shared" si="21"/>
        <v>0.66999999999999882</v>
      </c>
      <c r="C134" s="394">
        <f t="shared" si="22"/>
        <v>10430.667505964113</v>
      </c>
      <c r="D134" s="422">
        <f t="shared" si="19"/>
        <v>0.43</v>
      </c>
      <c r="E134" s="421">
        <f t="shared" si="23"/>
        <v>0.23999999999999883</v>
      </c>
      <c r="F134" s="394">
        <f t="shared" si="24"/>
        <v>2503.3602014313747</v>
      </c>
      <c r="G134" s="394"/>
      <c r="H134" s="394"/>
      <c r="I134" s="424">
        <f t="shared" si="25"/>
        <v>-1.4705882352941235E-2</v>
      </c>
      <c r="J134" s="424">
        <f t="shared" si="20"/>
        <v>2.8091444293408374E-2</v>
      </c>
    </row>
    <row r="135" spans="2:10" ht="15" x14ac:dyDescent="0.25">
      <c r="B135" s="420">
        <f t="shared" si="21"/>
        <v>0.65999999999999881</v>
      </c>
      <c r="C135" s="394">
        <f t="shared" si="22"/>
        <v>10728.148639111878</v>
      </c>
      <c r="D135" s="422">
        <f t="shared" si="19"/>
        <v>0.43</v>
      </c>
      <c r="E135" s="421">
        <f t="shared" si="23"/>
        <v>0.22999999999999882</v>
      </c>
      <c r="F135" s="394">
        <f t="shared" si="24"/>
        <v>2467.4741869957193</v>
      </c>
      <c r="G135" s="394"/>
      <c r="H135" s="394"/>
      <c r="I135" s="424">
        <f t="shared" si="25"/>
        <v>-1.4925373134328401E-2</v>
      </c>
      <c r="J135" s="424">
        <f t="shared" si="20"/>
        <v>2.8519855798075255E-2</v>
      </c>
    </row>
    <row r="136" spans="2:10" ht="15" x14ac:dyDescent="0.25">
      <c r="B136" s="420">
        <f t="shared" si="21"/>
        <v>0.6499999999999988</v>
      </c>
      <c r="C136" s="394">
        <f t="shared" si="22"/>
        <v>11038.852303247893</v>
      </c>
      <c r="D136" s="422">
        <f t="shared" si="19"/>
        <v>0.43</v>
      </c>
      <c r="E136" s="421">
        <f t="shared" si="23"/>
        <v>0.21999999999999881</v>
      </c>
      <c r="F136" s="394">
        <f t="shared" si="24"/>
        <v>2428.5475067145235</v>
      </c>
      <c r="G136" s="394"/>
      <c r="H136" s="394"/>
      <c r="I136" s="424">
        <f t="shared" si="25"/>
        <v>-1.5151515151515138E-2</v>
      </c>
      <c r="J136" s="424">
        <f t="shared" si="20"/>
        <v>2.896153610356178E-2</v>
      </c>
    </row>
    <row r="137" spans="2:10" ht="15" x14ac:dyDescent="0.25">
      <c r="B137" s="420">
        <f t="shared" si="21"/>
        <v>0.63999999999999879</v>
      </c>
      <c r="C137" s="394">
        <f t="shared" si="22"/>
        <v>11363.583450293496</v>
      </c>
      <c r="D137" s="422">
        <f t="shared" si="19"/>
        <v>0.43</v>
      </c>
      <c r="E137" s="421">
        <f t="shared" si="23"/>
        <v>0.2099999999999988</v>
      </c>
      <c r="F137" s="394">
        <f t="shared" si="24"/>
        <v>2386.3525245616206</v>
      </c>
      <c r="G137" s="394"/>
      <c r="H137" s="394"/>
      <c r="I137" s="424">
        <f t="shared" si="25"/>
        <v>-1.5384615384615441E-2</v>
      </c>
      <c r="J137" s="424">
        <f t="shared" si="20"/>
        <v>2.9417111319630429E-2</v>
      </c>
    </row>
    <row r="138" spans="2:10" ht="15" x14ac:dyDescent="0.25">
      <c r="B138" s="420">
        <f t="shared" si="21"/>
        <v>0.62999999999999878</v>
      </c>
      <c r="C138" s="394">
        <f t="shared" si="22"/>
        <v>11703.209682217879</v>
      </c>
      <c r="D138" s="422">
        <f t="shared" si="19"/>
        <v>0.43</v>
      </c>
      <c r="E138" s="421">
        <f t="shared" si="23"/>
        <v>0.19999999999999879</v>
      </c>
      <c r="F138" s="394">
        <f t="shared" si="24"/>
        <v>2340.6419364435615</v>
      </c>
      <c r="G138" s="394"/>
      <c r="H138" s="394"/>
      <c r="I138" s="424">
        <f t="shared" si="25"/>
        <v>-1.5625E-2</v>
      </c>
      <c r="J138" s="424">
        <f t="shared" si="20"/>
        <v>2.9887247575553388E-2</v>
      </c>
    </row>
    <row r="139" spans="2:10" ht="15" x14ac:dyDescent="0.25">
      <c r="B139" s="420">
        <f t="shared" si="21"/>
        <v>0.61999999999999877</v>
      </c>
      <c r="C139" s="394">
        <f t="shared" si="22"/>
        <v>12058.667223737211</v>
      </c>
      <c r="D139" s="422">
        <f t="shared" si="19"/>
        <v>0.43</v>
      </c>
      <c r="E139" s="421">
        <f t="shared" si="23"/>
        <v>0.18999999999999878</v>
      </c>
      <c r="F139" s="394">
        <f t="shared" si="24"/>
        <v>2291.1467725100556</v>
      </c>
      <c r="G139" s="394"/>
      <c r="H139" s="394"/>
      <c r="I139" s="424">
        <f t="shared" si="25"/>
        <v>-1.5873015873015928E-2</v>
      </c>
      <c r="J139" s="424">
        <f t="shared" si="20"/>
        <v>3.0372654269317456E-2</v>
      </c>
    </row>
  </sheetData>
  <mergeCells count="2">
    <mergeCell ref="B6:D6"/>
    <mergeCell ref="B8:D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98"/>
  <sheetViews>
    <sheetView zoomScale="90" zoomScaleNormal="90" workbookViewId="0">
      <pane xSplit="1" ySplit="2" topLeftCell="B148" activePane="bottomRight" state="frozen"/>
      <selection pane="topRight" activeCell="B1" sqref="B1"/>
      <selection pane="bottomLeft" activeCell="A3" sqref="A3"/>
      <selection pane="bottomRight" activeCell="F164" sqref="F164"/>
    </sheetView>
  </sheetViews>
  <sheetFormatPr defaultRowHeight="18.75" x14ac:dyDescent="0.25"/>
  <cols>
    <col min="1" max="1" width="1.5703125" style="1" customWidth="1"/>
    <col min="2" max="2" width="12.5703125" style="1" customWidth="1"/>
    <col min="3" max="3" width="12.5703125" style="295" customWidth="1"/>
    <col min="4" max="6" width="12.5703125" style="1" customWidth="1"/>
    <col min="7" max="7" width="19" style="1" hidden="1" customWidth="1"/>
    <col min="8" max="8" width="20.42578125" style="1" hidden="1" customWidth="1"/>
    <col min="9" max="12" width="9.140625" style="1"/>
    <col min="13" max="13" width="12.7109375" style="1" customWidth="1"/>
    <col min="14" max="16384" width="9.140625" style="1"/>
  </cols>
  <sheetData>
    <row r="2" spans="2:12" ht="56.25" x14ac:dyDescent="0.25">
      <c r="B2" s="419" t="s">
        <v>406</v>
      </c>
      <c r="C2" s="419" t="s">
        <v>407</v>
      </c>
      <c r="D2" s="419" t="s">
        <v>408</v>
      </c>
      <c r="E2" s="419" t="s">
        <v>409</v>
      </c>
      <c r="F2" s="419" t="s">
        <v>387</v>
      </c>
      <c r="G2" s="419" t="s">
        <v>411</v>
      </c>
      <c r="H2" s="419" t="s">
        <v>410</v>
      </c>
      <c r="I2" s="419" t="s">
        <v>413</v>
      </c>
      <c r="J2" s="419" t="s">
        <v>414</v>
      </c>
      <c r="K2" s="431"/>
      <c r="L2" s="431"/>
    </row>
    <row r="3" spans="2:12" ht="15" x14ac:dyDescent="0.25">
      <c r="B3" s="420">
        <v>25</v>
      </c>
      <c r="C3" s="394">
        <v>50000</v>
      </c>
      <c r="D3" s="422">
        <v>6</v>
      </c>
      <c r="E3" s="421">
        <f>+B3-D3</f>
        <v>19</v>
      </c>
      <c r="F3" s="394">
        <f>+E3*C3</f>
        <v>950000</v>
      </c>
      <c r="G3" s="394">
        <v>675</v>
      </c>
      <c r="H3" s="394">
        <f>+F3-G3</f>
        <v>949325</v>
      </c>
      <c r="I3" s="394"/>
      <c r="J3" s="394"/>
      <c r="K3" s="432"/>
      <c r="L3" s="432"/>
    </row>
    <row r="4" spans="2:12" ht="15" x14ac:dyDescent="0.25">
      <c r="B4" s="420">
        <f>+B3*(1-5%)</f>
        <v>23.75</v>
      </c>
      <c r="C4" s="394">
        <f>+C3*(1+8%)</f>
        <v>54000</v>
      </c>
      <c r="D4" s="422">
        <v>6</v>
      </c>
      <c r="E4" s="421">
        <f>+B4-D4</f>
        <v>17.75</v>
      </c>
      <c r="F4" s="394">
        <f>+E4*C4</f>
        <v>958500</v>
      </c>
      <c r="G4" s="394">
        <v>675</v>
      </c>
      <c r="H4" s="394">
        <f>+F4-G4</f>
        <v>957825</v>
      </c>
      <c r="I4" s="424">
        <f>+B4/B3-1</f>
        <v>-5.0000000000000044E-2</v>
      </c>
      <c r="J4" s="424">
        <f>+C4/C3-1</f>
        <v>8.0000000000000071E-2</v>
      </c>
      <c r="K4" s="433"/>
      <c r="L4" s="433"/>
    </row>
    <row r="5" spans="2:12" ht="15" x14ac:dyDescent="0.25">
      <c r="B5" s="420">
        <f t="shared" ref="B5:B12" si="0">+B4*(1-5%)</f>
        <v>22.5625</v>
      </c>
      <c r="C5" s="394">
        <f t="shared" ref="C5:C12" si="1">+C4*(1+8%)</f>
        <v>58320.000000000007</v>
      </c>
      <c r="D5" s="422">
        <v>6</v>
      </c>
      <c r="E5" s="421">
        <f t="shared" ref="E5:E12" si="2">+B5-D5</f>
        <v>16.5625</v>
      </c>
      <c r="F5" s="394">
        <f t="shared" ref="F5:F12" si="3">+E5*C5</f>
        <v>965925.00000000012</v>
      </c>
      <c r="G5" s="394">
        <v>675</v>
      </c>
      <c r="H5" s="394">
        <f t="shared" ref="H5:H12" si="4">+F5-G5</f>
        <v>965250.00000000012</v>
      </c>
      <c r="I5" s="424">
        <f t="shared" ref="I5:I12" si="5">+B5/B4-1</f>
        <v>-5.0000000000000044E-2</v>
      </c>
      <c r="J5" s="424">
        <f t="shared" ref="J5:J12" si="6">+C5/C4-1</f>
        <v>8.0000000000000071E-2</v>
      </c>
      <c r="K5" s="433"/>
      <c r="L5" s="433"/>
    </row>
    <row r="6" spans="2:12" ht="18.75" customHeight="1" x14ac:dyDescent="0.25">
      <c r="B6" s="420">
        <f t="shared" si="0"/>
        <v>21.434374999999999</v>
      </c>
      <c r="C6" s="394">
        <f t="shared" si="1"/>
        <v>62985.600000000013</v>
      </c>
      <c r="D6" s="422">
        <v>6</v>
      </c>
      <c r="E6" s="421">
        <f t="shared" si="2"/>
        <v>15.434374999999999</v>
      </c>
      <c r="F6" s="394">
        <f t="shared" si="3"/>
        <v>972143.37000000011</v>
      </c>
      <c r="G6" s="394">
        <v>675</v>
      </c>
      <c r="H6" s="394">
        <f t="shared" si="4"/>
        <v>971468.37000000011</v>
      </c>
      <c r="I6" s="424">
        <f t="shared" si="5"/>
        <v>-5.0000000000000044E-2</v>
      </c>
      <c r="J6" s="424">
        <f t="shared" si="6"/>
        <v>8.0000000000000071E-2</v>
      </c>
      <c r="K6" s="433"/>
      <c r="L6" s="433"/>
    </row>
    <row r="7" spans="2:12" ht="15" x14ac:dyDescent="0.25">
      <c r="B7" s="420">
        <f t="shared" si="0"/>
        <v>20.362656249999997</v>
      </c>
      <c r="C7" s="394">
        <f t="shared" si="1"/>
        <v>68024.448000000019</v>
      </c>
      <c r="D7" s="422">
        <v>6</v>
      </c>
      <c r="E7" s="421">
        <f t="shared" si="2"/>
        <v>14.362656249999997</v>
      </c>
      <c r="F7" s="394">
        <f t="shared" si="3"/>
        <v>977011.76322000008</v>
      </c>
      <c r="G7" s="394">
        <v>675</v>
      </c>
      <c r="H7" s="394">
        <f t="shared" si="4"/>
        <v>976336.76322000008</v>
      </c>
      <c r="I7" s="424">
        <f t="shared" si="5"/>
        <v>-5.0000000000000155E-2</v>
      </c>
      <c r="J7" s="424">
        <f t="shared" si="6"/>
        <v>8.0000000000000071E-2</v>
      </c>
      <c r="K7" s="433"/>
      <c r="L7" s="433"/>
    </row>
    <row r="8" spans="2:12" ht="18.75" customHeight="1" x14ac:dyDescent="0.25">
      <c r="B8" s="420">
        <f t="shared" si="0"/>
        <v>19.344523437499998</v>
      </c>
      <c r="C8" s="394">
        <f t="shared" si="1"/>
        <v>73466.403840000028</v>
      </c>
      <c r="D8" s="422">
        <v>6</v>
      </c>
      <c r="E8" s="421">
        <f t="shared" si="2"/>
        <v>13.344523437499998</v>
      </c>
      <c r="F8" s="394">
        <f t="shared" si="3"/>
        <v>980374.14791172021</v>
      </c>
      <c r="G8" s="394">
        <v>675</v>
      </c>
      <c r="H8" s="394">
        <f t="shared" si="4"/>
        <v>979699.14791172021</v>
      </c>
      <c r="I8" s="424">
        <f t="shared" si="5"/>
        <v>-4.9999999999999933E-2</v>
      </c>
      <c r="J8" s="424">
        <f t="shared" si="6"/>
        <v>8.0000000000000071E-2</v>
      </c>
      <c r="K8" s="433"/>
      <c r="L8" s="433"/>
    </row>
    <row r="9" spans="2:12" ht="15" x14ac:dyDescent="0.25">
      <c r="B9" s="425">
        <f t="shared" si="0"/>
        <v>18.377297265624996</v>
      </c>
      <c r="C9" s="409">
        <f t="shared" si="1"/>
        <v>79343.71614720003</v>
      </c>
      <c r="D9" s="426">
        <v>6</v>
      </c>
      <c r="E9" s="427">
        <f t="shared" si="2"/>
        <v>12.377297265624996</v>
      </c>
      <c r="F9" s="409">
        <f t="shared" si="3"/>
        <v>982060.76091326482</v>
      </c>
      <c r="G9" s="409">
        <v>675</v>
      </c>
      <c r="H9" s="409">
        <f t="shared" si="4"/>
        <v>981385.76091326482</v>
      </c>
      <c r="I9" s="428">
        <f t="shared" si="5"/>
        <v>-5.0000000000000044E-2</v>
      </c>
      <c r="J9" s="428">
        <f t="shared" si="6"/>
        <v>8.0000000000000071E-2</v>
      </c>
      <c r="K9" s="434"/>
      <c r="L9" s="434"/>
    </row>
    <row r="10" spans="2:12" ht="15" x14ac:dyDescent="0.25">
      <c r="B10" s="420">
        <f t="shared" si="0"/>
        <v>17.458432402343746</v>
      </c>
      <c r="C10" s="394">
        <f t="shared" si="1"/>
        <v>85691.213438976032</v>
      </c>
      <c r="D10" s="422">
        <v>6</v>
      </c>
      <c r="E10" s="421">
        <f t="shared" si="2"/>
        <v>11.458432402343746</v>
      </c>
      <c r="F10" s="394">
        <f t="shared" si="3"/>
        <v>981886.97666531685</v>
      </c>
      <c r="G10" s="394">
        <v>675</v>
      </c>
      <c r="H10" s="394">
        <f t="shared" si="4"/>
        <v>981211.97666531685</v>
      </c>
      <c r="I10" s="424">
        <f t="shared" si="5"/>
        <v>-5.0000000000000044E-2</v>
      </c>
      <c r="J10" s="424">
        <f t="shared" si="6"/>
        <v>8.0000000000000071E-2</v>
      </c>
      <c r="K10" s="433"/>
      <c r="L10" s="433"/>
    </row>
    <row r="11" spans="2:12" ht="15" x14ac:dyDescent="0.25">
      <c r="B11" s="420">
        <f t="shared" si="0"/>
        <v>16.585510782226557</v>
      </c>
      <c r="C11" s="394">
        <f t="shared" si="1"/>
        <v>92546.510514094116</v>
      </c>
      <c r="D11" s="422">
        <v>6</v>
      </c>
      <c r="E11" s="421">
        <f t="shared" si="2"/>
        <v>10.585510782226557</v>
      </c>
      <c r="F11" s="394">
        <f t="shared" si="3"/>
        <v>979652.08490438666</v>
      </c>
      <c r="G11" s="394">
        <v>675</v>
      </c>
      <c r="H11" s="394">
        <f t="shared" si="4"/>
        <v>978977.08490438666</v>
      </c>
      <c r="I11" s="424">
        <f t="shared" si="5"/>
        <v>-5.0000000000000155E-2</v>
      </c>
      <c r="J11" s="424">
        <f t="shared" si="6"/>
        <v>8.0000000000000071E-2</v>
      </c>
      <c r="K11" s="433"/>
      <c r="L11" s="433"/>
    </row>
    <row r="12" spans="2:12" ht="15" x14ac:dyDescent="0.25">
      <c r="B12" s="420">
        <f t="shared" si="0"/>
        <v>15.756235243115228</v>
      </c>
      <c r="C12" s="394">
        <f t="shared" si="1"/>
        <v>99950.231355221651</v>
      </c>
      <c r="D12" s="422">
        <v>6</v>
      </c>
      <c r="E12" s="421">
        <f t="shared" si="2"/>
        <v>9.7562352431152277</v>
      </c>
      <c r="F12" s="394">
        <f t="shared" si="3"/>
        <v>975137.96970533417</v>
      </c>
      <c r="G12" s="394">
        <v>675</v>
      </c>
      <c r="H12" s="394">
        <f t="shared" si="4"/>
        <v>974462.96970533417</v>
      </c>
      <c r="I12" s="424">
        <f t="shared" si="5"/>
        <v>-5.0000000000000044E-2</v>
      </c>
      <c r="J12" s="424">
        <f t="shared" si="6"/>
        <v>8.0000000000000071E-2</v>
      </c>
      <c r="K12" s="433"/>
      <c r="L12" s="433"/>
    </row>
    <row r="13" spans="2:12" ht="15" x14ac:dyDescent="0.25">
      <c r="C13" s="1"/>
    </row>
    <row r="14" spans="2:12" ht="18.75" customHeight="1" x14ac:dyDescent="0.25">
      <c r="B14" s="506" t="s">
        <v>412</v>
      </c>
      <c r="C14" s="506"/>
      <c r="D14" s="506"/>
      <c r="E14" s="430">
        <f>+LN(1+J4)/LN(1+I4)</f>
        <v>-1.5004113511337975</v>
      </c>
    </row>
    <row r="15" spans="2:12" ht="15" x14ac:dyDescent="0.25">
      <c r="C15" s="1"/>
    </row>
    <row r="16" spans="2:12" x14ac:dyDescent="0.25">
      <c r="B16" s="506" t="s">
        <v>415</v>
      </c>
      <c r="C16" s="506"/>
      <c r="D16" s="506"/>
      <c r="E16" s="430">
        <f>+E14/(1+E14)*D12</f>
        <v>17.990135688180562</v>
      </c>
    </row>
    <row r="17" spans="2:13" ht="15" x14ac:dyDescent="0.25">
      <c r="C17" s="1"/>
    </row>
    <row r="18" spans="2:13" ht="56.25" x14ac:dyDescent="0.25">
      <c r="B18" s="419" t="s">
        <v>406</v>
      </c>
      <c r="C18" s="419" t="s">
        <v>407</v>
      </c>
      <c r="D18" s="419" t="s">
        <v>408</v>
      </c>
      <c r="E18" s="419" t="s">
        <v>409</v>
      </c>
      <c r="F18" s="419" t="s">
        <v>387</v>
      </c>
      <c r="G18" s="419" t="s">
        <v>411</v>
      </c>
      <c r="H18" s="419" t="s">
        <v>410</v>
      </c>
      <c r="I18" s="419" t="s">
        <v>413</v>
      </c>
      <c r="J18" s="419" t="s">
        <v>414</v>
      </c>
      <c r="K18" s="431"/>
      <c r="L18" s="419" t="str">
        <f>+B18</f>
        <v>PREÇO</v>
      </c>
      <c r="M18" s="419" t="s">
        <v>416</v>
      </c>
    </row>
    <row r="19" spans="2:13" ht="15" x14ac:dyDescent="0.25">
      <c r="B19" s="420">
        <v>25</v>
      </c>
      <c r="C19" s="394">
        <v>50000</v>
      </c>
      <c r="D19" s="422">
        <v>6</v>
      </c>
      <c r="E19" s="421">
        <f>+B19-D19</f>
        <v>19</v>
      </c>
      <c r="F19" s="394">
        <f>+E19*C19</f>
        <v>950000</v>
      </c>
      <c r="G19" s="394">
        <v>675</v>
      </c>
      <c r="H19" s="394">
        <f>+F19-G19</f>
        <v>949325</v>
      </c>
      <c r="I19" s="394"/>
      <c r="J19" s="394"/>
      <c r="K19" s="432"/>
      <c r="L19" s="394">
        <f>+B19</f>
        <v>25</v>
      </c>
      <c r="M19" s="394">
        <f>+F19-960000</f>
        <v>-10000</v>
      </c>
    </row>
    <row r="20" spans="2:13" ht="15" x14ac:dyDescent="0.25">
      <c r="B20" s="420">
        <f>+B19-0.05</f>
        <v>24.95</v>
      </c>
      <c r="C20" s="394">
        <f>+C19*(1+J20)</f>
        <v>50150.417177131982</v>
      </c>
      <c r="D20" s="422">
        <v>6</v>
      </c>
      <c r="E20" s="421">
        <f>+B20-D20</f>
        <v>18.95</v>
      </c>
      <c r="F20" s="394">
        <f>+E20*C20</f>
        <v>950350.40550665103</v>
      </c>
      <c r="G20" s="394">
        <v>675</v>
      </c>
      <c r="H20" s="394">
        <f>+F20-G20</f>
        <v>949675.40550665103</v>
      </c>
      <c r="I20" s="424">
        <f>+B20/B19-1</f>
        <v>-2.0000000000000018E-3</v>
      </c>
      <c r="J20" s="424">
        <f>+(1+I20)^$E$14-1</f>
        <v>3.0083435426395688E-3</v>
      </c>
      <c r="K20" s="433"/>
      <c r="L20" s="394">
        <f t="shared" ref="L20:L83" si="7">+B20</f>
        <v>24.95</v>
      </c>
      <c r="M20" s="394">
        <f t="shared" ref="M20:M83" si="8">+F20-960000</f>
        <v>-9649.5944933489664</v>
      </c>
    </row>
    <row r="21" spans="2:13" ht="15" x14ac:dyDescent="0.25">
      <c r="B21" s="420">
        <f t="shared" ref="B21:B84" si="9">+B20-0.05</f>
        <v>24.9</v>
      </c>
      <c r="C21" s="394">
        <f t="shared" ref="C21:C84" si="10">+C20*(1+J21)</f>
        <v>50301.589964010775</v>
      </c>
      <c r="D21" s="422">
        <v>6</v>
      </c>
      <c r="E21" s="421">
        <f t="shared" ref="E21:E84" si="11">+B21-D21</f>
        <v>18.899999999999999</v>
      </c>
      <c r="F21" s="394">
        <f t="shared" ref="F21:F84" si="12">+E21*C21</f>
        <v>950700.05031980353</v>
      </c>
      <c r="G21" s="394">
        <v>675</v>
      </c>
      <c r="H21" s="394">
        <f t="shared" ref="H21:H84" si="13">+F21-G21</f>
        <v>950025.05031980353</v>
      </c>
      <c r="I21" s="424">
        <f t="shared" ref="I21:I84" si="14">+B21/B20-1</f>
        <v>-2.0040080160320661E-3</v>
      </c>
      <c r="J21" s="424">
        <f t="shared" ref="J21:J84" si="15">+(1+I21)^$E$14-1</f>
        <v>3.0143874246320035E-3</v>
      </c>
      <c r="K21" s="433"/>
      <c r="L21" s="394">
        <f t="shared" si="7"/>
        <v>24.9</v>
      </c>
      <c r="M21" s="394">
        <f t="shared" si="8"/>
        <v>-9299.9496801964706</v>
      </c>
    </row>
    <row r="22" spans="2:13" ht="15" x14ac:dyDescent="0.25">
      <c r="B22" s="420">
        <f t="shared" si="9"/>
        <v>24.849999999999998</v>
      </c>
      <c r="C22" s="394">
        <f t="shared" si="10"/>
        <v>50453.523685133681</v>
      </c>
      <c r="D22" s="422">
        <v>6</v>
      </c>
      <c r="E22" s="421">
        <f t="shared" si="11"/>
        <v>18.849999999999998</v>
      </c>
      <c r="F22" s="394">
        <f t="shared" si="12"/>
        <v>951048.92146476975</v>
      </c>
      <c r="G22" s="394">
        <v>675</v>
      </c>
      <c r="H22" s="394">
        <f t="shared" si="13"/>
        <v>950373.92146476975</v>
      </c>
      <c r="I22" s="424">
        <f t="shared" si="14"/>
        <v>-2.0080321285140812E-3</v>
      </c>
      <c r="J22" s="424">
        <f t="shared" si="15"/>
        <v>3.0204556403010674E-3</v>
      </c>
      <c r="K22" s="433"/>
      <c r="L22" s="394">
        <f t="shared" si="7"/>
        <v>24.849999999999998</v>
      </c>
      <c r="M22" s="394">
        <f t="shared" si="8"/>
        <v>-8951.0785352302482</v>
      </c>
    </row>
    <row r="23" spans="2:13" ht="15" x14ac:dyDescent="0.25">
      <c r="B23" s="420">
        <f t="shared" si="9"/>
        <v>24.799999999999997</v>
      </c>
      <c r="C23" s="394">
        <f t="shared" si="10"/>
        <v>50606.22371333366</v>
      </c>
      <c r="D23" s="422">
        <v>6</v>
      </c>
      <c r="E23" s="421">
        <f t="shared" si="11"/>
        <v>18.799999999999997</v>
      </c>
      <c r="F23" s="394">
        <f t="shared" si="12"/>
        <v>951397.00581067265</v>
      </c>
      <c r="G23" s="394">
        <v>675</v>
      </c>
      <c r="H23" s="394">
        <f t="shared" si="13"/>
        <v>950722.00581067265</v>
      </c>
      <c r="I23" s="424">
        <f t="shared" si="14"/>
        <v>-2.0120724346076591E-3</v>
      </c>
      <c r="J23" s="424">
        <f t="shared" si="15"/>
        <v>3.0265483368998591E-3</v>
      </c>
      <c r="K23" s="433"/>
      <c r="L23" s="394">
        <f t="shared" si="7"/>
        <v>24.799999999999997</v>
      </c>
      <c r="M23" s="394">
        <f t="shared" si="8"/>
        <v>-8602.9941893273499</v>
      </c>
    </row>
    <row r="24" spans="2:13" ht="15" x14ac:dyDescent="0.25">
      <c r="B24" s="420">
        <f t="shared" si="9"/>
        <v>24.749999999999996</v>
      </c>
      <c r="C24" s="394">
        <f t="shared" si="10"/>
        <v>50759.695470316743</v>
      </c>
      <c r="D24" s="422">
        <v>6</v>
      </c>
      <c r="E24" s="421">
        <f t="shared" si="11"/>
        <v>18.749999999999996</v>
      </c>
      <c r="F24" s="394">
        <f t="shared" si="12"/>
        <v>951744.29006843874</v>
      </c>
      <c r="G24" s="394">
        <v>675</v>
      </c>
      <c r="H24" s="394">
        <f t="shared" si="13"/>
        <v>951069.29006843874</v>
      </c>
      <c r="I24" s="424">
        <f t="shared" si="14"/>
        <v>-2.0161290322581182E-3</v>
      </c>
      <c r="J24" s="424">
        <f t="shared" si="15"/>
        <v>3.0326656628727466E-3</v>
      </c>
      <c r="K24" s="433"/>
      <c r="L24" s="394">
        <f t="shared" si="7"/>
        <v>24.749999999999996</v>
      </c>
      <c r="M24" s="394">
        <f t="shared" si="8"/>
        <v>-8255.7099315612577</v>
      </c>
    </row>
    <row r="25" spans="2:13" ht="15" x14ac:dyDescent="0.25">
      <c r="B25" s="420">
        <f t="shared" si="9"/>
        <v>24.699999999999996</v>
      </c>
      <c r="C25" s="394">
        <f t="shared" si="10"/>
        <v>50913.944427206457</v>
      </c>
      <c r="D25" s="422">
        <v>6</v>
      </c>
      <c r="E25" s="421">
        <f t="shared" si="11"/>
        <v>18.699999999999996</v>
      </c>
      <c r="F25" s="394">
        <f t="shared" si="12"/>
        <v>952090.7607887605</v>
      </c>
      <c r="G25" s="394">
        <v>675</v>
      </c>
      <c r="H25" s="394">
        <f t="shared" si="13"/>
        <v>951415.7607887605</v>
      </c>
      <c r="I25" s="424">
        <f t="shared" si="14"/>
        <v>-2.0202020202020332E-3</v>
      </c>
      <c r="J25" s="424">
        <f t="shared" si="15"/>
        <v>3.0388077678660252E-3</v>
      </c>
      <c r="K25" s="433"/>
      <c r="L25" s="394">
        <f t="shared" si="7"/>
        <v>24.699999999999996</v>
      </c>
      <c r="M25" s="394">
        <f t="shared" si="8"/>
        <v>-7909.2392112395028</v>
      </c>
    </row>
    <row r="26" spans="2:13" ht="15" x14ac:dyDescent="0.25">
      <c r="B26" s="420">
        <f t="shared" si="9"/>
        <v>24.649999999999995</v>
      </c>
      <c r="C26" s="394">
        <f t="shared" si="10"/>
        <v>51068.976105095477</v>
      </c>
      <c r="D26" s="422">
        <v>6</v>
      </c>
      <c r="E26" s="421">
        <f t="shared" si="11"/>
        <v>18.649999999999995</v>
      </c>
      <c r="F26" s="394">
        <f t="shared" si="12"/>
        <v>952436.40436003043</v>
      </c>
      <c r="G26" s="394">
        <v>675</v>
      </c>
      <c r="H26" s="394">
        <f t="shared" si="13"/>
        <v>951761.40436003043</v>
      </c>
      <c r="I26" s="424">
        <f t="shared" si="14"/>
        <v>-2.0242914979757831E-3</v>
      </c>
      <c r="J26" s="424">
        <f t="shared" si="15"/>
        <v>3.0449748027414625E-3</v>
      </c>
      <c r="K26" s="433"/>
      <c r="L26" s="394">
        <f t="shared" si="7"/>
        <v>24.649999999999995</v>
      </c>
      <c r="M26" s="394">
        <f t="shared" si="8"/>
        <v>-7563.5956399695715</v>
      </c>
    </row>
    <row r="27" spans="2:13" ht="15" x14ac:dyDescent="0.25">
      <c r="B27" s="420">
        <f t="shared" si="9"/>
        <v>24.599999999999994</v>
      </c>
      <c r="C27" s="394">
        <f t="shared" si="10"/>
        <v>51224.796075604558</v>
      </c>
      <c r="D27" s="422">
        <v>6</v>
      </c>
      <c r="E27" s="421">
        <f t="shared" si="11"/>
        <v>18.599999999999994</v>
      </c>
      <c r="F27" s="394">
        <f t="shared" si="12"/>
        <v>952781.20700624445</v>
      </c>
      <c r="G27" s="394">
        <v>675</v>
      </c>
      <c r="H27" s="394">
        <f t="shared" si="13"/>
        <v>952106.20700624445</v>
      </c>
      <c r="I27" s="424">
        <f t="shared" si="14"/>
        <v>-2.0283975659229903E-3</v>
      </c>
      <c r="J27" s="424">
        <f t="shared" si="15"/>
        <v>3.0511669195876223E-3</v>
      </c>
      <c r="K27" s="433"/>
      <c r="L27" s="394">
        <f t="shared" si="7"/>
        <v>24.599999999999994</v>
      </c>
      <c r="M27" s="394">
        <f t="shared" si="8"/>
        <v>-7218.7929937555455</v>
      </c>
    </row>
    <row r="28" spans="2:13" ht="15" x14ac:dyDescent="0.25">
      <c r="B28" s="420">
        <f t="shared" si="9"/>
        <v>24.549999999999994</v>
      </c>
      <c r="C28" s="394">
        <f t="shared" si="10"/>
        <v>51381.409961448808</v>
      </c>
      <c r="D28" s="422">
        <v>6</v>
      </c>
      <c r="E28" s="421">
        <f t="shared" si="11"/>
        <v>18.549999999999994</v>
      </c>
      <c r="F28" s="394">
        <f t="shared" si="12"/>
        <v>953125.15478487511</v>
      </c>
      <c r="G28" s="394">
        <v>675</v>
      </c>
      <c r="H28" s="394">
        <f t="shared" si="13"/>
        <v>952450.15478487511</v>
      </c>
      <c r="I28" s="424">
        <f t="shared" si="14"/>
        <v>-2.0325203252032908E-3</v>
      </c>
      <c r="J28" s="424">
        <f t="shared" si="15"/>
        <v>3.0573842717322997E-3</v>
      </c>
      <c r="K28" s="433"/>
      <c r="L28" s="394">
        <f t="shared" si="7"/>
        <v>24.549999999999994</v>
      </c>
      <c r="M28" s="394">
        <f t="shared" si="8"/>
        <v>-6874.845215124893</v>
      </c>
    </row>
    <row r="29" spans="2:13" ht="15" x14ac:dyDescent="0.25">
      <c r="B29" s="420">
        <f t="shared" si="9"/>
        <v>24.499999999999993</v>
      </c>
      <c r="C29" s="394">
        <f t="shared" si="10"/>
        <v>51538.823437011597</v>
      </c>
      <c r="D29" s="422">
        <v>6</v>
      </c>
      <c r="E29" s="421">
        <f t="shared" si="11"/>
        <v>18.499999999999993</v>
      </c>
      <c r="F29" s="394">
        <f t="shared" si="12"/>
        <v>953468.23358471412</v>
      </c>
      <c r="G29" s="394">
        <v>675</v>
      </c>
      <c r="H29" s="394">
        <f t="shared" si="13"/>
        <v>952793.23358471412</v>
      </c>
      <c r="I29" s="424">
        <f t="shared" si="14"/>
        <v>-2.0366598778004397E-3</v>
      </c>
      <c r="J29" s="424">
        <f t="shared" si="15"/>
        <v>3.0636270137565091E-3</v>
      </c>
      <c r="K29" s="433"/>
      <c r="L29" s="394">
        <f t="shared" si="7"/>
        <v>24.499999999999993</v>
      </c>
      <c r="M29" s="394">
        <f t="shared" si="8"/>
        <v>-6531.7664152858779</v>
      </c>
    </row>
    <row r="30" spans="2:13" ht="15" x14ac:dyDescent="0.25">
      <c r="B30" s="420">
        <f t="shared" si="9"/>
        <v>24.449999999999992</v>
      </c>
      <c r="C30" s="394">
        <f t="shared" si="10"/>
        <v>51697.042228925995</v>
      </c>
      <c r="D30" s="422">
        <v>6</v>
      </c>
      <c r="E30" s="421">
        <f t="shared" si="11"/>
        <v>18.449999999999992</v>
      </c>
      <c r="F30" s="394">
        <f t="shared" si="12"/>
        <v>953810.42912368418</v>
      </c>
      <c r="G30" s="394">
        <v>675</v>
      </c>
      <c r="H30" s="394">
        <f t="shared" si="13"/>
        <v>953135.42912368418</v>
      </c>
      <c r="I30" s="424">
        <f t="shared" si="14"/>
        <v>-2.0408163265306367E-3</v>
      </c>
      <c r="J30" s="424">
        <f t="shared" si="15"/>
        <v>3.0698953015053654E-3</v>
      </c>
      <c r="K30" s="433"/>
      <c r="L30" s="394">
        <f t="shared" si="7"/>
        <v>24.449999999999992</v>
      </c>
      <c r="M30" s="394">
        <f t="shared" si="8"/>
        <v>-6189.5708763158182</v>
      </c>
    </row>
    <row r="31" spans="2:13" ht="15" x14ac:dyDescent="0.25">
      <c r="B31" s="420">
        <f t="shared" si="9"/>
        <v>24.399999999999991</v>
      </c>
      <c r="C31" s="394">
        <f t="shared" si="10"/>
        <v>51856.072116664014</v>
      </c>
      <c r="D31" s="422">
        <v>6</v>
      </c>
      <c r="E31" s="421">
        <f t="shared" si="11"/>
        <v>18.399999999999991</v>
      </c>
      <c r="F31" s="394">
        <f t="shared" si="12"/>
        <v>954151.72694661748</v>
      </c>
      <c r="G31" s="394">
        <v>675</v>
      </c>
      <c r="H31" s="394">
        <f t="shared" si="13"/>
        <v>953476.72694661748</v>
      </c>
      <c r="I31" s="424">
        <f t="shared" si="14"/>
        <v>-2.044989775051187E-3</v>
      </c>
      <c r="J31" s="424">
        <f t="shared" si="15"/>
        <v>3.0761892921029599E-3</v>
      </c>
      <c r="K31" s="433"/>
      <c r="L31" s="394">
        <f t="shared" si="7"/>
        <v>24.399999999999991</v>
      </c>
      <c r="M31" s="394">
        <f t="shared" si="8"/>
        <v>-5848.2730533825234</v>
      </c>
    </row>
    <row r="32" spans="2:13" ht="15" x14ac:dyDescent="0.25">
      <c r="B32" s="420">
        <f t="shared" si="9"/>
        <v>24.349999999999991</v>
      </c>
      <c r="C32" s="394">
        <f t="shared" si="10"/>
        <v>52015.918933133675</v>
      </c>
      <c r="D32" s="422">
        <v>6</v>
      </c>
      <c r="E32" s="421">
        <f t="shared" si="11"/>
        <v>18.349999999999991</v>
      </c>
      <c r="F32" s="394">
        <f t="shared" si="12"/>
        <v>954492.11242300249</v>
      </c>
      <c r="G32" s="394">
        <v>675</v>
      </c>
      <c r="H32" s="394">
        <f t="shared" si="13"/>
        <v>953817.11242300249</v>
      </c>
      <c r="I32" s="424">
        <f t="shared" si="14"/>
        <v>-2.049180327868827E-3</v>
      </c>
      <c r="J32" s="424">
        <f t="shared" si="15"/>
        <v>3.0825091439636854E-3</v>
      </c>
      <c r="K32" s="433"/>
      <c r="L32" s="394">
        <f t="shared" si="7"/>
        <v>24.349999999999991</v>
      </c>
      <c r="M32" s="394">
        <f t="shared" si="8"/>
        <v>-5507.887576997513</v>
      </c>
    </row>
    <row r="33" spans="2:13" ht="15" x14ac:dyDescent="0.25">
      <c r="B33" s="420">
        <f t="shared" si="9"/>
        <v>24.29999999999999</v>
      </c>
      <c r="C33" s="394">
        <f t="shared" si="10"/>
        <v>52176.588565284139</v>
      </c>
      <c r="D33" s="422">
        <v>6</v>
      </c>
      <c r="E33" s="421">
        <f t="shared" si="11"/>
        <v>18.29999999999999</v>
      </c>
      <c r="F33" s="394">
        <f t="shared" si="12"/>
        <v>954831.57074469922</v>
      </c>
      <c r="G33" s="394">
        <v>675</v>
      </c>
      <c r="H33" s="394">
        <f t="shared" si="13"/>
        <v>954156.57074469922</v>
      </c>
      <c r="I33" s="424">
        <f t="shared" si="14"/>
        <v>-2.0533880903490509E-3</v>
      </c>
      <c r="J33" s="424">
        <f t="shared" si="15"/>
        <v>3.0888550168075568E-3</v>
      </c>
      <c r="K33" s="433"/>
      <c r="L33" s="394">
        <f t="shared" si="7"/>
        <v>24.29999999999999</v>
      </c>
      <c r="M33" s="394">
        <f t="shared" si="8"/>
        <v>-5168.4292553007836</v>
      </c>
    </row>
    <row r="34" spans="2:13" ht="15" x14ac:dyDescent="0.25">
      <c r="B34" s="420">
        <f t="shared" si="9"/>
        <v>24.249999999999989</v>
      </c>
      <c r="C34" s="394">
        <f t="shared" si="10"/>
        <v>52338.08695471887</v>
      </c>
      <c r="D34" s="422">
        <v>6</v>
      </c>
      <c r="E34" s="421">
        <f t="shared" si="11"/>
        <v>18.249999999999989</v>
      </c>
      <c r="F34" s="394">
        <f t="shared" si="12"/>
        <v>955170.0869236188</v>
      </c>
      <c r="G34" s="394">
        <v>675</v>
      </c>
      <c r="H34" s="394">
        <f t="shared" si="13"/>
        <v>954495.0869236188</v>
      </c>
      <c r="I34" s="424">
        <f t="shared" si="14"/>
        <v>-2.057613168724326E-3</v>
      </c>
      <c r="J34" s="424">
        <f t="shared" si="15"/>
        <v>3.0952270716715358E-3</v>
      </c>
      <c r="K34" s="433"/>
      <c r="L34" s="394">
        <f t="shared" si="7"/>
        <v>24.249999999999989</v>
      </c>
      <c r="M34" s="394">
        <f t="shared" si="8"/>
        <v>-4829.9130763811991</v>
      </c>
    </row>
    <row r="35" spans="2:13" ht="15" x14ac:dyDescent="0.25">
      <c r="B35" s="420">
        <f t="shared" si="9"/>
        <v>24.199999999999989</v>
      </c>
      <c r="C35" s="394">
        <f t="shared" si="10"/>
        <v>52500.420098317081</v>
      </c>
      <c r="D35" s="422">
        <v>6</v>
      </c>
      <c r="E35" s="421">
        <f t="shared" si="11"/>
        <v>18.199999999999989</v>
      </c>
      <c r="F35" s="394">
        <f t="shared" si="12"/>
        <v>955507.64578937029</v>
      </c>
      <c r="G35" s="394">
        <v>675</v>
      </c>
      <c r="H35" s="394">
        <f t="shared" si="13"/>
        <v>954832.64578937029</v>
      </c>
      <c r="I35" s="424">
        <f t="shared" si="14"/>
        <v>-2.0618556701030855E-3</v>
      </c>
      <c r="J35" s="424">
        <f t="shared" si="15"/>
        <v>3.1016254709244073E-3</v>
      </c>
      <c r="K35" s="433"/>
      <c r="L35" s="394">
        <f t="shared" si="7"/>
        <v>24.199999999999989</v>
      </c>
      <c r="M35" s="394">
        <f t="shared" si="8"/>
        <v>-4492.35421062971</v>
      </c>
    </row>
    <row r="36" spans="2:13" ht="15" x14ac:dyDescent="0.25">
      <c r="B36" s="420">
        <f t="shared" si="9"/>
        <v>24.149999999999988</v>
      </c>
      <c r="C36" s="394">
        <f t="shared" si="10"/>
        <v>52663.594048863553</v>
      </c>
      <c r="D36" s="422">
        <v>6</v>
      </c>
      <c r="E36" s="421">
        <f t="shared" si="11"/>
        <v>18.149999999999988</v>
      </c>
      <c r="F36" s="394">
        <f t="shared" si="12"/>
        <v>955844.23198687285</v>
      </c>
      <c r="G36" s="394">
        <v>675</v>
      </c>
      <c r="H36" s="394">
        <f t="shared" si="13"/>
        <v>955169.23198687285</v>
      </c>
      <c r="I36" s="424">
        <f t="shared" si="14"/>
        <v>-2.0661157024793875E-3</v>
      </c>
      <c r="J36" s="424">
        <f t="shared" si="15"/>
        <v>3.1080503782807689E-3</v>
      </c>
      <c r="K36" s="433"/>
      <c r="L36" s="394">
        <f t="shared" si="7"/>
        <v>24.149999999999988</v>
      </c>
      <c r="M36" s="394">
        <f t="shared" si="8"/>
        <v>-4155.7680131271482</v>
      </c>
    </row>
    <row r="37" spans="2:13" ht="15" x14ac:dyDescent="0.25">
      <c r="B37" s="420">
        <f t="shared" si="9"/>
        <v>24.099999999999987</v>
      </c>
      <c r="C37" s="394">
        <f t="shared" si="10"/>
        <v>52827.614915686921</v>
      </c>
      <c r="D37" s="422">
        <v>6</v>
      </c>
      <c r="E37" s="421">
        <f t="shared" si="11"/>
        <v>18.099999999999987</v>
      </c>
      <c r="F37" s="394">
        <f t="shared" si="12"/>
        <v>956179.82997393259</v>
      </c>
      <c r="G37" s="394">
        <v>675</v>
      </c>
      <c r="H37" s="394">
        <f t="shared" si="13"/>
        <v>955504.82997393259</v>
      </c>
      <c r="I37" s="424">
        <f t="shared" si="14"/>
        <v>-2.0703933747412417E-3</v>
      </c>
      <c r="J37" s="424">
        <f t="shared" si="15"/>
        <v>3.1145019588139089E-3</v>
      </c>
      <c r="K37" s="433"/>
      <c r="L37" s="394">
        <f t="shared" si="7"/>
        <v>24.099999999999987</v>
      </c>
      <c r="M37" s="394">
        <f t="shared" si="8"/>
        <v>-3820.1700260674115</v>
      </c>
    </row>
    <row r="38" spans="2:13" ht="15" x14ac:dyDescent="0.25">
      <c r="B38" s="420">
        <f t="shared" si="9"/>
        <v>24.049999999999986</v>
      </c>
      <c r="C38" s="394">
        <f t="shared" si="10"/>
        <v>52992.488865306623</v>
      </c>
      <c r="D38" s="422">
        <v>6</v>
      </c>
      <c r="E38" s="421">
        <f t="shared" si="11"/>
        <v>18.049999999999986</v>
      </c>
      <c r="F38" s="394">
        <f t="shared" si="12"/>
        <v>956514.42401878384</v>
      </c>
      <c r="G38" s="394">
        <v>675</v>
      </c>
      <c r="H38" s="394">
        <f t="shared" si="13"/>
        <v>955839.42401878384</v>
      </c>
      <c r="I38" s="424">
        <f t="shared" si="14"/>
        <v>-2.0746887966804906E-3</v>
      </c>
      <c r="J38" s="424">
        <f t="shared" si="15"/>
        <v>3.1209803789711277E-3</v>
      </c>
      <c r="K38" s="433"/>
      <c r="L38" s="394">
        <f t="shared" si="7"/>
        <v>24.049999999999986</v>
      </c>
      <c r="M38" s="394">
        <f t="shared" si="8"/>
        <v>-3485.5759812161559</v>
      </c>
    </row>
    <row r="39" spans="2:13" ht="15" x14ac:dyDescent="0.25">
      <c r="B39" s="420">
        <f t="shared" si="9"/>
        <v>23.999999999999986</v>
      </c>
      <c r="C39" s="394">
        <f t="shared" si="10"/>
        <v>53158.222122088591</v>
      </c>
      <c r="D39" s="422">
        <v>6</v>
      </c>
      <c r="E39" s="421">
        <f t="shared" si="11"/>
        <v>17.999999999999986</v>
      </c>
      <c r="F39" s="394">
        <f t="shared" si="12"/>
        <v>956847.99819759384</v>
      </c>
      <c r="G39" s="394">
        <v>675</v>
      </c>
      <c r="H39" s="394">
        <f t="shared" si="13"/>
        <v>956172.99819759384</v>
      </c>
      <c r="I39" s="424">
        <f t="shared" si="14"/>
        <v>-2.0790020790021346E-3</v>
      </c>
      <c r="J39" s="424">
        <f t="shared" si="15"/>
        <v>3.1274858065870603E-3</v>
      </c>
      <c r="K39" s="433"/>
      <c r="L39" s="394">
        <f t="shared" si="7"/>
        <v>23.999999999999986</v>
      </c>
      <c r="M39" s="394">
        <f t="shared" si="8"/>
        <v>-3152.0018024061574</v>
      </c>
    </row>
    <row r="40" spans="2:13" ht="15" x14ac:dyDescent="0.25">
      <c r="B40" s="420">
        <f t="shared" si="9"/>
        <v>23.949999999999985</v>
      </c>
      <c r="C40" s="394">
        <f t="shared" si="10"/>
        <v>53324.820968909866</v>
      </c>
      <c r="D40" s="422">
        <v>6</v>
      </c>
      <c r="E40" s="421">
        <f t="shared" si="11"/>
        <v>17.949999999999985</v>
      </c>
      <c r="F40" s="394">
        <f t="shared" si="12"/>
        <v>957180.53639193124</v>
      </c>
      <c r="G40" s="394">
        <v>675</v>
      </c>
      <c r="H40" s="394">
        <f t="shared" si="13"/>
        <v>956505.53639193124</v>
      </c>
      <c r="I40" s="424">
        <f t="shared" si="14"/>
        <v>-2.0833333333333259E-3</v>
      </c>
      <c r="J40" s="424">
        <f t="shared" si="15"/>
        <v>3.1340184108987756E-3</v>
      </c>
      <c r="K40" s="433"/>
      <c r="L40" s="394">
        <f t="shared" si="7"/>
        <v>23.949999999999985</v>
      </c>
      <c r="M40" s="394">
        <f t="shared" si="8"/>
        <v>-2819.4636080687633</v>
      </c>
    </row>
    <row r="41" spans="2:13" ht="15" x14ac:dyDescent="0.25">
      <c r="B41" s="420">
        <f t="shared" si="9"/>
        <v>23.899999999999984</v>
      </c>
      <c r="C41" s="394">
        <f t="shared" si="10"/>
        <v>53492.291747832234</v>
      </c>
      <c r="D41" s="422">
        <v>6</v>
      </c>
      <c r="E41" s="421">
        <f t="shared" si="11"/>
        <v>17.899999999999984</v>
      </c>
      <c r="F41" s="394">
        <f t="shared" si="12"/>
        <v>957512.02228619612</v>
      </c>
      <c r="G41" s="394">
        <v>675</v>
      </c>
      <c r="H41" s="394">
        <f t="shared" si="13"/>
        <v>956837.02228619612</v>
      </c>
      <c r="I41" s="424">
        <f t="shared" si="14"/>
        <v>-2.0876826722338038E-3</v>
      </c>
      <c r="J41" s="424">
        <f t="shared" si="15"/>
        <v>3.1405783625604311E-3</v>
      </c>
      <c r="K41" s="433"/>
      <c r="L41" s="394">
        <f t="shared" si="7"/>
        <v>23.899999999999984</v>
      </c>
      <c r="M41" s="394">
        <f t="shared" si="8"/>
        <v>-2487.9777138038771</v>
      </c>
    </row>
    <row r="42" spans="2:13" ht="15" x14ac:dyDescent="0.25">
      <c r="B42" s="420">
        <f t="shared" si="9"/>
        <v>23.849999999999984</v>
      </c>
      <c r="C42" s="394">
        <f t="shared" si="10"/>
        <v>53660.640860785075</v>
      </c>
      <c r="D42" s="422">
        <v>6</v>
      </c>
      <c r="E42" s="421">
        <f t="shared" si="11"/>
        <v>17.849999999999984</v>
      </c>
      <c r="F42" s="394">
        <f t="shared" si="12"/>
        <v>957842.43936501269</v>
      </c>
      <c r="G42" s="394">
        <v>675</v>
      </c>
      <c r="H42" s="394">
        <f t="shared" si="13"/>
        <v>957167.43936501269</v>
      </c>
      <c r="I42" s="424">
        <f t="shared" si="14"/>
        <v>-2.0920502092049986E-3</v>
      </c>
      <c r="J42" s="424">
        <f t="shared" si="15"/>
        <v>3.1471658336579278E-3</v>
      </c>
      <c r="K42" s="433"/>
      <c r="L42" s="394">
        <f t="shared" si="7"/>
        <v>23.849999999999984</v>
      </c>
      <c r="M42" s="394">
        <f t="shared" si="8"/>
        <v>-2157.5606349873124</v>
      </c>
    </row>
    <row r="43" spans="2:13" ht="15" x14ac:dyDescent="0.25">
      <c r="B43" s="420">
        <f t="shared" si="9"/>
        <v>23.799999999999983</v>
      </c>
      <c r="C43" s="394">
        <f t="shared" si="10"/>
        <v>53829.874770257513</v>
      </c>
      <c r="D43" s="422">
        <v>6</v>
      </c>
      <c r="E43" s="421">
        <f t="shared" si="11"/>
        <v>17.799999999999983</v>
      </c>
      <c r="F43" s="394">
        <f t="shared" si="12"/>
        <v>958171.77091058285</v>
      </c>
      <c r="G43" s="394">
        <v>675</v>
      </c>
      <c r="H43" s="394">
        <f t="shared" si="13"/>
        <v>957496.77091058285</v>
      </c>
      <c r="I43" s="424">
        <f t="shared" si="14"/>
        <v>-2.0964360587002462E-3</v>
      </c>
      <c r="J43" s="424">
        <f t="shared" si="15"/>
        <v>3.1537809977240094E-3</v>
      </c>
      <c r="K43" s="433"/>
      <c r="L43" s="394">
        <f t="shared" si="7"/>
        <v>23.799999999999983</v>
      </c>
      <c r="M43" s="394">
        <f t="shared" si="8"/>
        <v>-1828.2290894171456</v>
      </c>
    </row>
    <row r="44" spans="2:13" ht="15" x14ac:dyDescent="0.25">
      <c r="B44" s="420">
        <f t="shared" si="9"/>
        <v>23.749999999999982</v>
      </c>
      <c r="C44" s="394">
        <f t="shared" si="10"/>
        <v>54000.000000000058</v>
      </c>
      <c r="D44" s="422">
        <v>6</v>
      </c>
      <c r="E44" s="421">
        <f t="shared" si="11"/>
        <v>17.749999999999982</v>
      </c>
      <c r="F44" s="394">
        <f t="shared" si="12"/>
        <v>958500.00000000012</v>
      </c>
      <c r="G44" s="394">
        <v>675</v>
      </c>
      <c r="H44" s="394">
        <f t="shared" si="13"/>
        <v>957825.00000000012</v>
      </c>
      <c r="I44" s="424">
        <f t="shared" si="14"/>
        <v>-2.1008403361344463E-3</v>
      </c>
      <c r="J44" s="424">
        <f t="shared" si="15"/>
        <v>3.1604240297535835E-3</v>
      </c>
      <c r="K44" s="433"/>
      <c r="L44" s="394">
        <f t="shared" si="7"/>
        <v>23.749999999999982</v>
      </c>
      <c r="M44" s="394">
        <f t="shared" si="8"/>
        <v>-1499.9999999998836</v>
      </c>
    </row>
    <row r="45" spans="2:13" ht="15" x14ac:dyDescent="0.25">
      <c r="B45" s="420">
        <f t="shared" si="9"/>
        <v>23.699999999999982</v>
      </c>
      <c r="C45" s="394">
        <f t="shared" si="10"/>
        <v>54171.023135735864</v>
      </c>
      <c r="D45" s="422">
        <v>6</v>
      </c>
      <c r="E45" s="421">
        <f t="shared" si="11"/>
        <v>17.699999999999982</v>
      </c>
      <c r="F45" s="394">
        <f t="shared" si="12"/>
        <v>958827.10950252379</v>
      </c>
      <c r="G45" s="394">
        <v>675</v>
      </c>
      <c r="H45" s="394">
        <f t="shared" si="13"/>
        <v>958152.10950252379</v>
      </c>
      <c r="I45" s="424">
        <f t="shared" si="14"/>
        <v>-2.1052631578947212E-3</v>
      </c>
      <c r="J45" s="424">
        <f t="shared" si="15"/>
        <v>3.1670951062185981E-3</v>
      </c>
      <c r="K45" s="433"/>
      <c r="L45" s="394">
        <f t="shared" si="7"/>
        <v>23.699999999999982</v>
      </c>
      <c r="M45" s="394">
        <f t="shared" si="8"/>
        <v>-1172.8904974762117</v>
      </c>
    </row>
    <row r="46" spans="2:13" ht="15" x14ac:dyDescent="0.25">
      <c r="B46" s="420">
        <f t="shared" si="9"/>
        <v>23.649999999999981</v>
      </c>
      <c r="C46" s="394">
        <f t="shared" si="10"/>
        <v>54342.950825881788</v>
      </c>
      <c r="D46" s="422">
        <v>6</v>
      </c>
      <c r="E46" s="421">
        <f t="shared" si="11"/>
        <v>17.649999999999981</v>
      </c>
      <c r="F46" s="394">
        <f t="shared" si="12"/>
        <v>959153.08207681251</v>
      </c>
      <c r="G46" s="394">
        <v>675</v>
      </c>
      <c r="H46" s="394">
        <f t="shared" si="13"/>
        <v>958478.08207681251</v>
      </c>
      <c r="I46" s="424">
        <f t="shared" si="14"/>
        <v>-2.1097046413502962E-3</v>
      </c>
      <c r="J46" s="424">
        <f t="shared" si="15"/>
        <v>3.1737944050849176E-3</v>
      </c>
      <c r="K46" s="433"/>
      <c r="L46" s="394">
        <f t="shared" si="7"/>
        <v>23.649999999999981</v>
      </c>
      <c r="M46" s="394">
        <f t="shared" si="8"/>
        <v>-846.91792318748776</v>
      </c>
    </row>
    <row r="47" spans="2:13" ht="15" x14ac:dyDescent="0.25">
      <c r="B47" s="420">
        <f t="shared" si="9"/>
        <v>23.59999999999998</v>
      </c>
      <c r="C47" s="394">
        <f t="shared" si="10"/>
        <v>54515.78978227936</v>
      </c>
      <c r="D47" s="422">
        <v>6</v>
      </c>
      <c r="E47" s="421">
        <f t="shared" si="11"/>
        <v>17.59999999999998</v>
      </c>
      <c r="F47" s="394">
        <f t="shared" si="12"/>
        <v>959477.90016811562</v>
      </c>
      <c r="G47" s="394">
        <v>675</v>
      </c>
      <c r="H47" s="394">
        <f t="shared" si="13"/>
        <v>958802.90016811562</v>
      </c>
      <c r="I47" s="424">
        <f t="shared" si="14"/>
        <v>-2.1141649048626032E-3</v>
      </c>
      <c r="J47" s="424">
        <f t="shared" si="15"/>
        <v>3.1805221058267552E-3</v>
      </c>
      <c r="K47" s="433"/>
      <c r="L47" s="394">
        <f t="shared" si="7"/>
        <v>23.59999999999998</v>
      </c>
      <c r="M47" s="394">
        <f t="shared" si="8"/>
        <v>-522.09983188437764</v>
      </c>
    </row>
    <row r="48" spans="2:13" ht="15" x14ac:dyDescent="0.25">
      <c r="B48" s="420">
        <f t="shared" si="9"/>
        <v>23.549999999999979</v>
      </c>
      <c r="C48" s="394">
        <f t="shared" si="10"/>
        <v>54689.546780935882</v>
      </c>
      <c r="D48" s="422">
        <v>6</v>
      </c>
      <c r="E48" s="421">
        <f t="shared" si="11"/>
        <v>17.549999999999979</v>
      </c>
      <c r="F48" s="394">
        <f t="shared" si="12"/>
        <v>959801.54600542365</v>
      </c>
      <c r="G48" s="394">
        <v>675</v>
      </c>
      <c r="H48" s="394">
        <f t="shared" si="13"/>
        <v>959126.54600542365</v>
      </c>
      <c r="I48" s="424">
        <f t="shared" si="14"/>
        <v>-2.1186440677966045E-3</v>
      </c>
      <c r="J48" s="424">
        <f t="shared" si="15"/>
        <v>3.1872783894437706E-3</v>
      </c>
      <c r="K48" s="433"/>
      <c r="L48" s="394">
        <f t="shared" si="7"/>
        <v>23.549999999999979</v>
      </c>
      <c r="M48" s="394">
        <f t="shared" si="8"/>
        <v>-198.45399457635358</v>
      </c>
    </row>
    <row r="49" spans="2:13" ht="15" x14ac:dyDescent="0.25">
      <c r="B49" s="420">
        <f t="shared" si="9"/>
        <v>23.499999999999979</v>
      </c>
      <c r="C49" s="394">
        <f t="shared" si="10"/>
        <v>54864.228662775728</v>
      </c>
      <c r="D49" s="422">
        <v>6</v>
      </c>
      <c r="E49" s="421">
        <f t="shared" si="11"/>
        <v>17.499999999999979</v>
      </c>
      <c r="F49" s="394">
        <f t="shared" si="12"/>
        <v>960124.0015985741</v>
      </c>
      <c r="G49" s="394">
        <v>675</v>
      </c>
      <c r="H49" s="394">
        <f t="shared" si="13"/>
        <v>959449.0015985741</v>
      </c>
      <c r="I49" s="424">
        <f t="shared" si="14"/>
        <v>-2.1231422505307851E-3</v>
      </c>
      <c r="J49" s="424">
        <f t="shared" si="15"/>
        <v>3.1940634384766131E-3</v>
      </c>
      <c r="K49" s="433"/>
      <c r="L49" s="394">
        <f t="shared" si="7"/>
        <v>23.499999999999979</v>
      </c>
      <c r="M49" s="394">
        <f t="shared" si="8"/>
        <v>124.00159857410472</v>
      </c>
    </row>
    <row r="50" spans="2:13" ht="15" x14ac:dyDescent="0.25">
      <c r="B50" s="420">
        <f t="shared" si="9"/>
        <v>23.449999999999978</v>
      </c>
      <c r="C50" s="394">
        <f t="shared" si="10"/>
        <v>55039.842334402136</v>
      </c>
      <c r="D50" s="422">
        <v>6</v>
      </c>
      <c r="E50" s="421">
        <f t="shared" si="11"/>
        <v>17.449999999999978</v>
      </c>
      <c r="F50" s="394">
        <f t="shared" si="12"/>
        <v>960445.2487353161</v>
      </c>
      <c r="G50" s="394">
        <v>675</v>
      </c>
      <c r="H50" s="394">
        <f t="shared" si="13"/>
        <v>959770.2487353161</v>
      </c>
      <c r="I50" s="424">
        <f t="shared" si="14"/>
        <v>-2.1276595744681437E-3</v>
      </c>
      <c r="J50" s="424">
        <f t="shared" si="15"/>
        <v>3.2008774370240189E-3</v>
      </c>
      <c r="K50" s="433"/>
      <c r="L50" s="394">
        <f t="shared" si="7"/>
        <v>23.449999999999978</v>
      </c>
      <c r="M50" s="394">
        <f t="shared" si="8"/>
        <v>445.24873531609774</v>
      </c>
    </row>
    <row r="51" spans="2:13" ht="15" x14ac:dyDescent="0.25">
      <c r="B51" s="420">
        <f t="shared" si="9"/>
        <v>23.399999999999977</v>
      </c>
      <c r="C51" s="394">
        <f t="shared" si="10"/>
        <v>55216.394768869483</v>
      </c>
      <c r="D51" s="422">
        <v>6</v>
      </c>
      <c r="E51" s="421">
        <f t="shared" si="11"/>
        <v>17.399999999999977</v>
      </c>
      <c r="F51" s="394">
        <f t="shared" si="12"/>
        <v>960765.26897832775</v>
      </c>
      <c r="G51" s="394">
        <v>675</v>
      </c>
      <c r="H51" s="394">
        <f t="shared" si="13"/>
        <v>960090.26897832775</v>
      </c>
      <c r="I51" s="424">
        <f t="shared" si="14"/>
        <v>-2.1321961620469621E-3</v>
      </c>
      <c r="J51" s="424">
        <f t="shared" si="15"/>
        <v>3.2077205707581324E-3</v>
      </c>
      <c r="K51" s="433"/>
      <c r="L51" s="394">
        <f t="shared" si="7"/>
        <v>23.399999999999977</v>
      </c>
      <c r="M51" s="394">
        <f t="shared" si="8"/>
        <v>765.26897832774557</v>
      </c>
    </row>
    <row r="52" spans="2:13" ht="15" x14ac:dyDescent="0.25">
      <c r="B52" s="420">
        <f t="shared" si="9"/>
        <v>23.349999999999977</v>
      </c>
      <c r="C52" s="394">
        <f t="shared" si="10"/>
        <v>55393.893006466416</v>
      </c>
      <c r="D52" s="422">
        <v>6</v>
      </c>
      <c r="E52" s="421">
        <f t="shared" si="11"/>
        <v>17.349999999999977</v>
      </c>
      <c r="F52" s="394">
        <f t="shared" si="12"/>
        <v>961084.04366219102</v>
      </c>
      <c r="G52" s="394">
        <v>675</v>
      </c>
      <c r="H52" s="394">
        <f t="shared" si="13"/>
        <v>960409.04366219102</v>
      </c>
      <c r="I52" s="424">
        <f t="shared" si="14"/>
        <v>-2.1367521367521292E-3</v>
      </c>
      <c r="J52" s="424">
        <f t="shared" si="15"/>
        <v>3.2145930269429357E-3</v>
      </c>
      <c r="K52" s="433"/>
      <c r="L52" s="394">
        <f t="shared" si="7"/>
        <v>23.349999999999977</v>
      </c>
      <c r="M52" s="394">
        <f t="shared" si="8"/>
        <v>1084.0436621910194</v>
      </c>
    </row>
    <row r="53" spans="2:13" ht="15" x14ac:dyDescent="0.25">
      <c r="B53" s="420">
        <f t="shared" si="9"/>
        <v>23.299999999999976</v>
      </c>
      <c r="C53" s="394">
        <f t="shared" si="10"/>
        <v>55572.344155509913</v>
      </c>
      <c r="D53" s="422">
        <v>6</v>
      </c>
      <c r="E53" s="421">
        <f t="shared" si="11"/>
        <v>17.299999999999976</v>
      </c>
      <c r="F53" s="394">
        <f t="shared" si="12"/>
        <v>961401.55389032012</v>
      </c>
      <c r="G53" s="394">
        <v>675</v>
      </c>
      <c r="H53" s="394">
        <f t="shared" si="13"/>
        <v>960726.55389032012</v>
      </c>
      <c r="I53" s="424">
        <f t="shared" si="14"/>
        <v>-2.1413276231263545E-3</v>
      </c>
      <c r="J53" s="424">
        <f t="shared" si="15"/>
        <v>3.221494994451124E-3</v>
      </c>
      <c r="K53" s="433"/>
      <c r="L53" s="394">
        <f t="shared" si="7"/>
        <v>23.299999999999976</v>
      </c>
      <c r="M53" s="394">
        <f t="shared" si="8"/>
        <v>1401.5538903201232</v>
      </c>
    </row>
    <row r="54" spans="2:13" ht="15" x14ac:dyDescent="0.25">
      <c r="B54" s="420">
        <f t="shared" si="9"/>
        <v>23.249999999999975</v>
      </c>
      <c r="C54" s="394">
        <f t="shared" si="10"/>
        <v>55751.755393150328</v>
      </c>
      <c r="D54" s="422">
        <v>6</v>
      </c>
      <c r="E54" s="421">
        <f t="shared" si="11"/>
        <v>17.249999999999975</v>
      </c>
      <c r="F54" s="394">
        <f t="shared" si="12"/>
        <v>961717.7805318418</v>
      </c>
      <c r="G54" s="394">
        <v>675</v>
      </c>
      <c r="H54" s="394">
        <f t="shared" si="13"/>
        <v>961042.7805318418</v>
      </c>
      <c r="I54" s="424">
        <f t="shared" si="14"/>
        <v>-2.1459227467811592E-3</v>
      </c>
      <c r="J54" s="424">
        <f t="shared" si="15"/>
        <v>3.2284266637800929E-3</v>
      </c>
      <c r="K54" s="433"/>
      <c r="L54" s="394">
        <f t="shared" si="7"/>
        <v>23.249999999999975</v>
      </c>
      <c r="M54" s="394">
        <f t="shared" si="8"/>
        <v>1717.7805318417959</v>
      </c>
    </row>
    <row r="55" spans="2:13" ht="15" x14ac:dyDescent="0.25">
      <c r="B55" s="420">
        <f t="shared" si="9"/>
        <v>23.199999999999974</v>
      </c>
      <c r="C55" s="394">
        <f t="shared" si="10"/>
        <v>55932.133966187874</v>
      </c>
      <c r="D55" s="422">
        <v>6</v>
      </c>
      <c r="E55" s="421">
        <f t="shared" si="11"/>
        <v>17.199999999999974</v>
      </c>
      <c r="F55" s="394">
        <f t="shared" si="12"/>
        <v>962032.70421842998</v>
      </c>
      <c r="G55" s="394">
        <v>675</v>
      </c>
      <c r="H55" s="394">
        <f t="shared" si="13"/>
        <v>961357.70421842998</v>
      </c>
      <c r="I55" s="424">
        <f t="shared" si="14"/>
        <v>-2.1505376344086446E-3</v>
      </c>
      <c r="J55" s="424">
        <f t="shared" si="15"/>
        <v>3.2353882270710344E-3</v>
      </c>
      <c r="K55" s="433"/>
      <c r="L55" s="394">
        <f t="shared" si="7"/>
        <v>23.199999999999974</v>
      </c>
      <c r="M55" s="394">
        <f t="shared" si="8"/>
        <v>2032.7042184299789</v>
      </c>
    </row>
    <row r="56" spans="2:13" ht="15" x14ac:dyDescent="0.25">
      <c r="B56" s="420">
        <f t="shared" si="9"/>
        <v>23.149999999999974</v>
      </c>
      <c r="C56" s="394">
        <f t="shared" si="10"/>
        <v>56113.487191900444</v>
      </c>
      <c r="D56" s="422">
        <v>6</v>
      </c>
      <c r="E56" s="421">
        <f t="shared" si="11"/>
        <v>17.149999999999974</v>
      </c>
      <c r="F56" s="394">
        <f t="shared" si="12"/>
        <v>962346.30534109112</v>
      </c>
      <c r="G56" s="394">
        <v>675</v>
      </c>
      <c r="H56" s="394">
        <f t="shared" si="13"/>
        <v>961671.30534109112</v>
      </c>
      <c r="I56" s="424">
        <f t="shared" si="14"/>
        <v>-2.1551724137931494E-3</v>
      </c>
      <c r="J56" s="424">
        <f t="shared" si="15"/>
        <v>3.2423798781251456E-3</v>
      </c>
      <c r="K56" s="433"/>
      <c r="L56" s="394">
        <f t="shared" si="7"/>
        <v>23.149999999999974</v>
      </c>
      <c r="M56" s="394">
        <f t="shared" si="8"/>
        <v>2346.3053410911234</v>
      </c>
    </row>
    <row r="57" spans="2:13" ht="15" x14ac:dyDescent="0.25">
      <c r="B57" s="420">
        <f t="shared" si="9"/>
        <v>23.099999999999973</v>
      </c>
      <c r="C57" s="394">
        <f t="shared" si="10"/>
        <v>56295.822458883187</v>
      </c>
      <c r="D57" s="422">
        <v>6</v>
      </c>
      <c r="E57" s="421">
        <f t="shared" si="11"/>
        <v>17.099999999999973</v>
      </c>
      <c r="F57" s="394">
        <f t="shared" si="12"/>
        <v>962658.56404690095</v>
      </c>
      <c r="G57" s="394">
        <v>675</v>
      </c>
      <c r="H57" s="394">
        <f t="shared" si="13"/>
        <v>961983.56404690095</v>
      </c>
      <c r="I57" s="424">
        <f t="shared" si="14"/>
        <v>-2.1598272138229069E-3</v>
      </c>
      <c r="J57" s="424">
        <f t="shared" si="15"/>
        <v>3.2494018124231694E-3</v>
      </c>
      <c r="K57" s="433"/>
      <c r="L57" s="394">
        <f t="shared" si="7"/>
        <v>23.099999999999973</v>
      </c>
      <c r="M57" s="394">
        <f t="shared" si="8"/>
        <v>2658.5640469009522</v>
      </c>
    </row>
    <row r="58" spans="2:13" ht="15" x14ac:dyDescent="0.25">
      <c r="B58" s="420">
        <f t="shared" si="9"/>
        <v>23.049999999999972</v>
      </c>
      <c r="C58" s="394">
        <f t="shared" si="10"/>
        <v>56479.147227899906</v>
      </c>
      <c r="D58" s="422">
        <v>6</v>
      </c>
      <c r="E58" s="421">
        <f t="shared" si="11"/>
        <v>17.049999999999972</v>
      </c>
      <c r="F58" s="394">
        <f t="shared" si="12"/>
        <v>962969.46023569186</v>
      </c>
      <c r="G58" s="394">
        <v>675</v>
      </c>
      <c r="H58" s="394">
        <f t="shared" si="13"/>
        <v>962294.46023569186</v>
      </c>
      <c r="I58" s="424">
        <f t="shared" si="14"/>
        <v>-2.1645021645021467E-3</v>
      </c>
      <c r="J58" s="424">
        <f t="shared" si="15"/>
        <v>3.2564542271429353E-3</v>
      </c>
      <c r="K58" s="433"/>
      <c r="L58" s="394">
        <f t="shared" si="7"/>
        <v>23.049999999999972</v>
      </c>
      <c r="M58" s="394">
        <f t="shared" si="8"/>
        <v>2969.4602356918622</v>
      </c>
    </row>
    <row r="59" spans="2:13" ht="15" x14ac:dyDescent="0.25">
      <c r="B59" s="420">
        <f t="shared" si="9"/>
        <v>22.999999999999972</v>
      </c>
      <c r="C59" s="394">
        <f t="shared" si="10"/>
        <v>56663.469032746456</v>
      </c>
      <c r="D59" s="422">
        <v>6</v>
      </c>
      <c r="E59" s="421">
        <f t="shared" si="11"/>
        <v>16.999999999999972</v>
      </c>
      <c r="F59" s="394">
        <f t="shared" si="12"/>
        <v>963278.97355668817</v>
      </c>
      <c r="G59" s="394">
        <v>675</v>
      </c>
      <c r="H59" s="394">
        <f t="shared" si="13"/>
        <v>962603.97355668817</v>
      </c>
      <c r="I59" s="424">
        <f t="shared" si="14"/>
        <v>-2.1691973969631961E-3</v>
      </c>
      <c r="J59" s="424">
        <f t="shared" si="15"/>
        <v>3.2635373211777896E-3</v>
      </c>
      <c r="K59" s="433"/>
      <c r="L59" s="394">
        <f t="shared" si="7"/>
        <v>22.999999999999972</v>
      </c>
      <c r="M59" s="394">
        <f t="shared" si="8"/>
        <v>3278.9735566881718</v>
      </c>
    </row>
    <row r="60" spans="2:13" ht="15" x14ac:dyDescent="0.25">
      <c r="B60" s="420">
        <f t="shared" si="9"/>
        <v>22.949999999999971</v>
      </c>
      <c r="C60" s="394">
        <f t="shared" si="10"/>
        <v>56848.795481126363</v>
      </c>
      <c r="D60" s="422">
        <v>6</v>
      </c>
      <c r="E60" s="421">
        <f t="shared" si="11"/>
        <v>16.949999999999971</v>
      </c>
      <c r="F60" s="394">
        <f t="shared" si="12"/>
        <v>963587.08340509015</v>
      </c>
      <c r="G60" s="394">
        <v>675</v>
      </c>
      <c r="H60" s="394">
        <f t="shared" si="13"/>
        <v>962912.08340509015</v>
      </c>
      <c r="I60" s="424">
        <f t="shared" si="14"/>
        <v>-2.1739130434782483E-3</v>
      </c>
      <c r="J60" s="424">
        <f t="shared" si="15"/>
        <v>3.2706512951545808E-3</v>
      </c>
      <c r="K60" s="433"/>
      <c r="L60" s="394">
        <f t="shared" si="7"/>
        <v>22.949999999999971</v>
      </c>
      <c r="M60" s="394">
        <f t="shared" si="8"/>
        <v>3587.0834050901467</v>
      </c>
    </row>
    <row r="61" spans="2:13" ht="15" x14ac:dyDescent="0.25">
      <c r="B61" s="420">
        <f t="shared" si="9"/>
        <v>22.89999999999997</v>
      </c>
      <c r="C61" s="394">
        <f t="shared" si="10"/>
        <v>57035.134255538956</v>
      </c>
      <c r="D61" s="422">
        <v>6</v>
      </c>
      <c r="E61" s="421">
        <f t="shared" si="11"/>
        <v>16.89999999999997</v>
      </c>
      <c r="F61" s="394">
        <f t="shared" si="12"/>
        <v>963893.76891860669</v>
      </c>
      <c r="G61" s="394">
        <v>675</v>
      </c>
      <c r="H61" s="394">
        <f t="shared" si="13"/>
        <v>963218.76891860669</v>
      </c>
      <c r="I61" s="424">
        <f t="shared" si="14"/>
        <v>-2.1786492374727962E-3</v>
      </c>
      <c r="J61" s="424">
        <f t="shared" si="15"/>
        <v>3.2777963514540875E-3</v>
      </c>
      <c r="K61" s="433"/>
      <c r="L61" s="394">
        <f t="shared" si="7"/>
        <v>22.89999999999997</v>
      </c>
      <c r="M61" s="394">
        <f t="shared" si="8"/>
        <v>3893.7689186066855</v>
      </c>
    </row>
    <row r="62" spans="2:13" ht="15" x14ac:dyDescent="0.25">
      <c r="B62" s="420">
        <f t="shared" si="9"/>
        <v>22.849999999999969</v>
      </c>
      <c r="C62" s="394">
        <f t="shared" si="10"/>
        <v>57222.493114180113</v>
      </c>
      <c r="D62" s="422">
        <v>6</v>
      </c>
      <c r="E62" s="421">
        <f t="shared" si="11"/>
        <v>16.849999999999969</v>
      </c>
      <c r="F62" s="394">
        <f t="shared" si="12"/>
        <v>964199.00897393317</v>
      </c>
      <c r="G62" s="394">
        <v>675</v>
      </c>
      <c r="H62" s="394">
        <f t="shared" si="13"/>
        <v>963524.00897393317</v>
      </c>
      <c r="I62" s="424">
        <f t="shared" si="14"/>
        <v>-2.1834061135371785E-3</v>
      </c>
      <c r="J62" s="424">
        <f t="shared" si="15"/>
        <v>3.2849726942294488E-3</v>
      </c>
      <c r="K62" s="433"/>
      <c r="L62" s="394">
        <f t="shared" si="7"/>
        <v>22.849999999999969</v>
      </c>
      <c r="M62" s="394">
        <f t="shared" si="8"/>
        <v>4199.0089739331743</v>
      </c>
    </row>
    <row r="63" spans="2:13" ht="15" x14ac:dyDescent="0.25">
      <c r="B63" s="420">
        <f t="shared" si="9"/>
        <v>22.799999999999969</v>
      </c>
      <c r="C63" s="394">
        <f t="shared" si="10"/>
        <v>57410.879891855766</v>
      </c>
      <c r="D63" s="422">
        <v>6</v>
      </c>
      <c r="E63" s="421">
        <f t="shared" si="11"/>
        <v>16.799999999999969</v>
      </c>
      <c r="F63" s="394">
        <f t="shared" si="12"/>
        <v>964502.78218317509</v>
      </c>
      <c r="G63" s="394">
        <v>675</v>
      </c>
      <c r="H63" s="394">
        <f t="shared" si="13"/>
        <v>963827.78218317509</v>
      </c>
      <c r="I63" s="424">
        <f t="shared" si="14"/>
        <v>-2.1881838074399029E-3</v>
      </c>
      <c r="J63" s="424">
        <f t="shared" si="15"/>
        <v>3.2921805294248152E-3</v>
      </c>
      <c r="K63" s="433"/>
      <c r="L63" s="394">
        <f t="shared" si="7"/>
        <v>22.799999999999969</v>
      </c>
      <c r="M63" s="394">
        <f t="shared" si="8"/>
        <v>4502.7821831750916</v>
      </c>
    </row>
    <row r="64" spans="2:13" ht="15" x14ac:dyDescent="0.25">
      <c r="B64" s="420">
        <f t="shared" si="9"/>
        <v>22.749999999999968</v>
      </c>
      <c r="C64" s="394">
        <f t="shared" si="10"/>
        <v>57600.302500908583</v>
      </c>
      <c r="D64" s="422">
        <v>6</v>
      </c>
      <c r="E64" s="421">
        <f t="shared" si="11"/>
        <v>16.749999999999968</v>
      </c>
      <c r="F64" s="394">
        <f t="shared" si="12"/>
        <v>964805.0668902169</v>
      </c>
      <c r="G64" s="394">
        <v>675</v>
      </c>
      <c r="H64" s="394">
        <f t="shared" si="13"/>
        <v>964130.0668902169</v>
      </c>
      <c r="I64" s="424">
        <f t="shared" si="14"/>
        <v>-2.1929824561404132E-3</v>
      </c>
      <c r="J64" s="424">
        <f t="shared" si="15"/>
        <v>3.2994200647966654E-3</v>
      </c>
      <c r="K64" s="433"/>
      <c r="L64" s="394">
        <f t="shared" si="7"/>
        <v>22.749999999999968</v>
      </c>
      <c r="M64" s="394">
        <f t="shared" si="8"/>
        <v>4805.0668902168982</v>
      </c>
    </row>
    <row r="65" spans="2:13" ht="15" x14ac:dyDescent="0.25">
      <c r="B65" s="420">
        <f t="shared" si="9"/>
        <v>22.699999999999967</v>
      </c>
      <c r="C65" s="394">
        <f t="shared" si="10"/>
        <v>57790.76893215788</v>
      </c>
      <c r="D65" s="422">
        <v>6</v>
      </c>
      <c r="E65" s="421">
        <f t="shared" si="11"/>
        <v>16.699999999999967</v>
      </c>
      <c r="F65" s="394">
        <f t="shared" si="12"/>
        <v>965105.8411670347</v>
      </c>
      <c r="G65" s="394">
        <v>675</v>
      </c>
      <c r="H65" s="394">
        <f t="shared" si="13"/>
        <v>964430.8411670347</v>
      </c>
      <c r="I65" s="424">
        <f t="shared" si="14"/>
        <v>-2.19780219780219E-3</v>
      </c>
      <c r="J65" s="424">
        <f t="shared" si="15"/>
        <v>3.3066915099324579E-3</v>
      </c>
      <c r="K65" s="433"/>
      <c r="L65" s="394">
        <f t="shared" si="7"/>
        <v>22.699999999999967</v>
      </c>
      <c r="M65" s="394">
        <f t="shared" si="8"/>
        <v>5105.8411670346977</v>
      </c>
    </row>
    <row r="66" spans="2:13" ht="15" x14ac:dyDescent="0.25">
      <c r="B66" s="420">
        <f t="shared" si="9"/>
        <v>22.649999999999967</v>
      </c>
      <c r="C66" s="394">
        <f t="shared" si="10"/>
        <v>57982.287255852993</v>
      </c>
      <c r="D66" s="422">
        <v>6</v>
      </c>
      <c r="E66" s="421">
        <f t="shared" si="11"/>
        <v>16.649999999999967</v>
      </c>
      <c r="F66" s="394">
        <f t="shared" si="12"/>
        <v>965405.08280995034</v>
      </c>
      <c r="G66" s="394">
        <v>675</v>
      </c>
      <c r="H66" s="394">
        <f t="shared" si="13"/>
        <v>964730.08280995034</v>
      </c>
      <c r="I66" s="424">
        <f t="shared" si="14"/>
        <v>-2.2026431718061845E-3</v>
      </c>
      <c r="J66" s="424">
        <f t="shared" si="15"/>
        <v>3.3139950762715031E-3</v>
      </c>
      <c r="K66" s="433"/>
      <c r="L66" s="394">
        <f t="shared" si="7"/>
        <v>22.649999999999967</v>
      </c>
      <c r="M66" s="394">
        <f t="shared" si="8"/>
        <v>5405.0828099503415</v>
      </c>
    </row>
    <row r="67" spans="2:13" ht="15" x14ac:dyDescent="0.25">
      <c r="B67" s="420">
        <f t="shared" si="9"/>
        <v>22.599999999999966</v>
      </c>
      <c r="C67" s="394">
        <f t="shared" si="10"/>
        <v>58174.865622640449</v>
      </c>
      <c r="D67" s="422">
        <v>6</v>
      </c>
      <c r="E67" s="421">
        <f t="shared" si="11"/>
        <v>16.599999999999966</v>
      </c>
      <c r="F67" s="394">
        <f t="shared" si="12"/>
        <v>965702.76933582942</v>
      </c>
      <c r="G67" s="394">
        <v>675</v>
      </c>
      <c r="H67" s="394">
        <f t="shared" si="13"/>
        <v>965027.76933582942</v>
      </c>
      <c r="I67" s="424">
        <f t="shared" si="14"/>
        <v>-2.2075055187638082E-3</v>
      </c>
      <c r="J67" s="424">
        <f t="shared" si="15"/>
        <v>3.3213309771256139E-3</v>
      </c>
      <c r="K67" s="433"/>
      <c r="L67" s="394">
        <f t="shared" si="7"/>
        <v>22.599999999999966</v>
      </c>
      <c r="M67" s="394">
        <f t="shared" si="8"/>
        <v>5702.76933582942</v>
      </c>
    </row>
    <row r="68" spans="2:13" ht="15" x14ac:dyDescent="0.25">
      <c r="B68" s="420">
        <f t="shared" si="9"/>
        <v>22.549999999999965</v>
      </c>
      <c r="C68" s="394">
        <f t="shared" si="10"/>
        <v>58368.512264544981</v>
      </c>
      <c r="D68" s="422">
        <v>6</v>
      </c>
      <c r="E68" s="421">
        <f t="shared" si="11"/>
        <v>16.549999999999965</v>
      </c>
      <c r="F68" s="394">
        <f t="shared" si="12"/>
        <v>965998.87797821744</v>
      </c>
      <c r="G68" s="394">
        <v>675</v>
      </c>
      <c r="H68" s="394">
        <f t="shared" si="13"/>
        <v>965323.87797821744</v>
      </c>
      <c r="I68" s="424">
        <f t="shared" si="14"/>
        <v>-2.2123893805310324E-3</v>
      </c>
      <c r="J68" s="424">
        <f t="shared" si="15"/>
        <v>3.3286994276986448E-3</v>
      </c>
      <c r="K68" s="433"/>
      <c r="L68" s="394">
        <f t="shared" si="7"/>
        <v>22.549999999999965</v>
      </c>
      <c r="M68" s="394">
        <f t="shared" si="8"/>
        <v>5998.8779782174388</v>
      </c>
    </row>
    <row r="69" spans="2:13" ht="15" x14ac:dyDescent="0.25">
      <c r="B69" s="420">
        <f t="shared" si="9"/>
        <v>22.499999999999964</v>
      </c>
      <c r="C69" s="394">
        <f t="shared" si="10"/>
        <v>58563.2354959648</v>
      </c>
      <c r="D69" s="422">
        <v>6</v>
      </c>
      <c r="E69" s="421">
        <f t="shared" si="11"/>
        <v>16.499999999999964</v>
      </c>
      <c r="F69" s="394">
        <f t="shared" si="12"/>
        <v>966293.38568341709</v>
      </c>
      <c r="G69" s="394">
        <v>675</v>
      </c>
      <c r="H69" s="394">
        <f t="shared" si="13"/>
        <v>965618.38568341709</v>
      </c>
      <c r="I69" s="424">
        <f t="shared" si="14"/>
        <v>-2.2172949002217113E-3</v>
      </c>
      <c r="J69" s="424">
        <f t="shared" si="15"/>
        <v>3.3361006451093633E-3</v>
      </c>
      <c r="K69" s="433"/>
      <c r="L69" s="394">
        <f t="shared" si="7"/>
        <v>22.499999999999964</v>
      </c>
      <c r="M69" s="394">
        <f t="shared" si="8"/>
        <v>6293.3856834170874</v>
      </c>
    </row>
    <row r="70" spans="2:13" ht="15" x14ac:dyDescent="0.25">
      <c r="B70" s="420">
        <f t="shared" si="9"/>
        <v>22.449999999999964</v>
      </c>
      <c r="C70" s="394">
        <f t="shared" si="10"/>
        <v>58759.043714681298</v>
      </c>
      <c r="D70" s="422">
        <v>6</v>
      </c>
      <c r="E70" s="421">
        <f t="shared" si="11"/>
        <v>16.449999999999964</v>
      </c>
      <c r="F70" s="394">
        <f t="shared" si="12"/>
        <v>966586.26910650521</v>
      </c>
      <c r="G70" s="394">
        <v>675</v>
      </c>
      <c r="H70" s="394">
        <f t="shared" si="13"/>
        <v>965911.26910650521</v>
      </c>
      <c r="I70" s="424">
        <f t="shared" si="14"/>
        <v>-2.2222222222222365E-3</v>
      </c>
      <c r="J70" s="424">
        <f t="shared" si="15"/>
        <v>3.3435348484116556E-3</v>
      </c>
      <c r="K70" s="433"/>
      <c r="L70" s="394">
        <f t="shared" si="7"/>
        <v>22.449999999999964</v>
      </c>
      <c r="M70" s="394">
        <f t="shared" si="8"/>
        <v>6586.2691065052059</v>
      </c>
    </row>
    <row r="71" spans="2:13" ht="15" x14ac:dyDescent="0.25">
      <c r="B71" s="420">
        <f t="shared" si="9"/>
        <v>22.399999999999963</v>
      </c>
      <c r="C71" s="394">
        <f t="shared" si="10"/>
        <v>58955.945402883299</v>
      </c>
      <c r="D71" s="422">
        <v>6</v>
      </c>
      <c r="E71" s="421">
        <f t="shared" si="11"/>
        <v>16.399999999999963</v>
      </c>
      <c r="F71" s="394">
        <f t="shared" si="12"/>
        <v>966877.50460728398</v>
      </c>
      <c r="G71" s="394">
        <v>675</v>
      </c>
      <c r="H71" s="394">
        <f t="shared" si="13"/>
        <v>966202.50460728398</v>
      </c>
      <c r="I71" s="424">
        <f t="shared" si="14"/>
        <v>-2.2271714922049712E-3</v>
      </c>
      <c r="J71" s="424">
        <f t="shared" si="15"/>
        <v>3.3510022586158428E-3</v>
      </c>
      <c r="K71" s="433"/>
      <c r="L71" s="394">
        <f t="shared" si="7"/>
        <v>22.399999999999963</v>
      </c>
      <c r="M71" s="394">
        <f t="shared" si="8"/>
        <v>6877.5046072839759</v>
      </c>
    </row>
    <row r="72" spans="2:13" ht="15" x14ac:dyDescent="0.25">
      <c r="B72" s="420">
        <f t="shared" si="9"/>
        <v>22.349999999999962</v>
      </c>
      <c r="C72" s="394">
        <f t="shared" si="10"/>
        <v>59153.949128206354</v>
      </c>
      <c r="D72" s="422">
        <v>6</v>
      </c>
      <c r="E72" s="421">
        <f t="shared" si="11"/>
        <v>16.349999999999962</v>
      </c>
      <c r="F72" s="394">
        <f t="shared" si="12"/>
        <v>967167.06824617169</v>
      </c>
      <c r="G72" s="394">
        <v>675</v>
      </c>
      <c r="H72" s="394">
        <f t="shared" si="13"/>
        <v>966492.06824617169</v>
      </c>
      <c r="I72" s="424">
        <f t="shared" si="14"/>
        <v>-2.2321428571429047E-3</v>
      </c>
      <c r="J72" s="424">
        <f t="shared" si="15"/>
        <v>3.3585030987115516E-3</v>
      </c>
      <c r="K72" s="433"/>
      <c r="L72" s="394">
        <f t="shared" si="7"/>
        <v>22.349999999999962</v>
      </c>
      <c r="M72" s="394">
        <f t="shared" si="8"/>
        <v>7167.0682461716933</v>
      </c>
    </row>
    <row r="73" spans="2:13" ht="15" x14ac:dyDescent="0.25">
      <c r="B73" s="420">
        <f t="shared" si="9"/>
        <v>22.299999999999962</v>
      </c>
      <c r="C73" s="394">
        <f t="shared" si="10"/>
        <v>59353.063544787066</v>
      </c>
      <c r="D73" s="422">
        <v>6</v>
      </c>
      <c r="E73" s="421">
        <f t="shared" si="11"/>
        <v>16.299999999999962</v>
      </c>
      <c r="F73" s="394">
        <f t="shared" si="12"/>
        <v>967454.93578002695</v>
      </c>
      <c r="G73" s="394">
        <v>675</v>
      </c>
      <c r="H73" s="394">
        <f t="shared" si="13"/>
        <v>966779.93578002695</v>
      </c>
      <c r="I73" s="424">
        <f t="shared" si="14"/>
        <v>-2.2371364653244186E-3</v>
      </c>
      <c r="J73" s="424">
        <f t="shared" si="15"/>
        <v>3.3660375936890308E-3</v>
      </c>
      <c r="K73" s="433"/>
      <c r="L73" s="394">
        <f t="shared" si="7"/>
        <v>22.299999999999962</v>
      </c>
      <c r="M73" s="394">
        <f t="shared" si="8"/>
        <v>7454.9357800269499</v>
      </c>
    </row>
    <row r="74" spans="2:13" ht="15" x14ac:dyDescent="0.25">
      <c r="B74" s="420">
        <f t="shared" si="9"/>
        <v>22.249999999999961</v>
      </c>
      <c r="C74" s="394">
        <f t="shared" si="10"/>
        <v>59553.297394332934</v>
      </c>
      <c r="D74" s="422">
        <v>6</v>
      </c>
      <c r="E74" s="421">
        <f t="shared" si="11"/>
        <v>16.249999999999961</v>
      </c>
      <c r="F74" s="394">
        <f t="shared" si="12"/>
        <v>967741.08265790786</v>
      </c>
      <c r="G74" s="394">
        <v>675</v>
      </c>
      <c r="H74" s="394">
        <f t="shared" si="13"/>
        <v>967066.08265790786</v>
      </c>
      <c r="I74" s="424">
        <f t="shared" si="14"/>
        <v>-2.2421524663677195E-3</v>
      </c>
      <c r="J74" s="424">
        <f t="shared" si="15"/>
        <v>3.3736059705624655E-3</v>
      </c>
      <c r="K74" s="433"/>
      <c r="L74" s="394">
        <f t="shared" si="7"/>
        <v>22.249999999999961</v>
      </c>
      <c r="M74" s="394">
        <f t="shared" si="8"/>
        <v>7741.0826579078566</v>
      </c>
    </row>
    <row r="75" spans="2:13" ht="15" x14ac:dyDescent="0.25">
      <c r="B75" s="420">
        <f t="shared" si="9"/>
        <v>22.19999999999996</v>
      </c>
      <c r="C75" s="394">
        <f t="shared" si="10"/>
        <v>59754.659507207798</v>
      </c>
      <c r="D75" s="422">
        <v>6</v>
      </c>
      <c r="E75" s="421">
        <f t="shared" si="11"/>
        <v>16.19999999999996</v>
      </c>
      <c r="F75" s="394">
        <f t="shared" si="12"/>
        <v>968025.48401676398</v>
      </c>
      <c r="G75" s="394">
        <v>675</v>
      </c>
      <c r="H75" s="394">
        <f t="shared" si="13"/>
        <v>967350.48401676398</v>
      </c>
      <c r="I75" s="424">
        <f t="shared" si="14"/>
        <v>-2.2471910112359383E-3</v>
      </c>
      <c r="J75" s="424">
        <f t="shared" si="15"/>
        <v>3.381208458392182E-3</v>
      </c>
      <c r="K75" s="433"/>
      <c r="L75" s="394">
        <f t="shared" si="7"/>
        <v>22.19999999999996</v>
      </c>
      <c r="M75" s="394">
        <f t="shared" si="8"/>
        <v>8025.4840167639777</v>
      </c>
    </row>
    <row r="76" spans="2:13" ht="15" x14ac:dyDescent="0.25">
      <c r="B76" s="420">
        <f t="shared" si="9"/>
        <v>22.149999999999959</v>
      </c>
      <c r="C76" s="394">
        <f t="shared" si="10"/>
        <v>59957.158803533275</v>
      </c>
      <c r="D76" s="422">
        <v>6</v>
      </c>
      <c r="E76" s="421">
        <f t="shared" si="11"/>
        <v>16.149999999999959</v>
      </c>
      <c r="F76" s="394">
        <f t="shared" si="12"/>
        <v>968308.11467705993</v>
      </c>
      <c r="G76" s="394">
        <v>675</v>
      </c>
      <c r="H76" s="394">
        <f t="shared" si="13"/>
        <v>967633.11467705993</v>
      </c>
      <c r="I76" s="424">
        <f t="shared" si="14"/>
        <v>-2.2522522522523403E-3</v>
      </c>
      <c r="J76" s="424">
        <f t="shared" si="15"/>
        <v>3.3888452883084064E-3</v>
      </c>
      <c r="K76" s="433"/>
      <c r="L76" s="394">
        <f t="shared" si="7"/>
        <v>22.149999999999959</v>
      </c>
      <c r="M76" s="394">
        <f t="shared" si="8"/>
        <v>8308.1146770599298</v>
      </c>
    </row>
    <row r="77" spans="2:13" ht="15" x14ac:dyDescent="0.25">
      <c r="B77" s="420">
        <f t="shared" si="9"/>
        <v>22.099999999999959</v>
      </c>
      <c r="C77" s="394">
        <f t="shared" si="10"/>
        <v>60160.804294306276</v>
      </c>
      <c r="D77" s="422">
        <v>6</v>
      </c>
      <c r="E77" s="421">
        <f t="shared" si="11"/>
        <v>16.099999999999959</v>
      </c>
      <c r="F77" s="394">
        <f t="shared" si="12"/>
        <v>968588.94913832855</v>
      </c>
      <c r="G77" s="394">
        <v>675</v>
      </c>
      <c r="H77" s="394">
        <f t="shared" si="13"/>
        <v>967913.94913832855</v>
      </c>
      <c r="I77" s="424">
        <f t="shared" si="14"/>
        <v>-2.2573363431152016E-3</v>
      </c>
      <c r="J77" s="424">
        <f t="shared" si="15"/>
        <v>3.3965166935328028E-3</v>
      </c>
      <c r="K77" s="433"/>
      <c r="L77" s="394">
        <f t="shared" si="7"/>
        <v>22.099999999999959</v>
      </c>
      <c r="M77" s="394">
        <f t="shared" si="8"/>
        <v>8588.9491383285495</v>
      </c>
    </row>
    <row r="78" spans="2:13" ht="15" x14ac:dyDescent="0.25">
      <c r="B78" s="420">
        <f t="shared" si="9"/>
        <v>22.049999999999958</v>
      </c>
      <c r="C78" s="394">
        <f t="shared" si="10"/>
        <v>60365.605082533177</v>
      </c>
      <c r="D78" s="422">
        <v>6</v>
      </c>
      <c r="E78" s="421">
        <f t="shared" si="11"/>
        <v>16.049999999999958</v>
      </c>
      <c r="F78" s="394">
        <f t="shared" si="12"/>
        <v>968867.96157465491</v>
      </c>
      <c r="G78" s="394">
        <v>675</v>
      </c>
      <c r="H78" s="394">
        <f t="shared" si="13"/>
        <v>968192.96157465491</v>
      </c>
      <c r="I78" s="424">
        <f t="shared" si="14"/>
        <v>-2.2624434389140191E-3</v>
      </c>
      <c r="J78" s="424">
        <f t="shared" si="15"/>
        <v>3.404222909404897E-3</v>
      </c>
      <c r="K78" s="433"/>
      <c r="L78" s="394">
        <f t="shared" si="7"/>
        <v>22.049999999999958</v>
      </c>
      <c r="M78" s="394">
        <f t="shared" si="8"/>
        <v>8867.9615746549098</v>
      </c>
    </row>
    <row r="79" spans="2:13" ht="15" x14ac:dyDescent="0.25">
      <c r="B79" s="420">
        <f t="shared" si="9"/>
        <v>21.999999999999957</v>
      </c>
      <c r="C79" s="394">
        <f t="shared" si="10"/>
        <v>60571.570364380706</v>
      </c>
      <c r="D79" s="422">
        <v>6</v>
      </c>
      <c r="E79" s="421">
        <f t="shared" si="11"/>
        <v>15.999999999999957</v>
      </c>
      <c r="F79" s="394">
        <f t="shared" si="12"/>
        <v>969145.12583008874</v>
      </c>
      <c r="G79" s="394">
        <v>675</v>
      </c>
      <c r="H79" s="394">
        <f t="shared" si="13"/>
        <v>968470.12583008874</v>
      </c>
      <c r="I79" s="424">
        <f t="shared" si="14"/>
        <v>-2.2675736961451642E-3</v>
      </c>
      <c r="J79" s="424">
        <f t="shared" si="15"/>
        <v>3.4119641734051687E-3</v>
      </c>
      <c r="K79" s="433"/>
      <c r="L79" s="394">
        <f t="shared" si="7"/>
        <v>21.999999999999957</v>
      </c>
      <c r="M79" s="394">
        <f t="shared" si="8"/>
        <v>9145.1258300887421</v>
      </c>
    </row>
    <row r="80" spans="2:13" ht="15" x14ac:dyDescent="0.25">
      <c r="B80" s="420">
        <f t="shared" si="9"/>
        <v>21.949999999999957</v>
      </c>
      <c r="C80" s="394">
        <f t="shared" si="10"/>
        <v>60778.709430343748</v>
      </c>
      <c r="D80" s="422">
        <v>6</v>
      </c>
      <c r="E80" s="421">
        <f t="shared" si="11"/>
        <v>15.949999999999957</v>
      </c>
      <c r="F80" s="394">
        <f t="shared" si="12"/>
        <v>969420.41541398014</v>
      </c>
      <c r="G80" s="394">
        <v>675</v>
      </c>
      <c r="H80" s="394">
        <f t="shared" si="13"/>
        <v>968745.41541398014</v>
      </c>
      <c r="I80" s="424">
        <f t="shared" si="14"/>
        <v>-2.2727272727273151E-3</v>
      </c>
      <c r="J80" s="424">
        <f t="shared" si="15"/>
        <v>3.4197407251777001E-3</v>
      </c>
      <c r="K80" s="433"/>
      <c r="L80" s="394">
        <f t="shared" si="7"/>
        <v>21.949999999999957</v>
      </c>
      <c r="M80" s="394">
        <f t="shared" si="8"/>
        <v>9420.4154139801394</v>
      </c>
    </row>
    <row r="81" spans="2:13" ht="15" x14ac:dyDescent="0.25">
      <c r="B81" s="420">
        <f t="shared" si="9"/>
        <v>21.899999999999956</v>
      </c>
      <c r="C81" s="394">
        <f t="shared" si="10"/>
        <v>60987.031666430681</v>
      </c>
      <c r="D81" s="422">
        <v>6</v>
      </c>
      <c r="E81" s="421">
        <f t="shared" si="11"/>
        <v>15.899999999999956</v>
      </c>
      <c r="F81" s="394">
        <f t="shared" si="12"/>
        <v>969693.80349624518</v>
      </c>
      <c r="G81" s="394">
        <v>675</v>
      </c>
      <c r="H81" s="394">
        <f t="shared" si="13"/>
        <v>969018.80349624518</v>
      </c>
      <c r="I81" s="424">
        <f t="shared" si="14"/>
        <v>-2.277904328018221E-3</v>
      </c>
      <c r="J81" s="424">
        <f t="shared" si="15"/>
        <v>3.4275528065577099E-3</v>
      </c>
      <c r="K81" s="433"/>
      <c r="L81" s="394">
        <f t="shared" si="7"/>
        <v>21.899999999999956</v>
      </c>
      <c r="M81" s="394">
        <f t="shared" si="8"/>
        <v>9693.8034962451784</v>
      </c>
    </row>
    <row r="82" spans="2:13" ht="15" x14ac:dyDescent="0.25">
      <c r="B82" s="420">
        <f t="shared" si="9"/>
        <v>21.849999999999955</v>
      </c>
      <c r="C82" s="394">
        <f t="shared" si="10"/>
        <v>61196.546555366243</v>
      </c>
      <c r="D82" s="422">
        <v>6</v>
      </c>
      <c r="E82" s="421">
        <f t="shared" si="11"/>
        <v>15.849999999999955</v>
      </c>
      <c r="F82" s="394">
        <f t="shared" si="12"/>
        <v>969965.26290255226</v>
      </c>
      <c r="G82" s="394">
        <v>675</v>
      </c>
      <c r="H82" s="394">
        <f t="shared" si="13"/>
        <v>969290.26290255226</v>
      </c>
      <c r="I82" s="424">
        <f t="shared" si="14"/>
        <v>-2.2831050228311334E-3</v>
      </c>
      <c r="J82" s="424">
        <f t="shared" si="15"/>
        <v>3.4354006615948673E-3</v>
      </c>
      <c r="K82" s="433"/>
      <c r="L82" s="394">
        <f t="shared" si="7"/>
        <v>21.849999999999955</v>
      </c>
      <c r="M82" s="394">
        <f t="shared" si="8"/>
        <v>9965.2629025522619</v>
      </c>
    </row>
    <row r="83" spans="2:13" ht="15" x14ac:dyDescent="0.25">
      <c r="B83" s="420">
        <f t="shared" si="9"/>
        <v>21.799999999999955</v>
      </c>
      <c r="C83" s="394">
        <f t="shared" si="10"/>
        <v>61407.263677812334</v>
      </c>
      <c r="D83" s="422">
        <v>6</v>
      </c>
      <c r="E83" s="421">
        <f t="shared" si="11"/>
        <v>15.799999999999955</v>
      </c>
      <c r="F83" s="394">
        <f t="shared" si="12"/>
        <v>970234.76610943209</v>
      </c>
      <c r="G83" s="394">
        <v>675</v>
      </c>
      <c r="H83" s="394">
        <f t="shared" si="13"/>
        <v>969559.76610943209</v>
      </c>
      <c r="I83" s="424">
        <f t="shared" si="14"/>
        <v>-2.2883295194507935E-3</v>
      </c>
      <c r="J83" s="424">
        <f t="shared" si="15"/>
        <v>3.4432845365783837E-3</v>
      </c>
      <c r="K83" s="433"/>
      <c r="L83" s="394">
        <f t="shared" si="7"/>
        <v>21.799999999999955</v>
      </c>
      <c r="M83" s="394">
        <f t="shared" si="8"/>
        <v>10234.766109432094</v>
      </c>
    </row>
    <row r="84" spans="2:13" ht="15" x14ac:dyDescent="0.25">
      <c r="B84" s="420">
        <f t="shared" si="9"/>
        <v>21.749999999999954</v>
      </c>
      <c r="C84" s="394">
        <f t="shared" si="10"/>
        <v>61619.192713607161</v>
      </c>
      <c r="D84" s="422">
        <v>6</v>
      </c>
      <c r="E84" s="421">
        <f t="shared" si="11"/>
        <v>15.749999999999954</v>
      </c>
      <c r="F84" s="394">
        <f t="shared" si="12"/>
        <v>970502.28523930989</v>
      </c>
      <c r="G84" s="394">
        <v>675</v>
      </c>
      <c r="H84" s="394">
        <f t="shared" si="13"/>
        <v>969827.28523930989</v>
      </c>
      <c r="I84" s="424">
        <f t="shared" si="14"/>
        <v>-2.2935779816514179E-3</v>
      </c>
      <c r="J84" s="424">
        <f t="shared" si="15"/>
        <v>3.4512046800645457E-3</v>
      </c>
      <c r="K84" s="433"/>
      <c r="L84" s="394">
        <f t="shared" ref="L84:L147" si="16">+B84</f>
        <v>21.749999999999954</v>
      </c>
      <c r="M84" s="394">
        <f t="shared" ref="M84:M147" si="17">+F84-960000</f>
        <v>10502.285239309887</v>
      </c>
    </row>
    <row r="85" spans="2:13" ht="15" x14ac:dyDescent="0.25">
      <c r="B85" s="420">
        <f t="shared" ref="B85:B148" si="18">+B84-0.05</f>
        <v>21.699999999999953</v>
      </c>
      <c r="C85" s="394">
        <f t="shared" ref="C85:C148" si="19">+C84*(1+J85)</f>
        <v>61832.343443022844</v>
      </c>
      <c r="D85" s="422">
        <v>6</v>
      </c>
      <c r="E85" s="421">
        <f t="shared" ref="E85:E148" si="20">+B85-D85</f>
        <v>15.699999999999953</v>
      </c>
      <c r="F85" s="394">
        <f t="shared" ref="F85:F148" si="21">+E85*C85</f>
        <v>970767.79205545573</v>
      </c>
      <c r="G85" s="394">
        <v>675</v>
      </c>
      <c r="H85" s="394">
        <f t="shared" ref="H85:H148" si="22">+F85-G85</f>
        <v>970092.79205545573</v>
      </c>
      <c r="I85" s="424">
        <f t="shared" ref="I85:I148" si="23">+B85/B84-1</f>
        <v>-2.2988505747126853E-3</v>
      </c>
      <c r="J85" s="424">
        <f t="shared" ref="J85:J148" si="24">+(1+I85)^$E$14-1</f>
        <v>3.4591613429011403E-3</v>
      </c>
      <c r="K85" s="433"/>
      <c r="L85" s="394">
        <f t="shared" si="16"/>
        <v>21.699999999999953</v>
      </c>
      <c r="M85" s="394">
        <f t="shared" si="17"/>
        <v>10767.792055455735</v>
      </c>
    </row>
    <row r="86" spans="2:13" ht="15" x14ac:dyDescent="0.25">
      <c r="B86" s="420">
        <f t="shared" si="18"/>
        <v>21.649999999999952</v>
      </c>
      <c r="C86" s="394">
        <f t="shared" si="19"/>
        <v>62046.725748042038</v>
      </c>
      <c r="D86" s="422">
        <v>6</v>
      </c>
      <c r="E86" s="421">
        <f t="shared" si="20"/>
        <v>15.649999999999952</v>
      </c>
      <c r="F86" s="394">
        <f t="shared" si="21"/>
        <v>971031.25795685488</v>
      </c>
      <c r="G86" s="394">
        <v>675</v>
      </c>
      <c r="H86" s="394">
        <f t="shared" si="22"/>
        <v>970356.25795685488</v>
      </c>
      <c r="I86" s="424">
        <f t="shared" si="23"/>
        <v>-2.3041474654378336E-3</v>
      </c>
      <c r="J86" s="424">
        <f t="shared" si="24"/>
        <v>3.4671547782552103E-3</v>
      </c>
      <c r="K86" s="433"/>
      <c r="L86" s="394">
        <f t="shared" si="16"/>
        <v>21.649999999999952</v>
      </c>
      <c r="M86" s="394">
        <f t="shared" si="17"/>
        <v>11031.257956854883</v>
      </c>
    </row>
    <row r="87" spans="2:13" ht="15" x14ac:dyDescent="0.25">
      <c r="B87" s="420">
        <f t="shared" si="18"/>
        <v>21.599999999999952</v>
      </c>
      <c r="C87" s="394">
        <f t="shared" si="19"/>
        <v>62262.34961365362</v>
      </c>
      <c r="D87" s="422">
        <v>6</v>
      </c>
      <c r="E87" s="421">
        <f t="shared" si="20"/>
        <v>15.599999999999952</v>
      </c>
      <c r="F87" s="394">
        <f t="shared" si="21"/>
        <v>971292.65397299349</v>
      </c>
      <c r="G87" s="394">
        <v>675</v>
      </c>
      <c r="H87" s="394">
        <f t="shared" si="22"/>
        <v>970617.65397299349</v>
      </c>
      <c r="I87" s="424">
        <f t="shared" si="23"/>
        <v>-2.3094688221709792E-3</v>
      </c>
      <c r="J87" s="424">
        <f t="shared" si="24"/>
        <v>3.4751852416383677E-3</v>
      </c>
      <c r="K87" s="433"/>
      <c r="L87" s="394">
        <f t="shared" si="16"/>
        <v>21.599999999999952</v>
      </c>
      <c r="M87" s="394">
        <f t="shared" si="17"/>
        <v>11292.653972993488</v>
      </c>
    </row>
    <row r="88" spans="2:13" ht="15" x14ac:dyDescent="0.25">
      <c r="B88" s="420">
        <f t="shared" si="18"/>
        <v>21.549999999999951</v>
      </c>
      <c r="C88" s="394">
        <f t="shared" si="19"/>
        <v>62479.225129168044</v>
      </c>
      <c r="D88" s="422">
        <v>6</v>
      </c>
      <c r="E88" s="421">
        <f t="shared" si="20"/>
        <v>15.549999999999951</v>
      </c>
      <c r="F88" s="394">
        <f t="shared" si="21"/>
        <v>971551.95075855998</v>
      </c>
      <c r="G88" s="394">
        <v>675</v>
      </c>
      <c r="H88" s="394">
        <f t="shared" si="22"/>
        <v>970876.95075855998</v>
      </c>
      <c r="I88" s="424">
        <f t="shared" si="23"/>
        <v>-2.3148148148148806E-3</v>
      </c>
      <c r="J88" s="424">
        <f t="shared" si="24"/>
        <v>3.4832529909354371E-3</v>
      </c>
      <c r="K88" s="433"/>
      <c r="L88" s="394">
        <f t="shared" si="16"/>
        <v>21.549999999999951</v>
      </c>
      <c r="M88" s="394">
        <f t="shared" si="17"/>
        <v>11551.950758559979</v>
      </c>
    </row>
    <row r="89" spans="2:13" ht="15" x14ac:dyDescent="0.25">
      <c r="B89" s="420">
        <f t="shared" si="18"/>
        <v>21.49999999999995</v>
      </c>
      <c r="C89" s="394">
        <f t="shared" si="19"/>
        <v>62697.36248955263</v>
      </c>
      <c r="D89" s="422">
        <v>6</v>
      </c>
      <c r="E89" s="421">
        <f t="shared" si="20"/>
        <v>15.49999999999995</v>
      </c>
      <c r="F89" s="394">
        <f t="shared" si="21"/>
        <v>971809.1185880627</v>
      </c>
      <c r="G89" s="394">
        <v>675</v>
      </c>
      <c r="H89" s="394">
        <f t="shared" si="22"/>
        <v>971134.1185880627</v>
      </c>
      <c r="I89" s="424">
        <f t="shared" si="23"/>
        <v>-2.3201856148492572E-3</v>
      </c>
      <c r="J89" s="424">
        <f t="shared" si="24"/>
        <v>3.4913582864322112E-3</v>
      </c>
      <c r="K89" s="433"/>
      <c r="L89" s="394">
        <f t="shared" si="16"/>
        <v>21.49999999999995</v>
      </c>
      <c r="M89" s="394">
        <f t="shared" si="17"/>
        <v>11809.118588062702</v>
      </c>
    </row>
    <row r="90" spans="2:13" ht="15" x14ac:dyDescent="0.25">
      <c r="B90" s="420">
        <f t="shared" si="18"/>
        <v>21.44999999999995</v>
      </c>
      <c r="C90" s="394">
        <f t="shared" si="19"/>
        <v>62916.771996786905</v>
      </c>
      <c r="D90" s="422">
        <v>6</v>
      </c>
      <c r="E90" s="421">
        <f t="shared" si="20"/>
        <v>15.44999999999995</v>
      </c>
      <c r="F90" s="394">
        <f t="shared" si="21"/>
        <v>972064.12735035457</v>
      </c>
      <c r="G90" s="394">
        <v>675</v>
      </c>
      <c r="H90" s="394">
        <f t="shared" si="22"/>
        <v>971389.12735035457</v>
      </c>
      <c r="I90" s="424">
        <f t="shared" si="23"/>
        <v>-2.3255813953488857E-3</v>
      </c>
      <c r="J90" s="424">
        <f t="shared" si="24"/>
        <v>3.4995013908414307E-3</v>
      </c>
      <c r="K90" s="433"/>
      <c r="L90" s="394">
        <f t="shared" si="16"/>
        <v>21.44999999999995</v>
      </c>
      <c r="M90" s="394">
        <f t="shared" si="17"/>
        <v>12064.127350354567</v>
      </c>
    </row>
    <row r="91" spans="2:13" ht="15" x14ac:dyDescent="0.25">
      <c r="B91" s="420">
        <f t="shared" si="18"/>
        <v>21.399999999999949</v>
      </c>
      <c r="C91" s="394">
        <f t="shared" si="19"/>
        <v>63137.464061238774</v>
      </c>
      <c r="D91" s="422">
        <v>6</v>
      </c>
      <c r="E91" s="421">
        <f t="shared" si="20"/>
        <v>15.399999999999949</v>
      </c>
      <c r="F91" s="394">
        <f t="shared" si="21"/>
        <v>972316.94654307386</v>
      </c>
      <c r="G91" s="394">
        <v>675</v>
      </c>
      <c r="H91" s="394">
        <f t="shared" si="22"/>
        <v>971641.94654307386</v>
      </c>
      <c r="I91" s="424">
        <f t="shared" si="23"/>
        <v>-2.3310023310023631E-3</v>
      </c>
      <c r="J91" s="424">
        <f t="shared" si="24"/>
        <v>3.5076825693336477E-3</v>
      </c>
      <c r="K91" s="433"/>
      <c r="L91" s="394">
        <f t="shared" si="16"/>
        <v>21.399999999999949</v>
      </c>
      <c r="M91" s="394">
        <f t="shared" si="17"/>
        <v>12316.946543073864</v>
      </c>
    </row>
    <row r="92" spans="2:13" ht="15" x14ac:dyDescent="0.25">
      <c r="B92" s="420">
        <f t="shared" si="18"/>
        <v>21.349999999999948</v>
      </c>
      <c r="C92" s="394">
        <f t="shared" si="19"/>
        <v>63359.449203061486</v>
      </c>
      <c r="D92" s="422">
        <v>6</v>
      </c>
      <c r="E92" s="421">
        <f t="shared" si="20"/>
        <v>15.349999999999948</v>
      </c>
      <c r="F92" s="394">
        <f t="shared" si="21"/>
        <v>972567.54526699055</v>
      </c>
      <c r="G92" s="394">
        <v>675</v>
      </c>
      <c r="H92" s="394">
        <f t="shared" si="22"/>
        <v>971892.54526699055</v>
      </c>
      <c r="I92" s="424">
        <f t="shared" si="23"/>
        <v>-2.3364485981308691E-3</v>
      </c>
      <c r="J92" s="424">
        <f t="shared" si="24"/>
        <v>3.5159020895645376E-3</v>
      </c>
      <c r="K92" s="433"/>
      <c r="L92" s="394">
        <f t="shared" si="16"/>
        <v>21.349999999999948</v>
      </c>
      <c r="M92" s="394">
        <f t="shared" si="17"/>
        <v>12567.54526699055</v>
      </c>
    </row>
    <row r="93" spans="2:13" ht="15" x14ac:dyDescent="0.25">
      <c r="B93" s="420">
        <f t="shared" si="18"/>
        <v>21.299999999999947</v>
      </c>
      <c r="C93" s="394">
        <f t="shared" si="19"/>
        <v>63582.738053612004</v>
      </c>
      <c r="D93" s="422">
        <v>6</v>
      </c>
      <c r="E93" s="421">
        <f t="shared" si="20"/>
        <v>15.299999999999947</v>
      </c>
      <c r="F93" s="394">
        <f t="shared" si="21"/>
        <v>972815.89222026034</v>
      </c>
      <c r="G93" s="394">
        <v>675</v>
      </c>
      <c r="H93" s="394">
        <f t="shared" si="22"/>
        <v>972140.89222026034</v>
      </c>
      <c r="I93" s="424">
        <f t="shared" si="23"/>
        <v>-2.3419203747072626E-3</v>
      </c>
      <c r="J93" s="424">
        <f t="shared" si="24"/>
        <v>3.524160221704209E-3</v>
      </c>
      <c r="K93" s="433"/>
      <c r="L93" s="394">
        <f t="shared" si="16"/>
        <v>21.299999999999947</v>
      </c>
      <c r="M93" s="394">
        <f t="shared" si="17"/>
        <v>12815.892220260343</v>
      </c>
    </row>
    <row r="94" spans="2:13" ht="15" x14ac:dyDescent="0.25">
      <c r="B94" s="420">
        <f t="shared" si="18"/>
        <v>21.249999999999947</v>
      </c>
      <c r="C94" s="394">
        <f t="shared" si="19"/>
        <v>63807.341356891062</v>
      </c>
      <c r="D94" s="422">
        <v>6</v>
      </c>
      <c r="E94" s="421">
        <f t="shared" si="20"/>
        <v>15.249999999999947</v>
      </c>
      <c r="F94" s="394">
        <f t="shared" si="21"/>
        <v>973061.95569258532</v>
      </c>
      <c r="G94" s="394">
        <v>675</v>
      </c>
      <c r="H94" s="394">
        <f t="shared" si="22"/>
        <v>972386.95569258532</v>
      </c>
      <c r="I94" s="424">
        <f t="shared" si="23"/>
        <v>-2.3474178403756207E-3</v>
      </c>
      <c r="J94" s="424">
        <f t="shared" si="24"/>
        <v>3.5324572384674013E-3</v>
      </c>
      <c r="K94" s="433"/>
      <c r="L94" s="394">
        <f t="shared" si="16"/>
        <v>21.249999999999947</v>
      </c>
      <c r="M94" s="394">
        <f t="shared" si="17"/>
        <v>13061.955692585325</v>
      </c>
    </row>
    <row r="95" spans="2:13" ht="15" x14ac:dyDescent="0.25">
      <c r="B95" s="420">
        <f t="shared" si="18"/>
        <v>21.199999999999946</v>
      </c>
      <c r="C95" s="394">
        <f t="shared" si="19"/>
        <v>64033.269971005313</v>
      </c>
      <c r="D95" s="422">
        <v>6</v>
      </c>
      <c r="E95" s="421">
        <f t="shared" si="20"/>
        <v>15.199999999999946</v>
      </c>
      <c r="F95" s="394">
        <f t="shared" si="21"/>
        <v>973305.70355927735</v>
      </c>
      <c r="G95" s="394">
        <v>675</v>
      </c>
      <c r="H95" s="394">
        <f t="shared" si="22"/>
        <v>972630.70355927735</v>
      </c>
      <c r="I95" s="424">
        <f t="shared" si="23"/>
        <v>-2.3529411764706687E-3</v>
      </c>
      <c r="J95" s="424">
        <f t="shared" si="24"/>
        <v>3.5407934151427956E-3</v>
      </c>
      <c r="K95" s="433"/>
      <c r="L95" s="394">
        <f t="shared" si="16"/>
        <v>21.199999999999946</v>
      </c>
      <c r="M95" s="394">
        <f t="shared" si="17"/>
        <v>13305.703559277346</v>
      </c>
    </row>
    <row r="96" spans="2:13" ht="15" x14ac:dyDescent="0.25">
      <c r="B96" s="420">
        <f t="shared" si="18"/>
        <v>21.149999999999945</v>
      </c>
      <c r="C96" s="394">
        <f t="shared" si="19"/>
        <v>64260.534869651965</v>
      </c>
      <c r="D96" s="422">
        <v>6</v>
      </c>
      <c r="E96" s="421">
        <f t="shared" si="20"/>
        <v>15.149999999999945</v>
      </c>
      <c r="F96" s="394">
        <f t="shared" si="21"/>
        <v>973547.10327522375</v>
      </c>
      <c r="G96" s="394">
        <v>675</v>
      </c>
      <c r="H96" s="394">
        <f t="shared" si="22"/>
        <v>972872.10327522375</v>
      </c>
      <c r="I96" s="424">
        <f t="shared" si="23"/>
        <v>-2.3584905660377631E-3</v>
      </c>
      <c r="J96" s="424">
        <f t="shared" si="24"/>
        <v>3.5491690296240996E-3</v>
      </c>
      <c r="K96" s="433"/>
      <c r="L96" s="394">
        <f t="shared" si="16"/>
        <v>21.149999999999945</v>
      </c>
      <c r="M96" s="394">
        <f t="shared" si="17"/>
        <v>13547.103275223752</v>
      </c>
    </row>
    <row r="97" spans="2:13" ht="15" x14ac:dyDescent="0.25">
      <c r="B97" s="420">
        <f t="shared" si="18"/>
        <v>21.099999999999945</v>
      </c>
      <c r="C97" s="394">
        <f t="shared" si="19"/>
        <v>64489.147143626316</v>
      </c>
      <c r="D97" s="422">
        <v>6</v>
      </c>
      <c r="E97" s="421">
        <f t="shared" si="20"/>
        <v>15.099999999999945</v>
      </c>
      <c r="F97" s="394">
        <f t="shared" si="21"/>
        <v>973786.12186875381</v>
      </c>
      <c r="G97" s="394">
        <v>675</v>
      </c>
      <c r="H97" s="394">
        <f t="shared" si="22"/>
        <v>973111.12186875381</v>
      </c>
      <c r="I97" s="424">
        <f t="shared" si="23"/>
        <v>-2.3640661938534313E-3</v>
      </c>
      <c r="J97" s="424">
        <f t="shared" si="24"/>
        <v>3.5575843624406911E-3</v>
      </c>
      <c r="K97" s="433"/>
      <c r="L97" s="394">
        <f t="shared" si="16"/>
        <v>21.099999999999945</v>
      </c>
      <c r="M97" s="394">
        <f t="shared" si="17"/>
        <v>13786.121868753806</v>
      </c>
    </row>
    <row r="98" spans="2:13" ht="15" x14ac:dyDescent="0.25">
      <c r="B98" s="420">
        <f t="shared" si="18"/>
        <v>21.049999999999944</v>
      </c>
      <c r="C98" s="394">
        <f t="shared" si="19"/>
        <v>64719.118002352523</v>
      </c>
      <c r="D98" s="422">
        <v>6</v>
      </c>
      <c r="E98" s="421">
        <f t="shared" si="20"/>
        <v>15.049999999999944</v>
      </c>
      <c r="F98" s="394">
        <f t="shared" si="21"/>
        <v>974022.72593540186</v>
      </c>
      <c r="G98" s="394">
        <v>675</v>
      </c>
      <c r="H98" s="394">
        <f t="shared" si="22"/>
        <v>973347.72593540186</v>
      </c>
      <c r="I98" s="424">
        <f t="shared" si="23"/>
        <v>-2.3696682464455776E-3</v>
      </c>
      <c r="J98" s="424">
        <f t="shared" si="24"/>
        <v>3.5660396967884811E-3</v>
      </c>
      <c r="K98" s="433"/>
      <c r="L98" s="394">
        <f t="shared" si="16"/>
        <v>21.049999999999944</v>
      </c>
      <c r="M98" s="394">
        <f t="shared" si="17"/>
        <v>14022.725935401861</v>
      </c>
    </row>
    <row r="99" spans="2:13" ht="15" x14ac:dyDescent="0.25">
      <c r="B99" s="420">
        <f t="shared" si="18"/>
        <v>20.999999999999943</v>
      </c>
      <c r="C99" s="394">
        <f t="shared" si="19"/>
        <v>64950.458775438135</v>
      </c>
      <c r="D99" s="422">
        <v>6</v>
      </c>
      <c r="E99" s="421">
        <f t="shared" si="20"/>
        <v>14.999999999999943</v>
      </c>
      <c r="F99" s="394">
        <f t="shared" si="21"/>
        <v>974256.88163156831</v>
      </c>
      <c r="G99" s="394">
        <v>675</v>
      </c>
      <c r="H99" s="394">
        <f t="shared" si="22"/>
        <v>973581.88163156831</v>
      </c>
      <c r="I99" s="424">
        <f t="shared" si="23"/>
        <v>-2.3752969121140222E-3</v>
      </c>
      <c r="J99" s="424">
        <f t="shared" si="24"/>
        <v>3.574535318562333E-3</v>
      </c>
      <c r="K99" s="433"/>
      <c r="L99" s="394">
        <f t="shared" si="16"/>
        <v>20.999999999999943</v>
      </c>
      <c r="M99" s="394">
        <f t="shared" si="17"/>
        <v>14256.881631568307</v>
      </c>
    </row>
    <row r="100" spans="2:13" ht="15" x14ac:dyDescent="0.25">
      <c r="B100" s="420">
        <f t="shared" si="18"/>
        <v>20.949999999999942</v>
      </c>
      <c r="C100" s="394">
        <f t="shared" si="19"/>
        <v>65183.180914252771</v>
      </c>
      <c r="D100" s="422">
        <v>6</v>
      </c>
      <c r="E100" s="421">
        <f t="shared" si="20"/>
        <v>14.949999999999942</v>
      </c>
      <c r="F100" s="394">
        <f t="shared" si="21"/>
        <v>974488.55466807517</v>
      </c>
      <c r="G100" s="394">
        <v>675</v>
      </c>
      <c r="H100" s="394">
        <f t="shared" si="22"/>
        <v>973813.55466807517</v>
      </c>
      <c r="I100" s="424">
        <f t="shared" si="23"/>
        <v>-2.3809523809523725E-3</v>
      </c>
      <c r="J100" s="424">
        <f t="shared" si="24"/>
        <v>3.5830715163884808E-3</v>
      </c>
      <c r="K100" s="433"/>
      <c r="L100" s="394">
        <f t="shared" si="16"/>
        <v>20.949999999999942</v>
      </c>
      <c r="M100" s="394">
        <f t="shared" si="17"/>
        <v>14488.554668075172</v>
      </c>
    </row>
    <row r="101" spans="2:13" ht="15" x14ac:dyDescent="0.25">
      <c r="B101" s="420">
        <f t="shared" si="18"/>
        <v>20.899999999999942</v>
      </c>
      <c r="C101" s="394">
        <f t="shared" si="19"/>
        <v>65417.295993531261</v>
      </c>
      <c r="D101" s="422">
        <v>6</v>
      </c>
      <c r="E101" s="421">
        <f t="shared" si="20"/>
        <v>14.899999999999942</v>
      </c>
      <c r="F101" s="394">
        <f t="shared" si="21"/>
        <v>974717.71030361194</v>
      </c>
      <c r="G101" s="394">
        <v>675</v>
      </c>
      <c r="H101" s="394">
        <f t="shared" si="22"/>
        <v>974042.71030361194</v>
      </c>
      <c r="I101" s="424">
        <f t="shared" si="23"/>
        <v>-2.3866348448687846E-3</v>
      </c>
      <c r="J101" s="424">
        <f t="shared" si="24"/>
        <v>3.5916485816558374E-3</v>
      </c>
      <c r="K101" s="433"/>
      <c r="L101" s="394">
        <f t="shared" si="16"/>
        <v>20.899999999999942</v>
      </c>
      <c r="M101" s="394">
        <f t="shared" si="17"/>
        <v>14717.710303611937</v>
      </c>
    </row>
    <row r="102" spans="2:13" ht="15" x14ac:dyDescent="0.25">
      <c r="B102" s="420">
        <f t="shared" si="18"/>
        <v>20.849999999999941</v>
      </c>
      <c r="C102" s="394">
        <f t="shared" si="19"/>
        <v>65652.81571300191</v>
      </c>
      <c r="D102" s="422">
        <v>6</v>
      </c>
      <c r="E102" s="421">
        <f t="shared" si="20"/>
        <v>14.849999999999941</v>
      </c>
      <c r="F102" s="394">
        <f t="shared" si="21"/>
        <v>974944.31333807448</v>
      </c>
      <c r="G102" s="394">
        <v>675</v>
      </c>
      <c r="H102" s="394">
        <f t="shared" si="22"/>
        <v>974269.31333807448</v>
      </c>
      <c r="I102" s="424">
        <f t="shared" si="23"/>
        <v>-2.3923444976077235E-3</v>
      </c>
      <c r="J102" s="424">
        <f t="shared" si="24"/>
        <v>3.600266808550634E-3</v>
      </c>
      <c r="K102" s="433"/>
      <c r="L102" s="394">
        <f t="shared" si="16"/>
        <v>20.849999999999941</v>
      </c>
      <c r="M102" s="394">
        <f t="shared" si="17"/>
        <v>14944.313338074484</v>
      </c>
    </row>
    <row r="103" spans="2:13" ht="15" x14ac:dyDescent="0.25">
      <c r="B103" s="420">
        <f t="shared" si="18"/>
        <v>20.79999999999994</v>
      </c>
      <c r="C103" s="394">
        <f t="shared" si="19"/>
        <v>65889.751899040173</v>
      </c>
      <c r="D103" s="422">
        <v>6</v>
      </c>
      <c r="E103" s="421">
        <f t="shared" si="20"/>
        <v>14.79999999999994</v>
      </c>
      <c r="F103" s="394">
        <f t="shared" si="21"/>
        <v>975168.32810579066</v>
      </c>
      <c r="G103" s="394">
        <v>675</v>
      </c>
      <c r="H103" s="394">
        <f t="shared" si="22"/>
        <v>974493.32810579066</v>
      </c>
      <c r="I103" s="424">
        <f t="shared" si="23"/>
        <v>-2.3980815347722784E-3</v>
      </c>
      <c r="J103" s="424">
        <f t="shared" si="24"/>
        <v>3.6089264940899479E-3</v>
      </c>
      <c r="K103" s="433"/>
      <c r="L103" s="394">
        <f t="shared" si="16"/>
        <v>20.79999999999994</v>
      </c>
      <c r="M103" s="394">
        <f t="shared" si="17"/>
        <v>15168.328105790657</v>
      </c>
    </row>
    <row r="104" spans="2:13" ht="15" x14ac:dyDescent="0.25">
      <c r="B104" s="420">
        <f t="shared" si="18"/>
        <v>20.74999999999994</v>
      </c>
      <c r="C104" s="394">
        <f t="shared" si="19"/>
        <v>66128.116506348175</v>
      </c>
      <c r="D104" s="422">
        <v>6</v>
      </c>
      <c r="E104" s="421">
        <f t="shared" si="20"/>
        <v>14.74999999999994</v>
      </c>
      <c r="F104" s="394">
        <f t="shared" si="21"/>
        <v>975389.71846863162</v>
      </c>
      <c r="G104" s="394">
        <v>675</v>
      </c>
      <c r="H104" s="394">
        <f t="shared" si="22"/>
        <v>974714.71846863162</v>
      </c>
      <c r="I104" s="424">
        <f t="shared" si="23"/>
        <v>-2.4038461538461453E-3</v>
      </c>
      <c r="J104" s="424">
        <f t="shared" si="24"/>
        <v>3.6176279381539E-3</v>
      </c>
      <c r="K104" s="433"/>
      <c r="L104" s="394">
        <f t="shared" si="16"/>
        <v>20.74999999999994</v>
      </c>
      <c r="M104" s="394">
        <f t="shared" si="17"/>
        <v>15389.718468631618</v>
      </c>
    </row>
    <row r="105" spans="2:13" ht="15" x14ac:dyDescent="0.25">
      <c r="B105" s="420">
        <f t="shared" si="18"/>
        <v>20.699999999999939</v>
      </c>
      <c r="C105" s="394">
        <f t="shared" si="19"/>
        <v>66367.921619660832</v>
      </c>
      <c r="D105" s="422">
        <v>6</v>
      </c>
      <c r="E105" s="421">
        <f t="shared" si="20"/>
        <v>14.699999999999939</v>
      </c>
      <c r="F105" s="394">
        <f t="shared" si="21"/>
        <v>975608.44780901016</v>
      </c>
      <c r="G105" s="394">
        <v>675</v>
      </c>
      <c r="H105" s="394">
        <f t="shared" si="22"/>
        <v>974933.44780901016</v>
      </c>
      <c r="I105" s="424">
        <f t="shared" si="23"/>
        <v>-2.4096385542169418E-3</v>
      </c>
      <c r="J105" s="424">
        <f t="shared" si="24"/>
        <v>3.6263714435240679E-3</v>
      </c>
      <c r="K105" s="433"/>
      <c r="L105" s="394">
        <f t="shared" si="16"/>
        <v>20.699999999999939</v>
      </c>
      <c r="M105" s="394">
        <f t="shared" si="17"/>
        <v>15608.447809010162</v>
      </c>
    </row>
    <row r="106" spans="2:13" ht="15" x14ac:dyDescent="0.25">
      <c r="B106" s="420">
        <f t="shared" si="18"/>
        <v>20.649999999999938</v>
      </c>
      <c r="C106" s="394">
        <f t="shared" si="19"/>
        <v>66609.179455478545</v>
      </c>
      <c r="D106" s="422">
        <v>6</v>
      </c>
      <c r="E106" s="421">
        <f t="shared" si="20"/>
        <v>14.649999999999938</v>
      </c>
      <c r="F106" s="394">
        <f t="shared" si="21"/>
        <v>975824.47902275657</v>
      </c>
      <c r="G106" s="394">
        <v>675</v>
      </c>
      <c r="H106" s="394">
        <f t="shared" si="22"/>
        <v>975149.47902275657</v>
      </c>
      <c r="I106" s="424">
        <f t="shared" si="23"/>
        <v>-2.4154589371980784E-3</v>
      </c>
      <c r="J106" s="424">
        <f t="shared" si="24"/>
        <v>3.6351573159139061E-3</v>
      </c>
      <c r="K106" s="433"/>
      <c r="L106" s="394">
        <f t="shared" si="16"/>
        <v>20.649999999999938</v>
      </c>
      <c r="M106" s="394">
        <f t="shared" si="17"/>
        <v>15824.479022756568</v>
      </c>
    </row>
    <row r="107" spans="2:13" ht="15" x14ac:dyDescent="0.25">
      <c r="B107" s="420">
        <f t="shared" si="18"/>
        <v>20.599999999999937</v>
      </c>
      <c r="C107" s="394">
        <f t="shared" si="19"/>
        <v>66851.90236382751</v>
      </c>
      <c r="D107" s="422">
        <v>6</v>
      </c>
      <c r="E107" s="421">
        <f t="shared" si="20"/>
        <v>14.599999999999937</v>
      </c>
      <c r="F107" s="394">
        <f t="shared" si="21"/>
        <v>976037.77451187745</v>
      </c>
      <c r="G107" s="394">
        <v>675</v>
      </c>
      <c r="H107" s="394">
        <f t="shared" si="22"/>
        <v>975362.77451187745</v>
      </c>
      <c r="I107" s="424">
        <f t="shared" si="23"/>
        <v>-2.421307506053294E-3</v>
      </c>
      <c r="J107" s="424">
        <f t="shared" si="24"/>
        <v>3.6439858640084921E-3</v>
      </c>
      <c r="K107" s="433"/>
      <c r="L107" s="394">
        <f t="shared" si="16"/>
        <v>20.599999999999937</v>
      </c>
      <c r="M107" s="394">
        <f t="shared" si="17"/>
        <v>16037.774511877447</v>
      </c>
    </row>
    <row r="108" spans="2:13" ht="15" x14ac:dyDescent="0.25">
      <c r="B108" s="420">
        <f t="shared" si="18"/>
        <v>20.549999999999937</v>
      </c>
      <c r="C108" s="394">
        <f t="shared" si="19"/>
        <v>67096.102830047719</v>
      </c>
      <c r="D108" s="422">
        <v>6</v>
      </c>
      <c r="E108" s="421">
        <f t="shared" si="20"/>
        <v>14.549999999999937</v>
      </c>
      <c r="F108" s="394">
        <f t="shared" si="21"/>
        <v>976248.29617719003</v>
      </c>
      <c r="G108" s="394">
        <v>675</v>
      </c>
      <c r="H108" s="394">
        <f t="shared" si="22"/>
        <v>975573.29617719003</v>
      </c>
      <c r="I108" s="424">
        <f t="shared" si="23"/>
        <v>-2.4271844660194164E-3</v>
      </c>
      <c r="J108" s="424">
        <f t="shared" si="24"/>
        <v>3.6528573994978331E-3</v>
      </c>
      <c r="K108" s="433"/>
      <c r="L108" s="394">
        <f t="shared" si="16"/>
        <v>20.549999999999937</v>
      </c>
      <c r="M108" s="394">
        <f t="shared" si="17"/>
        <v>16248.29617719003</v>
      </c>
    </row>
    <row r="109" spans="2:13" ht="15" x14ac:dyDescent="0.25">
      <c r="B109" s="420">
        <f t="shared" si="18"/>
        <v>20.499999999999936</v>
      </c>
      <c r="C109" s="394">
        <f t="shared" si="19"/>
        <v>67341.793476609455</v>
      </c>
      <c r="D109" s="422">
        <v>6</v>
      </c>
      <c r="E109" s="421">
        <f t="shared" si="20"/>
        <v>14.499999999999936</v>
      </c>
      <c r="F109" s="394">
        <f t="shared" si="21"/>
        <v>976456.00541083282</v>
      </c>
      <c r="G109" s="394">
        <v>675</v>
      </c>
      <c r="H109" s="394">
        <f t="shared" si="22"/>
        <v>975781.00541083282</v>
      </c>
      <c r="I109" s="424">
        <f t="shared" si="23"/>
        <v>-2.4330900243308973E-3</v>
      </c>
      <c r="J109" s="424">
        <f t="shared" si="24"/>
        <v>3.6617722371157235E-3</v>
      </c>
      <c r="K109" s="433"/>
      <c r="L109" s="394">
        <f t="shared" si="16"/>
        <v>20.499999999999936</v>
      </c>
      <c r="M109" s="394">
        <f t="shared" si="17"/>
        <v>16456.005410832819</v>
      </c>
    </row>
    <row r="110" spans="2:13" ht="15" x14ac:dyDescent="0.25">
      <c r="B110" s="420">
        <f t="shared" si="18"/>
        <v>20.449999999999935</v>
      </c>
      <c r="C110" s="394">
        <f t="shared" si="19"/>
        <v>67588.987064958477</v>
      </c>
      <c r="D110" s="422">
        <v>6</v>
      </c>
      <c r="E110" s="421">
        <f t="shared" si="20"/>
        <v>14.449999999999935</v>
      </c>
      <c r="F110" s="394">
        <f t="shared" si="21"/>
        <v>976660.86308864562</v>
      </c>
      <c r="G110" s="394">
        <v>675</v>
      </c>
      <c r="H110" s="394">
        <f t="shared" si="22"/>
        <v>975985.86308864562</v>
      </c>
      <c r="I110" s="424">
        <f t="shared" si="23"/>
        <v>-2.4390243902439046E-3</v>
      </c>
      <c r="J110" s="424">
        <f t="shared" si="24"/>
        <v>3.6707306946746066E-3</v>
      </c>
      <c r="K110" s="433"/>
      <c r="L110" s="394">
        <f t="shared" si="16"/>
        <v>20.449999999999935</v>
      </c>
      <c r="M110" s="394">
        <f t="shared" si="17"/>
        <v>16660.863088645623</v>
      </c>
    </row>
    <row r="111" spans="2:13" ht="15" x14ac:dyDescent="0.25">
      <c r="B111" s="420">
        <f t="shared" si="18"/>
        <v>20.399999999999935</v>
      </c>
      <c r="C111" s="394">
        <f t="shared" si="19"/>
        <v>67837.69649739092</v>
      </c>
      <c r="D111" s="422">
        <v>6</v>
      </c>
      <c r="E111" s="421">
        <f t="shared" si="20"/>
        <v>14.399999999999935</v>
      </c>
      <c r="F111" s="394">
        <f t="shared" si="21"/>
        <v>976862.8295624248</v>
      </c>
      <c r="G111" s="394">
        <v>675</v>
      </c>
      <c r="H111" s="394">
        <f t="shared" si="22"/>
        <v>976187.8295624248</v>
      </c>
      <c r="I111" s="424">
        <f t="shared" si="23"/>
        <v>-2.4449877750611915E-3</v>
      </c>
      <c r="J111" s="424">
        <f t="shared" si="24"/>
        <v>3.6797330931059857E-3</v>
      </c>
      <c r="K111" s="433"/>
      <c r="L111" s="394">
        <f t="shared" si="16"/>
        <v>20.399999999999935</v>
      </c>
      <c r="M111" s="394">
        <f t="shared" si="17"/>
        <v>16862.829562424798</v>
      </c>
    </row>
    <row r="112" spans="2:13" ht="15" x14ac:dyDescent="0.25">
      <c r="B112" s="420">
        <f t="shared" si="18"/>
        <v>20.349999999999934</v>
      </c>
      <c r="C112" s="394">
        <f t="shared" si="19"/>
        <v>68087.93481895783</v>
      </c>
      <c r="D112" s="422">
        <v>6</v>
      </c>
      <c r="E112" s="421">
        <f t="shared" si="20"/>
        <v>14.349999999999934</v>
      </c>
      <c r="F112" s="394">
        <f t="shared" si="21"/>
        <v>977061.86465204041</v>
      </c>
      <c r="G112" s="394">
        <v>675</v>
      </c>
      <c r="H112" s="394">
        <f t="shared" si="22"/>
        <v>976386.86465204041</v>
      </c>
      <c r="I112" s="424">
        <f t="shared" si="23"/>
        <v>-2.450980392156854E-3</v>
      </c>
      <c r="J112" s="424">
        <f t="shared" si="24"/>
        <v>3.6887797564961744E-3</v>
      </c>
      <c r="K112" s="433"/>
      <c r="L112" s="394">
        <f t="shared" si="16"/>
        <v>20.349999999999934</v>
      </c>
      <c r="M112" s="394">
        <f t="shared" si="17"/>
        <v>17061.864652040415</v>
      </c>
    </row>
    <row r="113" spans="2:13" ht="15" x14ac:dyDescent="0.25">
      <c r="B113" s="420">
        <f t="shared" si="18"/>
        <v>20.299999999999933</v>
      </c>
      <c r="C113" s="394">
        <f t="shared" si="19"/>
        <v>68339.715219400503</v>
      </c>
      <c r="D113" s="422">
        <v>6</v>
      </c>
      <c r="E113" s="421">
        <f t="shared" si="20"/>
        <v>14.299999999999933</v>
      </c>
      <c r="F113" s="394">
        <f t="shared" si="21"/>
        <v>977257.92763742257</v>
      </c>
      <c r="G113" s="394">
        <v>675</v>
      </c>
      <c r="H113" s="394">
        <f t="shared" si="22"/>
        <v>976582.92763742257</v>
      </c>
      <c r="I113" s="424">
        <f t="shared" si="23"/>
        <v>-2.4570024570025328E-3</v>
      </c>
      <c r="J113" s="424">
        <f t="shared" si="24"/>
        <v>3.697871012127818E-3</v>
      </c>
      <c r="K113" s="433"/>
      <c r="L113" s="394">
        <f t="shared" si="16"/>
        <v>20.299999999999933</v>
      </c>
      <c r="M113" s="394">
        <f t="shared" si="17"/>
        <v>17257.927637422574</v>
      </c>
    </row>
    <row r="114" spans="2:13" ht="15" x14ac:dyDescent="0.25">
      <c r="B114" s="420">
        <f t="shared" si="18"/>
        <v>20.249999999999932</v>
      </c>
      <c r="C114" s="394">
        <f t="shared" si="19"/>
        <v>68593.051035116659</v>
      </c>
      <c r="D114" s="422">
        <v>6</v>
      </c>
      <c r="E114" s="421">
        <f t="shared" si="20"/>
        <v>14.249999999999932</v>
      </c>
      <c r="F114" s="394">
        <f t="shared" si="21"/>
        <v>977450.9772504078</v>
      </c>
      <c r="G114" s="394">
        <v>675</v>
      </c>
      <c r="H114" s="394">
        <f t="shared" si="22"/>
        <v>976775.9772504078</v>
      </c>
      <c r="I114" s="424">
        <f t="shared" si="23"/>
        <v>-2.4630541871921707E-3</v>
      </c>
      <c r="J114" s="424">
        <f t="shared" si="24"/>
        <v>3.7070071905163093E-3</v>
      </c>
      <c r="K114" s="433"/>
      <c r="L114" s="394">
        <f t="shared" si="16"/>
        <v>20.249999999999932</v>
      </c>
      <c r="M114" s="394">
        <f t="shared" si="17"/>
        <v>17450.977250407799</v>
      </c>
    </row>
    <row r="115" spans="2:13" ht="15" x14ac:dyDescent="0.25">
      <c r="B115" s="420">
        <f t="shared" si="18"/>
        <v>20.199999999999932</v>
      </c>
      <c r="C115" s="394">
        <f t="shared" si="19"/>
        <v>68847.955751158486</v>
      </c>
      <c r="D115" s="422">
        <v>6</v>
      </c>
      <c r="E115" s="421">
        <f t="shared" si="20"/>
        <v>14.199999999999932</v>
      </c>
      <c r="F115" s="394">
        <f t="shared" si="21"/>
        <v>977640.97166644584</v>
      </c>
      <c r="G115" s="394">
        <v>675</v>
      </c>
      <c r="H115" s="394">
        <f t="shared" si="22"/>
        <v>976965.97166644584</v>
      </c>
      <c r="I115" s="424">
        <f t="shared" si="23"/>
        <v>-2.4691358024692134E-3</v>
      </c>
      <c r="J115" s="424">
        <f t="shared" si="24"/>
        <v>3.7161886254530874E-3</v>
      </c>
      <c r="K115" s="433"/>
      <c r="L115" s="394">
        <f t="shared" si="16"/>
        <v>20.199999999999932</v>
      </c>
      <c r="M115" s="394">
        <f t="shared" si="17"/>
        <v>17640.971666445839</v>
      </c>
    </row>
    <row r="116" spans="2:13" ht="15" x14ac:dyDescent="0.25">
      <c r="B116" s="420">
        <f t="shared" si="18"/>
        <v>20.149999999999931</v>
      </c>
      <c r="C116" s="394">
        <f t="shared" si="19"/>
        <v>69104.443003262742</v>
      </c>
      <c r="D116" s="422">
        <v>6</v>
      </c>
      <c r="E116" s="421">
        <f t="shared" si="20"/>
        <v>14.149999999999931</v>
      </c>
      <c r="F116" s="394">
        <f t="shared" si="21"/>
        <v>977827.86849616305</v>
      </c>
      <c r="G116" s="394">
        <v>675</v>
      </c>
      <c r="H116" s="394">
        <f t="shared" si="22"/>
        <v>977152.86849616305</v>
      </c>
      <c r="I116" s="424">
        <f t="shared" si="23"/>
        <v>-2.4752475247524774E-3</v>
      </c>
      <c r="J116" s="424">
        <f t="shared" si="24"/>
        <v>3.7254156540433847E-3</v>
      </c>
      <c r="K116" s="433"/>
      <c r="L116" s="394">
        <f t="shared" si="16"/>
        <v>20.149999999999931</v>
      </c>
      <c r="M116" s="394">
        <f t="shared" si="17"/>
        <v>17827.86849616305</v>
      </c>
    </row>
    <row r="117" spans="2:13" ht="15" x14ac:dyDescent="0.25">
      <c r="B117" s="420">
        <f t="shared" si="18"/>
        <v>20.09999999999993</v>
      </c>
      <c r="C117" s="394">
        <f t="shared" si="19"/>
        <v>69362.526579913858</v>
      </c>
      <c r="D117" s="422">
        <v>6</v>
      </c>
      <c r="E117" s="421">
        <f t="shared" si="20"/>
        <v>14.09999999999993</v>
      </c>
      <c r="F117" s="394">
        <f t="shared" si="21"/>
        <v>978011.62477678061</v>
      </c>
      <c r="G117" s="394">
        <v>675</v>
      </c>
      <c r="H117" s="394">
        <f t="shared" si="22"/>
        <v>977336.62477678061</v>
      </c>
      <c r="I117" s="424">
        <f t="shared" si="23"/>
        <v>-2.4813895781637951E-3</v>
      </c>
      <c r="J117" s="424">
        <f t="shared" si="24"/>
        <v>3.7346886167497484E-3</v>
      </c>
      <c r="K117" s="433"/>
      <c r="L117" s="394">
        <f t="shared" si="16"/>
        <v>20.09999999999993</v>
      </c>
      <c r="M117" s="394">
        <f t="shared" si="17"/>
        <v>18011.624776780605</v>
      </c>
    </row>
    <row r="118" spans="2:13" ht="15" x14ac:dyDescent="0.25">
      <c r="B118" s="420">
        <f t="shared" si="18"/>
        <v>20.04999999999993</v>
      </c>
      <c r="C118" s="394">
        <f t="shared" si="19"/>
        <v>69622.220424440427</v>
      </c>
      <c r="D118" s="422">
        <v>6</v>
      </c>
      <c r="E118" s="421">
        <f t="shared" si="20"/>
        <v>14.04999999999993</v>
      </c>
      <c r="F118" s="394">
        <f t="shared" si="21"/>
        <v>978192.19696338312</v>
      </c>
      <c r="G118" s="394">
        <v>675</v>
      </c>
      <c r="H118" s="394">
        <f t="shared" si="22"/>
        <v>977517.19696338312</v>
      </c>
      <c r="I118" s="424">
        <f t="shared" si="23"/>
        <v>-2.4875621890547706E-3</v>
      </c>
      <c r="J118" s="424">
        <f t="shared" si="24"/>
        <v>3.744007857432452E-3</v>
      </c>
      <c r="K118" s="433"/>
      <c r="L118" s="394">
        <f t="shared" si="16"/>
        <v>20.04999999999993</v>
      </c>
      <c r="M118" s="394">
        <f t="shared" si="17"/>
        <v>18192.196963383118</v>
      </c>
    </row>
    <row r="119" spans="2:13" ht="15" x14ac:dyDescent="0.25">
      <c r="B119" s="420">
        <f t="shared" si="18"/>
        <v>19.999999999999929</v>
      </c>
      <c r="C119" s="394">
        <f t="shared" si="19"/>
        <v>69883.538637145772</v>
      </c>
      <c r="D119" s="422">
        <v>6</v>
      </c>
      <c r="E119" s="421">
        <f t="shared" si="20"/>
        <v>13.999999999999929</v>
      </c>
      <c r="F119" s="394">
        <f t="shared" si="21"/>
        <v>978369.5409200358</v>
      </c>
      <c r="G119" s="394">
        <v>675</v>
      </c>
      <c r="H119" s="394">
        <f t="shared" si="22"/>
        <v>977694.5409200358</v>
      </c>
      <c r="I119" s="424">
        <f t="shared" si="23"/>
        <v>-2.4937655860349794E-3</v>
      </c>
      <c r="J119" s="424">
        <f t="shared" si="24"/>
        <v>3.7533737233925724E-3</v>
      </c>
      <c r="K119" s="433"/>
      <c r="L119" s="394">
        <f t="shared" si="16"/>
        <v>19.999999999999929</v>
      </c>
      <c r="M119" s="394">
        <f t="shared" si="17"/>
        <v>18369.540920035797</v>
      </c>
    </row>
    <row r="120" spans="2:13" ht="15" x14ac:dyDescent="0.25">
      <c r="B120" s="420">
        <f t="shared" si="18"/>
        <v>19.949999999999928</v>
      </c>
      <c r="C120" s="394">
        <f t="shared" si="19"/>
        <v>70146.49547747332</v>
      </c>
      <c r="D120" s="422">
        <v>6</v>
      </c>
      <c r="E120" s="421">
        <f t="shared" si="20"/>
        <v>13.949999999999928</v>
      </c>
      <c r="F120" s="394">
        <f t="shared" si="21"/>
        <v>978543.61191074783</v>
      </c>
      <c r="G120" s="394">
        <v>675</v>
      </c>
      <c r="H120" s="394">
        <f t="shared" si="22"/>
        <v>977868.61191074783</v>
      </c>
      <c r="I120" s="424">
        <f t="shared" si="23"/>
        <v>-2.5000000000000577E-3</v>
      </c>
      <c r="J120" s="424">
        <f t="shared" si="24"/>
        <v>3.7627865654155102E-3</v>
      </c>
      <c r="K120" s="433"/>
      <c r="L120" s="394">
        <f t="shared" si="16"/>
        <v>19.949999999999928</v>
      </c>
      <c r="M120" s="394">
        <f t="shared" si="17"/>
        <v>18543.61191074783</v>
      </c>
    </row>
    <row r="121" spans="2:13" ht="15" x14ac:dyDescent="0.25">
      <c r="B121" s="420">
        <f t="shared" si="18"/>
        <v>19.899999999999928</v>
      </c>
      <c r="C121" s="394">
        <f t="shared" si="19"/>
        <v>70411.105366207295</v>
      </c>
      <c r="D121" s="422">
        <v>6</v>
      </c>
      <c r="E121" s="421">
        <f t="shared" si="20"/>
        <v>13.899999999999928</v>
      </c>
      <c r="F121" s="394">
        <f t="shared" si="21"/>
        <v>978714.36459027627</v>
      </c>
      <c r="G121" s="394">
        <v>675</v>
      </c>
      <c r="H121" s="394">
        <f t="shared" si="22"/>
        <v>978039.36459027627</v>
      </c>
      <c r="I121" s="424">
        <f t="shared" si="23"/>
        <v>-2.5062656641604564E-3</v>
      </c>
      <c r="J121" s="424">
        <f t="shared" si="24"/>
        <v>3.7722467378138447E-3</v>
      </c>
      <c r="K121" s="433"/>
      <c r="L121" s="394">
        <f t="shared" si="16"/>
        <v>19.899999999999928</v>
      </c>
      <c r="M121" s="394">
        <f t="shared" si="17"/>
        <v>18714.364590276266</v>
      </c>
    </row>
    <row r="122" spans="2:13" ht="15" x14ac:dyDescent="0.25">
      <c r="B122" s="420">
        <f t="shared" si="18"/>
        <v>19.849999999999927</v>
      </c>
      <c r="C122" s="394">
        <f t="shared" si="19"/>
        <v>70677.382887709464</v>
      </c>
      <c r="D122" s="422">
        <v>6</v>
      </c>
      <c r="E122" s="421">
        <f t="shared" si="20"/>
        <v>13.849999999999927</v>
      </c>
      <c r="F122" s="394">
        <f t="shared" si="21"/>
        <v>978881.75299477088</v>
      </c>
      <c r="G122" s="394">
        <v>675</v>
      </c>
      <c r="H122" s="394">
        <f t="shared" si="22"/>
        <v>978206.75299477088</v>
      </c>
      <c r="I122" s="424">
        <f t="shared" si="23"/>
        <v>-2.5125628140704181E-3</v>
      </c>
      <c r="J122" s="424">
        <f t="shared" si="24"/>
        <v>3.7817545984721868E-3</v>
      </c>
      <c r="K122" s="433"/>
      <c r="L122" s="394">
        <f t="shared" si="16"/>
        <v>19.849999999999927</v>
      </c>
      <c r="M122" s="394">
        <f t="shared" si="17"/>
        <v>18881.752994770883</v>
      </c>
    </row>
    <row r="123" spans="2:13" ht="15" x14ac:dyDescent="0.25">
      <c r="B123" s="420">
        <f t="shared" si="18"/>
        <v>19.799999999999926</v>
      </c>
      <c r="C123" s="394">
        <f t="shared" si="19"/>
        <v>70945.342792192692</v>
      </c>
      <c r="D123" s="422">
        <v>6</v>
      </c>
      <c r="E123" s="421">
        <f t="shared" si="20"/>
        <v>13.799999999999926</v>
      </c>
      <c r="F123" s="394">
        <f t="shared" si="21"/>
        <v>979045.73053225386</v>
      </c>
      <c r="G123" s="394">
        <v>675</v>
      </c>
      <c r="H123" s="394">
        <f t="shared" si="22"/>
        <v>978370.73053225386</v>
      </c>
      <c r="I123" s="424">
        <f t="shared" si="23"/>
        <v>-2.5188916876575096E-3</v>
      </c>
      <c r="J123" s="424">
        <f t="shared" si="24"/>
        <v>3.79131050889292E-3</v>
      </c>
      <c r="K123" s="433"/>
      <c r="L123" s="394">
        <f t="shared" si="16"/>
        <v>19.799999999999926</v>
      </c>
      <c r="M123" s="394">
        <f t="shared" si="17"/>
        <v>19045.73053225386</v>
      </c>
    </row>
    <row r="124" spans="2:13" ht="15" x14ac:dyDescent="0.25">
      <c r="B124" s="420">
        <f t="shared" si="18"/>
        <v>19.749999999999925</v>
      </c>
      <c r="C124" s="394">
        <f t="shared" si="19"/>
        <v>71214.999998031868</v>
      </c>
      <c r="D124" s="422">
        <v>6</v>
      </c>
      <c r="E124" s="421">
        <f t="shared" si="20"/>
        <v>13.749999999999925</v>
      </c>
      <c r="F124" s="394">
        <f t="shared" si="21"/>
        <v>979206.24997293286</v>
      </c>
      <c r="G124" s="394">
        <v>675</v>
      </c>
      <c r="H124" s="394">
        <f t="shared" si="22"/>
        <v>978531.24997293286</v>
      </c>
      <c r="I124" s="424">
        <f t="shared" si="23"/>
        <v>-2.525252525252597E-3</v>
      </c>
      <c r="J124" s="424">
        <f t="shared" si="24"/>
        <v>3.8009148342412757E-3</v>
      </c>
      <c r="K124" s="433"/>
      <c r="L124" s="394">
        <f t="shared" si="16"/>
        <v>19.749999999999925</v>
      </c>
      <c r="M124" s="394">
        <f t="shared" si="17"/>
        <v>19206.249972932856</v>
      </c>
    </row>
    <row r="125" spans="2:13" ht="15" x14ac:dyDescent="0.25">
      <c r="B125" s="420">
        <f t="shared" si="18"/>
        <v>19.699999999999925</v>
      </c>
      <c r="C125" s="394">
        <f t="shared" si="19"/>
        <v>71486.369594113043</v>
      </c>
      <c r="D125" s="422">
        <v>6</v>
      </c>
      <c r="E125" s="421">
        <f t="shared" si="20"/>
        <v>13.699999999999925</v>
      </c>
      <c r="F125" s="394">
        <f t="shared" si="21"/>
        <v>979363.26343934331</v>
      </c>
      <c r="G125" s="394">
        <v>675</v>
      </c>
      <c r="H125" s="394">
        <f t="shared" si="22"/>
        <v>978688.26343934331</v>
      </c>
      <c r="I125" s="424">
        <f t="shared" si="23"/>
        <v>-2.5316455696202667E-3</v>
      </c>
      <c r="J125" s="424">
        <f t="shared" si="24"/>
        <v>3.8105679433921846E-3</v>
      </c>
      <c r="K125" s="433"/>
      <c r="L125" s="394">
        <f t="shared" si="16"/>
        <v>19.699999999999925</v>
      </c>
      <c r="M125" s="394">
        <f t="shared" si="17"/>
        <v>19363.263439343311</v>
      </c>
    </row>
    <row r="126" spans="2:13" ht="15" x14ac:dyDescent="0.25">
      <c r="B126" s="420">
        <f t="shared" si="18"/>
        <v>19.649999999999924</v>
      </c>
      <c r="C126" s="394">
        <f t="shared" si="19"/>
        <v>71759.466842221358</v>
      </c>
      <c r="D126" s="422">
        <v>6</v>
      </c>
      <c r="E126" s="421">
        <f t="shared" si="20"/>
        <v>13.649999999999924</v>
      </c>
      <c r="F126" s="394">
        <f t="shared" si="21"/>
        <v>979516.72239631612</v>
      </c>
      <c r="G126" s="394">
        <v>675</v>
      </c>
      <c r="H126" s="394">
        <f t="shared" si="22"/>
        <v>978841.72239631612</v>
      </c>
      <c r="I126" s="424">
        <f t="shared" si="23"/>
        <v>-2.5380710659899108E-3</v>
      </c>
      <c r="J126" s="424">
        <f t="shared" si="24"/>
        <v>3.8202702089771279E-3</v>
      </c>
      <c r="K126" s="433"/>
      <c r="L126" s="394">
        <f t="shared" si="16"/>
        <v>19.649999999999924</v>
      </c>
      <c r="M126" s="394">
        <f t="shared" si="17"/>
        <v>19516.722396316123</v>
      </c>
    </row>
    <row r="127" spans="2:13" ht="15" x14ac:dyDescent="0.25">
      <c r="B127" s="420">
        <f t="shared" si="18"/>
        <v>19.599999999999923</v>
      </c>
      <c r="C127" s="394">
        <f t="shared" si="19"/>
        <v>72034.307179468713</v>
      </c>
      <c r="D127" s="422">
        <v>6</v>
      </c>
      <c r="E127" s="421">
        <f t="shared" si="20"/>
        <v>13.599999999999923</v>
      </c>
      <c r="F127" s="394">
        <f t="shared" si="21"/>
        <v>979666.57764076896</v>
      </c>
      <c r="G127" s="394">
        <v>675</v>
      </c>
      <c r="H127" s="394">
        <f t="shared" si="22"/>
        <v>978991.57764076896</v>
      </c>
      <c r="I127" s="424">
        <f t="shared" si="23"/>
        <v>-2.5445292620865922E-3</v>
      </c>
      <c r="J127" s="424">
        <f t="shared" si="24"/>
        <v>3.8300220074327651E-3</v>
      </c>
      <c r="K127" s="433"/>
      <c r="L127" s="394">
        <f t="shared" si="16"/>
        <v>19.599999999999923</v>
      </c>
      <c r="M127" s="394">
        <f t="shared" si="17"/>
        <v>19666.577640768955</v>
      </c>
    </row>
    <row r="128" spans="2:13" ht="15" x14ac:dyDescent="0.25">
      <c r="B128" s="420">
        <f t="shared" si="18"/>
        <v>19.549999999999923</v>
      </c>
      <c r="C128" s="394">
        <f t="shared" si="19"/>
        <v>72310.906220761695</v>
      </c>
      <c r="D128" s="422">
        <v>6</v>
      </c>
      <c r="E128" s="421">
        <f t="shared" si="20"/>
        <v>13.549999999999923</v>
      </c>
      <c r="F128" s="394">
        <f t="shared" si="21"/>
        <v>979812.77929131535</v>
      </c>
      <c r="G128" s="394">
        <v>675</v>
      </c>
      <c r="H128" s="394">
        <f t="shared" si="22"/>
        <v>979137.77929131535</v>
      </c>
      <c r="I128" s="424">
        <f t="shared" si="23"/>
        <v>-2.5510204081633514E-3</v>
      </c>
      <c r="J128" s="424">
        <f t="shared" si="24"/>
        <v>3.839823719048896E-3</v>
      </c>
      <c r="K128" s="433"/>
      <c r="L128" s="394">
        <f t="shared" si="16"/>
        <v>19.549999999999923</v>
      </c>
      <c r="M128" s="394">
        <f t="shared" si="17"/>
        <v>19812.779291315353</v>
      </c>
    </row>
    <row r="129" spans="2:13" ht="15" x14ac:dyDescent="0.25">
      <c r="B129" s="420">
        <f t="shared" si="18"/>
        <v>19.499999999999922</v>
      </c>
      <c r="C129" s="394">
        <f t="shared" si="19"/>
        <v>72589.279761310769</v>
      </c>
      <c r="D129" s="422">
        <v>6</v>
      </c>
      <c r="E129" s="421">
        <f t="shared" si="20"/>
        <v>13.499999999999922</v>
      </c>
      <c r="F129" s="394">
        <f t="shared" si="21"/>
        <v>979955.27677768969</v>
      </c>
      <c r="G129" s="394">
        <v>675</v>
      </c>
      <c r="H129" s="394">
        <f t="shared" si="22"/>
        <v>979280.27677768969</v>
      </c>
      <c r="I129" s="424">
        <f t="shared" si="23"/>
        <v>-2.5575447570332921E-3</v>
      </c>
      <c r="J129" s="424">
        <f t="shared" si="24"/>
        <v>3.8496757280181981E-3</v>
      </c>
      <c r="K129" s="433"/>
      <c r="L129" s="394">
        <f t="shared" si="16"/>
        <v>19.499999999999922</v>
      </c>
      <c r="M129" s="394">
        <f t="shared" si="17"/>
        <v>19955.276777689694</v>
      </c>
    </row>
    <row r="130" spans="2:13" ht="15" x14ac:dyDescent="0.25">
      <c r="B130" s="420">
        <f t="shared" si="18"/>
        <v>19.449999999999921</v>
      </c>
      <c r="C130" s="394">
        <f t="shared" si="19"/>
        <v>72869.443779181398</v>
      </c>
      <c r="D130" s="422">
        <v>6</v>
      </c>
      <c r="E130" s="421">
        <f t="shared" si="20"/>
        <v>13.449999999999921</v>
      </c>
      <c r="F130" s="394">
        <f t="shared" si="21"/>
        <v>980094.01882998401</v>
      </c>
      <c r="G130" s="394">
        <v>675</v>
      </c>
      <c r="H130" s="394">
        <f t="shared" si="22"/>
        <v>979419.01882998401</v>
      </c>
      <c r="I130" s="424">
        <f t="shared" si="23"/>
        <v>-2.564102564102666E-3</v>
      </c>
      <c r="J130" s="424">
        <f t="shared" si="24"/>
        <v>3.8595784224870755E-3</v>
      </c>
      <c r="K130" s="433"/>
      <c r="L130" s="394">
        <f t="shared" si="16"/>
        <v>19.449999999999921</v>
      </c>
      <c r="M130" s="394">
        <f t="shared" si="17"/>
        <v>20094.018829984008</v>
      </c>
    </row>
    <row r="131" spans="2:13" ht="15" x14ac:dyDescent="0.25">
      <c r="B131" s="420">
        <f t="shared" si="18"/>
        <v>19.39999999999992</v>
      </c>
      <c r="C131" s="394">
        <f t="shared" si="19"/>
        <v>73151.414437887899</v>
      </c>
      <c r="D131" s="422">
        <v>6</v>
      </c>
      <c r="E131" s="421">
        <f t="shared" si="20"/>
        <v>13.39999999999992</v>
      </c>
      <c r="F131" s="394">
        <f t="shared" si="21"/>
        <v>980228.95346769202</v>
      </c>
      <c r="G131" s="394">
        <v>675</v>
      </c>
      <c r="H131" s="394">
        <f t="shared" si="22"/>
        <v>979553.95346769202</v>
      </c>
      <c r="I131" s="424">
        <f t="shared" si="23"/>
        <v>-2.5706940874036244E-3</v>
      </c>
      <c r="J131" s="424">
        <f t="shared" si="24"/>
        <v>3.8695321946049521E-3</v>
      </c>
      <c r="K131" s="433"/>
      <c r="L131" s="394">
        <f t="shared" si="16"/>
        <v>19.39999999999992</v>
      </c>
      <c r="M131" s="394">
        <f t="shared" si="17"/>
        <v>20228.953467692016</v>
      </c>
    </row>
    <row r="132" spans="2:13" ht="15" x14ac:dyDescent="0.25">
      <c r="B132" s="420">
        <f t="shared" si="18"/>
        <v>19.34999999999992</v>
      </c>
      <c r="C132" s="394">
        <f t="shared" si="19"/>
        <v>73435.20808903093</v>
      </c>
      <c r="D132" s="422">
        <v>6</v>
      </c>
      <c r="E132" s="421">
        <f t="shared" si="20"/>
        <v>13.34999999999992</v>
      </c>
      <c r="F132" s="394">
        <f t="shared" si="21"/>
        <v>980360.02798855701</v>
      </c>
      <c r="G132" s="394">
        <v>675</v>
      </c>
      <c r="H132" s="394">
        <f t="shared" si="22"/>
        <v>979685.02798855701</v>
      </c>
      <c r="I132" s="424">
        <f t="shared" si="23"/>
        <v>-2.5773195876289678E-3</v>
      </c>
      <c r="J132" s="424">
        <f t="shared" si="24"/>
        <v>3.879537440578007E-3</v>
      </c>
      <c r="K132" s="433"/>
      <c r="L132" s="394">
        <f t="shared" si="16"/>
        <v>19.34999999999992</v>
      </c>
      <c r="M132" s="394">
        <f t="shared" si="17"/>
        <v>20360.027988557005</v>
      </c>
    </row>
    <row r="133" spans="2:13" ht="15" x14ac:dyDescent="0.25">
      <c r="B133" s="420">
        <f t="shared" si="18"/>
        <v>19.299999999999919</v>
      </c>
      <c r="C133" s="394">
        <f t="shared" si="19"/>
        <v>73720.841274979393</v>
      </c>
      <c r="D133" s="422">
        <v>6</v>
      </c>
      <c r="E133" s="421">
        <f t="shared" si="20"/>
        <v>13.299999999999919</v>
      </c>
      <c r="F133" s="394">
        <f t="shared" si="21"/>
        <v>980487.18895721994</v>
      </c>
      <c r="G133" s="394">
        <v>675</v>
      </c>
      <c r="H133" s="394">
        <f t="shared" si="22"/>
        <v>979812.18895721994</v>
      </c>
      <c r="I133" s="424">
        <f t="shared" si="23"/>
        <v>-2.5839793281654533E-3</v>
      </c>
      <c r="J133" s="424">
        <f t="shared" si="24"/>
        <v>3.8895945607204663E-3</v>
      </c>
      <c r="K133" s="433"/>
      <c r="L133" s="394">
        <f t="shared" si="16"/>
        <v>19.299999999999919</v>
      </c>
      <c r="M133" s="394">
        <f t="shared" si="17"/>
        <v>20487.188957219943</v>
      </c>
    </row>
    <row r="134" spans="2:13" ht="15" x14ac:dyDescent="0.25">
      <c r="B134" s="420">
        <f t="shared" si="18"/>
        <v>19.249999999999918</v>
      </c>
      <c r="C134" s="394">
        <f t="shared" si="19"/>
        <v>74008.3307315977</v>
      </c>
      <c r="D134" s="422">
        <v>6</v>
      </c>
      <c r="E134" s="421">
        <f t="shared" si="20"/>
        <v>13.249999999999918</v>
      </c>
      <c r="F134" s="394">
        <f t="shared" si="21"/>
        <v>980610.38219366351</v>
      </c>
      <c r="G134" s="394">
        <v>675</v>
      </c>
      <c r="H134" s="394">
        <f t="shared" si="22"/>
        <v>979935.38219366351</v>
      </c>
      <c r="I134" s="424">
        <f t="shared" si="23"/>
        <v>-2.5906735751295429E-3</v>
      </c>
      <c r="J134" s="424">
        <f t="shared" si="24"/>
        <v>3.8997039595081162E-3</v>
      </c>
      <c r="K134" s="433"/>
      <c r="L134" s="394">
        <f t="shared" si="16"/>
        <v>19.249999999999918</v>
      </c>
      <c r="M134" s="394">
        <f t="shared" si="17"/>
        <v>20610.382193663507</v>
      </c>
    </row>
    <row r="135" spans="2:13" ht="15" x14ac:dyDescent="0.25">
      <c r="B135" s="420">
        <f t="shared" si="18"/>
        <v>19.199999999999918</v>
      </c>
      <c r="C135" s="394">
        <f t="shared" si="19"/>
        <v>74297.693391019173</v>
      </c>
      <c r="D135" s="422">
        <v>6</v>
      </c>
      <c r="E135" s="421">
        <f t="shared" si="20"/>
        <v>13.199999999999918</v>
      </c>
      <c r="F135" s="394">
        <f t="shared" si="21"/>
        <v>980729.55276144692</v>
      </c>
      <c r="G135" s="394">
        <v>675</v>
      </c>
      <c r="H135" s="394">
        <f t="shared" si="22"/>
        <v>980054.55276144692</v>
      </c>
      <c r="I135" s="424">
        <f t="shared" si="23"/>
        <v>-2.5974025974025983E-3</v>
      </c>
      <c r="J135" s="424">
        <f t="shared" si="24"/>
        <v>3.90986604563337E-3</v>
      </c>
      <c r="K135" s="433"/>
      <c r="L135" s="394">
        <f t="shared" si="16"/>
        <v>19.199999999999918</v>
      </c>
      <c r="M135" s="394">
        <f t="shared" si="17"/>
        <v>20729.552761446917</v>
      </c>
    </row>
    <row r="136" spans="2:13" ht="15" x14ac:dyDescent="0.25">
      <c r="B136" s="420">
        <f t="shared" si="18"/>
        <v>19.149999999999917</v>
      </c>
      <c r="C136" s="394">
        <f t="shared" si="19"/>
        <v>74588.946384466602</v>
      </c>
      <c r="D136" s="422">
        <v>6</v>
      </c>
      <c r="E136" s="421">
        <f t="shared" si="20"/>
        <v>13.149999999999917</v>
      </c>
      <c r="F136" s="394">
        <f t="shared" si="21"/>
        <v>980844.6449557296</v>
      </c>
      <c r="G136" s="394">
        <v>675</v>
      </c>
      <c r="H136" s="394">
        <f t="shared" si="22"/>
        <v>980169.6449557296</v>
      </c>
      <c r="I136" s="424">
        <f t="shared" si="23"/>
        <v>-2.6041666666667407E-3</v>
      </c>
      <c r="J136" s="424">
        <f t="shared" si="24"/>
        <v>3.9200812320592249E-3</v>
      </c>
      <c r="K136" s="433"/>
      <c r="L136" s="394">
        <f t="shared" si="16"/>
        <v>19.149999999999917</v>
      </c>
      <c r="M136" s="394">
        <f t="shared" si="17"/>
        <v>20844.6449557296</v>
      </c>
    </row>
    <row r="137" spans="2:13" ht="15" x14ac:dyDescent="0.25">
      <c r="B137" s="420">
        <f t="shared" si="18"/>
        <v>19.099999999999916</v>
      </c>
      <c r="C137" s="394">
        <f t="shared" si="19"/>
        <v>74882.107045120763</v>
      </c>
      <c r="D137" s="422">
        <v>6</v>
      </c>
      <c r="E137" s="421">
        <f t="shared" si="20"/>
        <v>13.099999999999916</v>
      </c>
      <c r="F137" s="394">
        <f t="shared" si="21"/>
        <v>980955.60229107575</v>
      </c>
      <c r="G137" s="394">
        <v>675</v>
      </c>
      <c r="H137" s="394">
        <f t="shared" si="22"/>
        <v>980280.60229107575</v>
      </c>
      <c r="I137" s="424">
        <f t="shared" si="23"/>
        <v>-2.6109660574412663E-3</v>
      </c>
      <c r="J137" s="424">
        <f t="shared" si="24"/>
        <v>3.9303499360758831E-3</v>
      </c>
      <c r="K137" s="433"/>
      <c r="L137" s="394">
        <f t="shared" si="16"/>
        <v>19.099999999999916</v>
      </c>
      <c r="M137" s="394">
        <f t="shared" si="17"/>
        <v>20955.602291075746</v>
      </c>
    </row>
    <row r="138" spans="2:13" ht="15" x14ac:dyDescent="0.25">
      <c r="B138" s="420">
        <f t="shared" si="18"/>
        <v>19.049999999999915</v>
      </c>
      <c r="C138" s="394">
        <f t="shared" si="19"/>
        <v>75177.192911037986</v>
      </c>
      <c r="D138" s="422">
        <v>6</v>
      </c>
      <c r="E138" s="421">
        <f t="shared" si="20"/>
        <v>13.049999999999915</v>
      </c>
      <c r="F138" s="394">
        <f t="shared" si="21"/>
        <v>981062.36748903932</v>
      </c>
      <c r="G138" s="394">
        <v>675</v>
      </c>
      <c r="H138" s="394">
        <f t="shared" si="22"/>
        <v>980387.36748903932</v>
      </c>
      <c r="I138" s="424">
        <f t="shared" si="23"/>
        <v>-2.6178010471205049E-3</v>
      </c>
      <c r="J138" s="424">
        <f t="shared" si="24"/>
        <v>3.9406725793575959E-3</v>
      </c>
      <c r="K138" s="433"/>
      <c r="L138" s="394">
        <f t="shared" si="16"/>
        <v>19.049999999999915</v>
      </c>
      <c r="M138" s="394">
        <f t="shared" si="17"/>
        <v>21062.367489039316</v>
      </c>
    </row>
    <row r="139" spans="2:13" ht="15" x14ac:dyDescent="0.25">
      <c r="B139" s="420">
        <f t="shared" si="18"/>
        <v>18.999999999999915</v>
      </c>
      <c r="C139" s="394">
        <f t="shared" si="19"/>
        <v>75474.221728117613</v>
      </c>
      <c r="D139" s="422">
        <v>6</v>
      </c>
      <c r="E139" s="421">
        <f t="shared" si="20"/>
        <v>12.999999999999915</v>
      </c>
      <c r="F139" s="394">
        <f t="shared" si="21"/>
        <v>981164.8824655225</v>
      </c>
      <c r="G139" s="394">
        <v>675</v>
      </c>
      <c r="H139" s="394">
        <f t="shared" si="22"/>
        <v>980489.8824655225</v>
      </c>
      <c r="I139" s="424">
        <f t="shared" si="23"/>
        <v>-2.624671916010568E-3</v>
      </c>
      <c r="J139" s="424">
        <f t="shared" si="24"/>
        <v>3.9510495880195062E-3</v>
      </c>
      <c r="K139" s="433"/>
      <c r="L139" s="394">
        <f t="shared" si="16"/>
        <v>18.999999999999915</v>
      </c>
      <c r="M139" s="394">
        <f t="shared" si="17"/>
        <v>21164.882465522503</v>
      </c>
    </row>
    <row r="140" spans="2:13" ht="15" x14ac:dyDescent="0.25">
      <c r="B140" s="420">
        <f t="shared" si="18"/>
        <v>18.949999999999914</v>
      </c>
      <c r="C140" s="394">
        <f t="shared" si="19"/>
        <v>75773.211453120384</v>
      </c>
      <c r="D140" s="422">
        <v>6</v>
      </c>
      <c r="E140" s="421">
        <f t="shared" si="20"/>
        <v>12.949999999999914</v>
      </c>
      <c r="F140" s="394">
        <f t="shared" si="21"/>
        <v>981263.08831790241</v>
      </c>
      <c r="G140" s="394">
        <v>675</v>
      </c>
      <c r="H140" s="394">
        <f t="shared" si="22"/>
        <v>980588.08831790241</v>
      </c>
      <c r="I140" s="424">
        <f t="shared" si="23"/>
        <v>-2.6315789473684292E-3</v>
      </c>
      <c r="J140" s="424">
        <f t="shared" si="24"/>
        <v>3.9614813926778236E-3</v>
      </c>
      <c r="K140" s="433"/>
      <c r="L140" s="394">
        <f t="shared" si="16"/>
        <v>18.949999999999914</v>
      </c>
      <c r="M140" s="394">
        <f t="shared" si="17"/>
        <v>21263.088317902409</v>
      </c>
    </row>
    <row r="141" spans="2:13" ht="15" x14ac:dyDescent="0.25">
      <c r="B141" s="420">
        <f t="shared" si="18"/>
        <v>18.899999999999913</v>
      </c>
      <c r="C141" s="394">
        <f t="shared" si="19"/>
        <v>76074.180256738866</v>
      </c>
      <c r="D141" s="422">
        <v>6</v>
      </c>
      <c r="E141" s="421">
        <f t="shared" si="20"/>
        <v>12.899999999999913</v>
      </c>
      <c r="F141" s="394">
        <f t="shared" si="21"/>
        <v>981356.92531192477</v>
      </c>
      <c r="G141" s="394">
        <v>675</v>
      </c>
      <c r="H141" s="394">
        <f t="shared" si="22"/>
        <v>980681.92531192477</v>
      </c>
      <c r="I141" s="424">
        <f t="shared" si="23"/>
        <v>-2.6385224274406704E-3</v>
      </c>
      <c r="J141" s="424">
        <f t="shared" si="24"/>
        <v>3.9719684285084433E-3</v>
      </c>
      <c r="K141" s="433"/>
      <c r="L141" s="394">
        <f t="shared" si="16"/>
        <v>18.899999999999913</v>
      </c>
      <c r="M141" s="394">
        <f t="shared" si="17"/>
        <v>21356.925311924773</v>
      </c>
    </row>
    <row r="142" spans="2:13" ht="15" x14ac:dyDescent="0.25">
      <c r="B142" s="420">
        <f t="shared" si="18"/>
        <v>18.849999999999913</v>
      </c>
      <c r="C142" s="394">
        <f t="shared" si="19"/>
        <v>76377.146526720666</v>
      </c>
      <c r="D142" s="422">
        <v>6</v>
      </c>
      <c r="E142" s="421">
        <f t="shared" si="20"/>
        <v>12.849999999999913</v>
      </c>
      <c r="F142" s="394">
        <f t="shared" si="21"/>
        <v>981446.33286835393</v>
      </c>
      <c r="G142" s="394">
        <v>675</v>
      </c>
      <c r="H142" s="394">
        <f t="shared" si="22"/>
        <v>980771.33286835393</v>
      </c>
      <c r="I142" s="424">
        <f t="shared" si="23"/>
        <v>-2.6455026455026731E-3</v>
      </c>
      <c r="J142" s="424">
        <f t="shared" si="24"/>
        <v>3.9825111353068987E-3</v>
      </c>
      <c r="K142" s="433"/>
      <c r="L142" s="394">
        <f t="shared" si="16"/>
        <v>18.849999999999913</v>
      </c>
      <c r="M142" s="394">
        <f t="shared" si="17"/>
        <v>21446.332868353929</v>
      </c>
    </row>
    <row r="143" spans="2:13" ht="15" x14ac:dyDescent="0.25">
      <c r="B143" s="420">
        <f t="shared" si="18"/>
        <v>18.799999999999912</v>
      </c>
      <c r="C143" s="394">
        <f t="shared" si="19"/>
        <v>76682.128871045847</v>
      </c>
      <c r="D143" s="422">
        <v>6</v>
      </c>
      <c r="E143" s="421">
        <f t="shared" si="20"/>
        <v>12.799999999999912</v>
      </c>
      <c r="F143" s="394">
        <f t="shared" si="21"/>
        <v>981531.24954938004</v>
      </c>
      <c r="G143" s="394">
        <v>675</v>
      </c>
      <c r="H143" s="394">
        <f t="shared" si="22"/>
        <v>980856.24954938004</v>
      </c>
      <c r="I143" s="424">
        <f t="shared" si="23"/>
        <v>-2.6525198938992522E-3</v>
      </c>
      <c r="J143" s="424">
        <f t="shared" si="24"/>
        <v>3.9931099575509776E-3</v>
      </c>
      <c r="K143" s="433"/>
      <c r="L143" s="394">
        <f t="shared" si="16"/>
        <v>18.799999999999912</v>
      </c>
      <c r="M143" s="394">
        <f t="shared" si="17"/>
        <v>21531.249549380038</v>
      </c>
    </row>
    <row r="144" spans="2:13" ht="15" x14ac:dyDescent="0.25">
      <c r="B144" s="420">
        <f t="shared" si="18"/>
        <v>18.749999999999911</v>
      </c>
      <c r="C144" s="394">
        <f t="shared" si="19"/>
        <v>76989.1461211594</v>
      </c>
      <c r="D144" s="422">
        <v>6</v>
      </c>
      <c r="E144" s="421">
        <f t="shared" si="20"/>
        <v>12.749999999999911</v>
      </c>
      <c r="F144" s="394">
        <f t="shared" si="21"/>
        <v>981611.61304477556</v>
      </c>
      <c r="G144" s="394">
        <v>675</v>
      </c>
      <c r="H144" s="394">
        <f t="shared" si="22"/>
        <v>980936.61304477556</v>
      </c>
      <c r="I144" s="424">
        <f t="shared" si="23"/>
        <v>-2.6595744680851796E-3</v>
      </c>
      <c r="J144" s="424">
        <f t="shared" si="24"/>
        <v>4.0037653444631172E-3</v>
      </c>
      <c r="K144" s="433"/>
      <c r="L144" s="394">
        <f t="shared" si="16"/>
        <v>18.749999999999911</v>
      </c>
      <c r="M144" s="394">
        <f t="shared" si="17"/>
        <v>21611.613044775557</v>
      </c>
    </row>
    <row r="145" spans="2:13" ht="15" x14ac:dyDescent="0.25">
      <c r="B145" s="420">
        <f t="shared" si="18"/>
        <v>18.69999999999991</v>
      </c>
      <c r="C145" s="394">
        <f t="shared" si="19"/>
        <v>77298.217335259862</v>
      </c>
      <c r="D145" s="422">
        <v>6</v>
      </c>
      <c r="E145" s="421">
        <f t="shared" si="20"/>
        <v>12.69999999999991</v>
      </c>
      <c r="F145" s="394">
        <f t="shared" si="21"/>
        <v>981687.36015779327</v>
      </c>
      <c r="G145" s="394">
        <v>675</v>
      </c>
      <c r="H145" s="394">
        <f t="shared" si="22"/>
        <v>981012.36015779327</v>
      </c>
      <c r="I145" s="424">
        <f t="shared" si="23"/>
        <v>-2.666666666666706E-3</v>
      </c>
      <c r="J145" s="424">
        <f t="shared" si="24"/>
        <v>4.0144777500723539E-3</v>
      </c>
      <c r="K145" s="433"/>
      <c r="L145" s="394">
        <f t="shared" si="16"/>
        <v>18.69999999999991</v>
      </c>
      <c r="M145" s="394">
        <f t="shared" si="17"/>
        <v>21687.360157793271</v>
      </c>
    </row>
    <row r="146" spans="2:13" ht="15" x14ac:dyDescent="0.25">
      <c r="B146" s="420">
        <f t="shared" si="18"/>
        <v>18.64999999999991</v>
      </c>
      <c r="C146" s="394">
        <f t="shared" si="19"/>
        <v>77609.361801645442</v>
      </c>
      <c r="D146" s="422">
        <v>6</v>
      </c>
      <c r="E146" s="421">
        <f t="shared" si="20"/>
        <v>12.64999999999991</v>
      </c>
      <c r="F146" s="394">
        <f t="shared" si="21"/>
        <v>981758.42679080786</v>
      </c>
      <c r="G146" s="394">
        <v>675</v>
      </c>
      <c r="H146" s="394">
        <f t="shared" si="22"/>
        <v>981083.42679080786</v>
      </c>
      <c r="I146" s="424">
        <f t="shared" si="23"/>
        <v>-2.673796791443861E-3</v>
      </c>
      <c r="J146" s="424">
        <f t="shared" si="24"/>
        <v>4.0252476332807152E-3</v>
      </c>
      <c r="K146" s="433"/>
      <c r="L146" s="394">
        <f t="shared" si="16"/>
        <v>18.64999999999991</v>
      </c>
      <c r="M146" s="394">
        <f t="shared" si="17"/>
        <v>21758.426790807862</v>
      </c>
    </row>
    <row r="147" spans="2:13" ht="15" x14ac:dyDescent="0.25">
      <c r="B147" s="420">
        <f t="shared" si="18"/>
        <v>18.599999999999909</v>
      </c>
      <c r="C147" s="394">
        <f t="shared" si="19"/>
        <v>77922.599042118542</v>
      </c>
      <c r="D147" s="422">
        <v>6</v>
      </c>
      <c r="E147" s="421">
        <f t="shared" si="20"/>
        <v>12.599999999999909</v>
      </c>
      <c r="F147" s="394">
        <f t="shared" si="21"/>
        <v>981824.74793068657</v>
      </c>
      <c r="G147" s="394">
        <v>675</v>
      </c>
      <c r="H147" s="394">
        <f t="shared" si="22"/>
        <v>981149.74793068657</v>
      </c>
      <c r="I147" s="424">
        <f t="shared" si="23"/>
        <v>-2.6809651474530849E-3</v>
      </c>
      <c r="J147" s="424">
        <f t="shared" si="24"/>
        <v>4.0360754579282787E-3</v>
      </c>
      <c r="K147" s="433"/>
      <c r="L147" s="394">
        <f t="shared" si="16"/>
        <v>18.599999999999909</v>
      </c>
      <c r="M147" s="394">
        <f t="shared" si="17"/>
        <v>21824.747930686572</v>
      </c>
    </row>
    <row r="148" spans="2:13" ht="15" x14ac:dyDescent="0.25">
      <c r="B148" s="420">
        <f t="shared" si="18"/>
        <v>18.549999999999908</v>
      </c>
      <c r="C148" s="394">
        <f t="shared" si="19"/>
        <v>78237.94881544997</v>
      </c>
      <c r="D148" s="422">
        <v>6</v>
      </c>
      <c r="E148" s="421">
        <f t="shared" si="20"/>
        <v>12.549999999999908</v>
      </c>
      <c r="F148" s="394">
        <f t="shared" si="21"/>
        <v>981886.25763388991</v>
      </c>
      <c r="G148" s="394">
        <v>675</v>
      </c>
      <c r="H148" s="394">
        <f t="shared" si="22"/>
        <v>981211.25763388991</v>
      </c>
      <c r="I148" s="424">
        <f t="shared" si="23"/>
        <v>-2.6881720430107503E-3</v>
      </c>
      <c r="J148" s="424">
        <f t="shared" si="24"/>
        <v>4.0469616928584529E-3</v>
      </c>
      <c r="K148" s="433"/>
      <c r="L148" s="394">
        <f t="shared" ref="L148:L211" si="25">+B148</f>
        <v>18.549999999999908</v>
      </c>
      <c r="M148" s="394">
        <f t="shared" ref="M148:M211" si="26">+F148-960000</f>
        <v>21886.257633889909</v>
      </c>
    </row>
    <row r="149" spans="2:13" ht="15" x14ac:dyDescent="0.25">
      <c r="B149" s="420">
        <f t="shared" ref="B149:B212" si="27">+B148-0.05</f>
        <v>18.499999999999908</v>
      </c>
      <c r="C149" s="394">
        <f t="shared" ref="C149:C212" si="28">+C148*(1+J149)</f>
        <v>78555.431120904119</v>
      </c>
      <c r="D149" s="422">
        <v>6</v>
      </c>
      <c r="E149" s="421">
        <f t="shared" ref="E149:E212" si="29">+B149-D149</f>
        <v>12.499999999999908</v>
      </c>
      <c r="F149" s="394">
        <f t="shared" ref="F149:F212" si="30">+E149*C149</f>
        <v>981942.88901129423</v>
      </c>
      <c r="G149" s="394">
        <v>675</v>
      </c>
      <c r="H149" s="394">
        <f t="shared" ref="H149:H212" si="31">+F149-G149</f>
        <v>981267.88901129423</v>
      </c>
      <c r="I149" s="424">
        <f t="shared" ref="I149:I212" si="32">+B149/B148-1</f>
        <v>-2.6954177897574594E-3</v>
      </c>
      <c r="J149" s="424">
        <f t="shared" ref="J149:J212" si="33">+(1+I149)^$E$14-1</f>
        <v>4.0579068119874773E-3</v>
      </c>
      <c r="K149" s="433"/>
      <c r="L149" s="394">
        <f t="shared" si="25"/>
        <v>18.499999999999908</v>
      </c>
      <c r="M149" s="394">
        <f t="shared" si="26"/>
        <v>21942.889011294232</v>
      </c>
    </row>
    <row r="150" spans="2:13" ht="15" x14ac:dyDescent="0.25">
      <c r="B150" s="420">
        <f t="shared" si="27"/>
        <v>18.449999999999907</v>
      </c>
      <c r="C150" s="394">
        <f t="shared" si="28"/>
        <v>78875.066201826237</v>
      </c>
      <c r="D150" s="422">
        <v>6</v>
      </c>
      <c r="E150" s="421">
        <f t="shared" si="29"/>
        <v>12.449999999999907</v>
      </c>
      <c r="F150" s="394">
        <f t="shared" si="30"/>
        <v>981994.57421272935</v>
      </c>
      <c r="G150" s="394">
        <v>675</v>
      </c>
      <c r="H150" s="394">
        <f t="shared" si="31"/>
        <v>981319.57421272935</v>
      </c>
      <c r="I150" s="424">
        <f t="shared" si="32"/>
        <v>-2.7027027027027861E-3</v>
      </c>
      <c r="J150" s="424">
        <f t="shared" si="33"/>
        <v>4.0689112943721462E-3</v>
      </c>
      <c r="K150" s="433"/>
      <c r="L150" s="394">
        <f t="shared" si="25"/>
        <v>18.449999999999907</v>
      </c>
      <c r="M150" s="394">
        <f t="shared" si="26"/>
        <v>21994.574212729349</v>
      </c>
    </row>
    <row r="151" spans="2:13" ht="15" x14ac:dyDescent="0.25">
      <c r="B151" s="420">
        <f t="shared" si="27"/>
        <v>18.399999999999906</v>
      </c>
      <c r="C151" s="394">
        <f t="shared" si="28"/>
        <v>79196.874549293105</v>
      </c>
      <c r="D151" s="422">
        <v>6</v>
      </c>
      <c r="E151" s="421">
        <f t="shared" si="29"/>
        <v>12.399999999999906</v>
      </c>
      <c r="F151" s="394">
        <f t="shared" si="30"/>
        <v>982041.24441122706</v>
      </c>
      <c r="G151" s="394">
        <v>675</v>
      </c>
      <c r="H151" s="394">
        <f t="shared" si="31"/>
        <v>981366.24441122706</v>
      </c>
      <c r="I151" s="424">
        <f t="shared" si="32"/>
        <v>-2.7100271002710175E-3</v>
      </c>
      <c r="J151" s="424">
        <f t="shared" si="33"/>
        <v>4.0799756242793084E-3</v>
      </c>
      <c r="K151" s="433"/>
      <c r="L151" s="394">
        <f t="shared" si="25"/>
        <v>18.399999999999906</v>
      </c>
      <c r="M151" s="394">
        <f t="shared" si="26"/>
        <v>22041.24441122706</v>
      </c>
    </row>
    <row r="152" spans="2:13" ht="15" x14ac:dyDescent="0.25">
      <c r="B152" s="420">
        <f t="shared" si="27"/>
        <v>18.349999999999905</v>
      </c>
      <c r="C152" s="394">
        <f t="shared" si="28"/>
        <v>79520.876905828482</v>
      </c>
      <c r="D152" s="422">
        <v>6</v>
      </c>
      <c r="E152" s="421">
        <f t="shared" si="29"/>
        <v>12.349999999999905</v>
      </c>
      <c r="F152" s="394">
        <f t="shared" si="30"/>
        <v>982082.82978697424</v>
      </c>
      <c r="G152" s="394">
        <v>675</v>
      </c>
      <c r="H152" s="394">
        <f t="shared" si="31"/>
        <v>981407.82978697424</v>
      </c>
      <c r="I152" s="424">
        <f t="shared" si="32"/>
        <v>-2.7173913043478937E-3</v>
      </c>
      <c r="J152" s="424">
        <f t="shared" si="33"/>
        <v>4.091100291258476E-3</v>
      </c>
      <c r="K152" s="433"/>
      <c r="L152" s="394">
        <f t="shared" si="25"/>
        <v>18.349999999999905</v>
      </c>
      <c r="M152" s="394">
        <f t="shared" si="26"/>
        <v>22082.829786974238</v>
      </c>
    </row>
    <row r="153" spans="2:13" ht="15" x14ac:dyDescent="0.25">
      <c r="B153" s="420">
        <f t="shared" si="27"/>
        <v>18.299999999999905</v>
      </c>
      <c r="C153" s="394">
        <f t="shared" si="28"/>
        <v>79847.094269184498</v>
      </c>
      <c r="D153" s="422">
        <v>6</v>
      </c>
      <c r="E153" s="421">
        <f t="shared" si="29"/>
        <v>12.299999999999905</v>
      </c>
      <c r="F153" s="394">
        <f t="shared" si="30"/>
        <v>982119.25951096171</v>
      </c>
      <c r="G153" s="394">
        <v>675</v>
      </c>
      <c r="H153" s="394">
        <f t="shared" si="31"/>
        <v>981444.25951096171</v>
      </c>
      <c r="I153" s="424">
        <f t="shared" si="32"/>
        <v>-2.7247956403270157E-3</v>
      </c>
      <c r="J153" s="424">
        <f t="shared" si="33"/>
        <v>4.1022857902124343E-3</v>
      </c>
      <c r="K153" s="433"/>
      <c r="L153" s="394">
        <f t="shared" si="25"/>
        <v>18.299999999999905</v>
      </c>
      <c r="M153" s="394">
        <f t="shared" si="26"/>
        <v>22119.25951096171</v>
      </c>
    </row>
    <row r="154" spans="2:13" ht="15" x14ac:dyDescent="0.25">
      <c r="B154" s="420">
        <f t="shared" si="27"/>
        <v>18.249999999999904</v>
      </c>
      <c r="C154" s="394">
        <f t="shared" si="28"/>
        <v>80175.547896190503</v>
      </c>
      <c r="D154" s="422">
        <v>6</v>
      </c>
      <c r="E154" s="421">
        <f t="shared" si="29"/>
        <v>12.249999999999904</v>
      </c>
      <c r="F154" s="394">
        <f t="shared" si="30"/>
        <v>982150.46172832593</v>
      </c>
      <c r="G154" s="394">
        <v>675</v>
      </c>
      <c r="H154" s="394">
        <f t="shared" si="31"/>
        <v>981475.46172832593</v>
      </c>
      <c r="I154" s="424">
        <f t="shared" si="32"/>
        <v>-2.732240437158473E-3</v>
      </c>
      <c r="J154" s="424">
        <f t="shared" si="33"/>
        <v>4.1135326214716272E-3</v>
      </c>
      <c r="K154" s="433"/>
      <c r="L154" s="394">
        <f t="shared" si="25"/>
        <v>18.249999999999904</v>
      </c>
      <c r="M154" s="394">
        <f t="shared" si="26"/>
        <v>22150.461728325929</v>
      </c>
    </row>
    <row r="155" spans="2:13" ht="15" x14ac:dyDescent="0.25">
      <c r="B155" s="420">
        <f t="shared" si="27"/>
        <v>18.199999999999903</v>
      </c>
      <c r="C155" s="394">
        <f t="shared" si="28"/>
        <v>80506.259306670661</v>
      </c>
      <c r="D155" s="422">
        <v>6</v>
      </c>
      <c r="E155" s="421">
        <f t="shared" si="29"/>
        <v>12.199999999999903</v>
      </c>
      <c r="F155" s="394">
        <f t="shared" si="30"/>
        <v>982176.36354137433</v>
      </c>
      <c r="G155" s="394">
        <v>675</v>
      </c>
      <c r="H155" s="394">
        <f t="shared" si="31"/>
        <v>981501.36354137433</v>
      </c>
      <c r="I155" s="424">
        <f t="shared" si="32"/>
        <v>-2.73972602739736E-3</v>
      </c>
      <c r="J155" s="424">
        <f t="shared" si="33"/>
        <v>4.1248412908678755E-3</v>
      </c>
      <c r="K155" s="433"/>
      <c r="L155" s="394">
        <f t="shared" si="25"/>
        <v>18.199999999999903</v>
      </c>
      <c r="M155" s="394">
        <f t="shared" si="26"/>
        <v>22176.363541374332</v>
      </c>
    </row>
    <row r="156" spans="2:13" ht="15" x14ac:dyDescent="0.25">
      <c r="B156" s="420">
        <f t="shared" si="27"/>
        <v>18.149999999999903</v>
      </c>
      <c r="C156" s="394">
        <f t="shared" si="28"/>
        <v>80839.250287431787</v>
      </c>
      <c r="D156" s="422">
        <v>6</v>
      </c>
      <c r="E156" s="421">
        <f t="shared" si="29"/>
        <v>12.149999999999903</v>
      </c>
      <c r="F156" s="394">
        <f t="shared" si="30"/>
        <v>982196.89099228836</v>
      </c>
      <c r="G156" s="394">
        <v>675</v>
      </c>
      <c r="H156" s="394">
        <f t="shared" si="31"/>
        <v>981521.89099228836</v>
      </c>
      <c r="I156" s="424">
        <f t="shared" si="32"/>
        <v>-2.7472527472528485E-3</v>
      </c>
      <c r="J156" s="424">
        <f t="shared" si="33"/>
        <v>4.1362123098114267E-3</v>
      </c>
      <c r="K156" s="433"/>
      <c r="L156" s="394">
        <f t="shared" si="25"/>
        <v>18.149999999999903</v>
      </c>
      <c r="M156" s="394">
        <f t="shared" si="26"/>
        <v>22196.890992288361</v>
      </c>
    </row>
    <row r="157" spans="2:13" ht="15" x14ac:dyDescent="0.25">
      <c r="B157" s="420">
        <f t="shared" si="27"/>
        <v>18.099999999999902</v>
      </c>
      <c r="C157" s="394">
        <f t="shared" si="28"/>
        <v>81174.542896322731</v>
      </c>
      <c r="D157" s="422">
        <v>6</v>
      </c>
      <c r="E157" s="421">
        <f t="shared" si="29"/>
        <v>12.099999999999902</v>
      </c>
      <c r="F157" s="394">
        <f t="shared" si="30"/>
        <v>982211.96904549713</v>
      </c>
      <c r="G157" s="394">
        <v>675</v>
      </c>
      <c r="H157" s="394">
        <f t="shared" si="31"/>
        <v>981536.96904549713</v>
      </c>
      <c r="I157" s="424">
        <f t="shared" si="32"/>
        <v>-2.7548209366391463E-3</v>
      </c>
      <c r="J157" s="424">
        <f t="shared" si="33"/>
        <v>4.1476461953664501E-3</v>
      </c>
      <c r="K157" s="433"/>
      <c r="L157" s="394">
        <f t="shared" si="25"/>
        <v>18.099999999999902</v>
      </c>
      <c r="M157" s="394">
        <f t="shared" si="26"/>
        <v>22211.969045497128</v>
      </c>
    </row>
    <row r="158" spans="2:13" ht="15" x14ac:dyDescent="0.25">
      <c r="B158" s="420">
        <f t="shared" si="27"/>
        <v>18.049999999999901</v>
      </c>
      <c r="C158" s="394">
        <f t="shared" si="28"/>
        <v>81512.159466367128</v>
      </c>
      <c r="D158" s="422">
        <v>6</v>
      </c>
      <c r="E158" s="421">
        <f t="shared" si="29"/>
        <v>12.049999999999901</v>
      </c>
      <c r="F158" s="394">
        <f t="shared" si="30"/>
        <v>982221.52156971581</v>
      </c>
      <c r="G158" s="394">
        <v>675</v>
      </c>
      <c r="H158" s="394">
        <f t="shared" si="31"/>
        <v>981546.52156971581</v>
      </c>
      <c r="I158" s="424">
        <f t="shared" si="32"/>
        <v>-2.7624309392265678E-3</v>
      </c>
      <c r="J158" s="424">
        <f t="shared" si="33"/>
        <v>4.1591434703316388E-3</v>
      </c>
      <c r="K158" s="433"/>
      <c r="L158" s="394">
        <f t="shared" si="25"/>
        <v>18.049999999999901</v>
      </c>
      <c r="M158" s="394">
        <f t="shared" si="26"/>
        <v>22221.521569715813</v>
      </c>
    </row>
    <row r="159" spans="2:13" ht="15" x14ac:dyDescent="0.25">
      <c r="B159" s="425">
        <f t="shared" si="27"/>
        <v>17.999999999999901</v>
      </c>
      <c r="C159" s="409">
        <f t="shared" si="28"/>
        <v>81852.122609970567</v>
      </c>
      <c r="D159" s="426">
        <v>6</v>
      </c>
      <c r="E159" s="427">
        <f t="shared" si="29"/>
        <v>11.999999999999901</v>
      </c>
      <c r="F159" s="409">
        <f t="shared" si="30"/>
        <v>982225.47131963866</v>
      </c>
      <c r="G159" s="409">
        <v>675</v>
      </c>
      <c r="H159" s="409">
        <f t="shared" si="31"/>
        <v>981550.47131963866</v>
      </c>
      <c r="I159" s="428">
        <f t="shared" si="32"/>
        <v>-2.7700831024931594E-3</v>
      </c>
      <c r="J159" s="428">
        <f t="shared" si="33"/>
        <v>4.1707046633172595E-3</v>
      </c>
      <c r="K159" s="434"/>
      <c r="L159" s="406">
        <f t="shared" si="25"/>
        <v>17.999999999999901</v>
      </c>
      <c r="M159" s="406">
        <f t="shared" si="26"/>
        <v>22225.471319638658</v>
      </c>
    </row>
    <row r="160" spans="2:13" ht="15" x14ac:dyDescent="0.25">
      <c r="B160" s="420">
        <f t="shared" si="27"/>
        <v>17.9499999999999</v>
      </c>
      <c r="C160" s="394">
        <f t="shared" si="28"/>
        <v>82194.455223204146</v>
      </c>
      <c r="D160" s="422">
        <v>6</v>
      </c>
      <c r="E160" s="421">
        <f t="shared" si="29"/>
        <v>11.9499999999999</v>
      </c>
      <c r="F160" s="394">
        <f t="shared" si="30"/>
        <v>982223.73991728132</v>
      </c>
      <c r="G160" s="394">
        <v>675</v>
      </c>
      <c r="H160" s="394">
        <f t="shared" si="31"/>
        <v>981548.73991728132</v>
      </c>
      <c r="I160" s="424">
        <f t="shared" si="32"/>
        <v>-2.7777777777778789E-3</v>
      </c>
      <c r="J160" s="424">
        <f t="shared" si="33"/>
        <v>4.1823303088279751E-3</v>
      </c>
      <c r="K160" s="433"/>
      <c r="L160" s="394">
        <f t="shared" si="25"/>
        <v>17.9499999999999</v>
      </c>
      <c r="M160" s="394">
        <f t="shared" si="26"/>
        <v>22223.739917281317</v>
      </c>
    </row>
    <row r="161" spans="2:13" ht="15" x14ac:dyDescent="0.25">
      <c r="B161" s="420">
        <f t="shared" si="27"/>
        <v>17.899999999999899</v>
      </c>
      <c r="C161" s="394">
        <f t="shared" si="28"/>
        <v>82539.180490165862</v>
      </c>
      <c r="D161" s="422">
        <v>6</v>
      </c>
      <c r="E161" s="421">
        <f t="shared" si="29"/>
        <v>11.899999999999899</v>
      </c>
      <c r="F161" s="394">
        <f t="shared" si="30"/>
        <v>982216.24783296546</v>
      </c>
      <c r="G161" s="394">
        <v>675</v>
      </c>
      <c r="H161" s="394">
        <f t="shared" si="31"/>
        <v>981541.24783296546</v>
      </c>
      <c r="I161" s="424">
        <f t="shared" si="32"/>
        <v>-2.7855153203343308E-3</v>
      </c>
      <c r="J161" s="424">
        <f t="shared" si="33"/>
        <v>4.1940209473447787E-3</v>
      </c>
      <c r="K161" s="433"/>
      <c r="L161" s="394">
        <f t="shared" si="25"/>
        <v>17.899999999999899</v>
      </c>
      <c r="M161" s="394">
        <f t="shared" si="26"/>
        <v>22216.247832965455</v>
      </c>
    </row>
    <row r="162" spans="2:13" ht="15" x14ac:dyDescent="0.25">
      <c r="B162" s="420">
        <f t="shared" si="27"/>
        <v>17.849999999999898</v>
      </c>
      <c r="C162" s="394">
        <f t="shared" si="28"/>
        <v>82886.321887421378</v>
      </c>
      <c r="D162" s="422">
        <v>6</v>
      </c>
      <c r="E162" s="421">
        <f t="shared" si="29"/>
        <v>11.849999999999898</v>
      </c>
      <c r="F162" s="394">
        <f t="shared" si="30"/>
        <v>982202.91436593491</v>
      </c>
      <c r="G162" s="394">
        <v>675</v>
      </c>
      <c r="H162" s="394">
        <f t="shared" si="31"/>
        <v>981527.91436593491</v>
      </c>
      <c r="I162" s="424">
        <f t="shared" si="32"/>
        <v>-2.7932960893854997E-3</v>
      </c>
      <c r="J162" s="424">
        <f t="shared" si="33"/>
        <v>4.2057771254087051E-3</v>
      </c>
      <c r="K162" s="433"/>
      <c r="L162" s="394">
        <f t="shared" si="25"/>
        <v>17.849999999999898</v>
      </c>
      <c r="M162" s="394">
        <f t="shared" si="26"/>
        <v>22202.914365934907</v>
      </c>
    </row>
    <row r="163" spans="2:13" ht="15" x14ac:dyDescent="0.25">
      <c r="B163" s="420">
        <f t="shared" si="27"/>
        <v>17.799999999999898</v>
      </c>
      <c r="C163" s="394">
        <f t="shared" si="28"/>
        <v>83235.903188526092</v>
      </c>
      <c r="D163" s="422">
        <v>6</v>
      </c>
      <c r="E163" s="421">
        <f t="shared" si="29"/>
        <v>11.799999999999898</v>
      </c>
      <c r="F163" s="394">
        <f t="shared" si="30"/>
        <v>982183.65762459941</v>
      </c>
      <c r="G163" s="394">
        <v>675</v>
      </c>
      <c r="H163" s="394">
        <f t="shared" si="31"/>
        <v>981508.65762459941</v>
      </c>
      <c r="I163" s="424">
        <f t="shared" si="32"/>
        <v>-2.8011204481793728E-3</v>
      </c>
      <c r="J163" s="424">
        <f t="shared" si="33"/>
        <v>4.2175993957063174E-3</v>
      </c>
      <c r="K163" s="433"/>
      <c r="L163" s="394">
        <f t="shared" si="25"/>
        <v>17.799999999999898</v>
      </c>
      <c r="M163" s="394">
        <f t="shared" si="26"/>
        <v>22183.657624599407</v>
      </c>
    </row>
    <row r="164" spans="2:13" ht="15" x14ac:dyDescent="0.25">
      <c r="B164" s="420">
        <f t="shared" si="27"/>
        <v>17.749999999999897</v>
      </c>
      <c r="C164" s="394">
        <f t="shared" si="28"/>
        <v>83587.948468629809</v>
      </c>
      <c r="D164" s="422">
        <v>6</v>
      </c>
      <c r="E164" s="421">
        <f t="shared" si="29"/>
        <v>11.749999999999897</v>
      </c>
      <c r="F164" s="394">
        <f t="shared" si="30"/>
        <v>982158.3945063916</v>
      </c>
      <c r="G164" s="394">
        <v>675</v>
      </c>
      <c r="H164" s="394">
        <f t="shared" si="31"/>
        <v>981483.3945063916</v>
      </c>
      <c r="I164" s="424">
        <f t="shared" si="32"/>
        <v>-2.8089887640450062E-3</v>
      </c>
      <c r="J164" s="424">
        <f t="shared" si="33"/>
        <v>4.2294883171549724E-3</v>
      </c>
      <c r="K164" s="433"/>
      <c r="L164" s="394">
        <f t="shared" si="25"/>
        <v>17.749999999999897</v>
      </c>
      <c r="M164" s="394">
        <f t="shared" si="26"/>
        <v>22158.394506391603</v>
      </c>
    </row>
    <row r="165" spans="2:13" ht="15" x14ac:dyDescent="0.25">
      <c r="B165" s="420">
        <f t="shared" si="27"/>
        <v>17.699999999999896</v>
      </c>
      <c r="C165" s="394">
        <f t="shared" si="28"/>
        <v>83942.482109166333</v>
      </c>
      <c r="D165" s="422">
        <v>6</v>
      </c>
      <c r="E165" s="421">
        <f t="shared" si="29"/>
        <v>11.699999999999896</v>
      </c>
      <c r="F165" s="394">
        <f t="shared" si="30"/>
        <v>982127.04067723732</v>
      </c>
      <c r="G165" s="394">
        <v>675</v>
      </c>
      <c r="H165" s="394">
        <f t="shared" si="31"/>
        <v>981452.04067723732</v>
      </c>
      <c r="I165" s="424">
        <f t="shared" si="32"/>
        <v>-2.8169014084508115E-3</v>
      </c>
      <c r="J165" s="424">
        <f t="shared" si="33"/>
        <v>4.2414444549931929E-3</v>
      </c>
      <c r="K165" s="433"/>
      <c r="L165" s="394">
        <f t="shared" si="25"/>
        <v>17.699999999999896</v>
      </c>
      <c r="M165" s="394">
        <f t="shared" si="26"/>
        <v>22127.040677237324</v>
      </c>
    </row>
    <row r="166" spans="2:13" ht="15" x14ac:dyDescent="0.25">
      <c r="B166" s="420">
        <f t="shared" si="27"/>
        <v>17.649999999999896</v>
      </c>
      <c r="C166" s="394">
        <f t="shared" si="28"/>
        <v>84299.528802629226</v>
      </c>
      <c r="D166" s="422">
        <v>6</v>
      </c>
      <c r="E166" s="421">
        <f t="shared" si="29"/>
        <v>11.649999999999896</v>
      </c>
      <c r="F166" s="394">
        <f t="shared" si="30"/>
        <v>982089.51055062166</v>
      </c>
      <c r="G166" s="394">
        <v>675</v>
      </c>
      <c r="H166" s="394">
        <f t="shared" si="31"/>
        <v>981414.51055062166</v>
      </c>
      <c r="I166" s="424">
        <f t="shared" si="32"/>
        <v>-2.8248587570621764E-3</v>
      </c>
      <c r="J166" s="424">
        <f t="shared" si="33"/>
        <v>4.2534683808677087E-3</v>
      </c>
      <c r="K166" s="433"/>
      <c r="L166" s="394">
        <f t="shared" si="25"/>
        <v>17.649999999999896</v>
      </c>
      <c r="M166" s="394">
        <f t="shared" si="26"/>
        <v>22089.510550621664</v>
      </c>
    </row>
    <row r="167" spans="2:13" ht="15" x14ac:dyDescent="0.25">
      <c r="B167" s="420">
        <f t="shared" si="27"/>
        <v>17.599999999999895</v>
      </c>
      <c r="C167" s="394">
        <f t="shared" si="28"/>
        <v>84659.113557435994</v>
      </c>
      <c r="D167" s="422">
        <v>6</v>
      </c>
      <c r="E167" s="421">
        <f t="shared" si="29"/>
        <v>11.599999999999895</v>
      </c>
      <c r="F167" s="394">
        <f t="shared" si="30"/>
        <v>982045.71726624866</v>
      </c>
      <c r="G167" s="394">
        <v>675</v>
      </c>
      <c r="H167" s="394">
        <f t="shared" si="31"/>
        <v>981370.71726624866</v>
      </c>
      <c r="I167" s="424">
        <f t="shared" si="32"/>
        <v>-2.8328611898017497E-3</v>
      </c>
      <c r="J167" s="424">
        <f t="shared" si="33"/>
        <v>4.265560672926938E-3</v>
      </c>
      <c r="K167" s="433"/>
      <c r="L167" s="394">
        <f t="shared" si="25"/>
        <v>17.599999999999895</v>
      </c>
      <c r="M167" s="394">
        <f t="shared" si="26"/>
        <v>22045.717266248656</v>
      </c>
    </row>
    <row r="168" spans="2:13" ht="15" x14ac:dyDescent="0.25">
      <c r="B168" s="420">
        <f t="shared" si="27"/>
        <v>17.549999999999894</v>
      </c>
      <c r="C168" s="394">
        <f t="shared" si="28"/>
        <v>85021.26170288233</v>
      </c>
      <c r="D168" s="422">
        <v>6</v>
      </c>
      <c r="E168" s="421">
        <f t="shared" si="29"/>
        <v>11.549999999999894</v>
      </c>
      <c r="F168" s="394">
        <f t="shared" si="30"/>
        <v>981995.57266828185</v>
      </c>
      <c r="G168" s="394">
        <v>675</v>
      </c>
      <c r="H168" s="394">
        <f t="shared" si="31"/>
        <v>981320.57266828185</v>
      </c>
      <c r="I168" s="424">
        <f t="shared" si="32"/>
        <v>-2.8409090909091717E-3</v>
      </c>
      <c r="J168" s="424">
        <f t="shared" si="33"/>
        <v>4.277721915912025E-3</v>
      </c>
      <c r="K168" s="433"/>
      <c r="L168" s="394">
        <f t="shared" si="25"/>
        <v>17.549999999999894</v>
      </c>
      <c r="M168" s="394">
        <f t="shared" si="26"/>
        <v>21995.572668281849</v>
      </c>
    </row>
    <row r="169" spans="2:13" ht="15" x14ac:dyDescent="0.25">
      <c r="B169" s="420">
        <f t="shared" si="27"/>
        <v>17.499999999999893</v>
      </c>
      <c r="C169" s="394">
        <f t="shared" si="28"/>
        <v>85385.998894188451</v>
      </c>
      <c r="D169" s="422">
        <v>6</v>
      </c>
      <c r="E169" s="421">
        <f t="shared" si="29"/>
        <v>11.499999999999893</v>
      </c>
      <c r="F169" s="394">
        <f t="shared" si="30"/>
        <v>981938.98728315812</v>
      </c>
      <c r="G169" s="394">
        <v>675</v>
      </c>
      <c r="H169" s="394">
        <f t="shared" si="31"/>
        <v>981263.98728315812</v>
      </c>
      <c r="I169" s="424">
        <f t="shared" si="32"/>
        <v>-2.8490028490029129E-3</v>
      </c>
      <c r="J169" s="424">
        <f t="shared" si="33"/>
        <v>4.2899527012518757E-3</v>
      </c>
      <c r="K169" s="433"/>
      <c r="L169" s="394">
        <f t="shared" si="25"/>
        <v>17.499999999999893</v>
      </c>
      <c r="M169" s="394">
        <f t="shared" si="26"/>
        <v>21938.987283158116</v>
      </c>
    </row>
    <row r="170" spans="2:13" ht="15" x14ac:dyDescent="0.25">
      <c r="B170" s="420">
        <f t="shared" si="27"/>
        <v>17.449999999999893</v>
      </c>
      <c r="C170" s="394">
        <f t="shared" si="28"/>
        <v>85753.351117639497</v>
      </c>
      <c r="D170" s="422">
        <v>6</v>
      </c>
      <c r="E170" s="421">
        <f t="shared" si="29"/>
        <v>11.449999999999893</v>
      </c>
      <c r="F170" s="394">
        <f t="shared" si="30"/>
        <v>981875.87029696302</v>
      </c>
      <c r="G170" s="394">
        <v>675</v>
      </c>
      <c r="H170" s="394">
        <f t="shared" si="31"/>
        <v>981200.87029696302</v>
      </c>
      <c r="I170" s="424">
        <f t="shared" si="32"/>
        <v>-2.8571428571428914E-3</v>
      </c>
      <c r="J170" s="424">
        <f t="shared" si="33"/>
        <v>4.3022536271581924E-3</v>
      </c>
      <c r="K170" s="433"/>
      <c r="L170" s="394">
        <f t="shared" si="25"/>
        <v>17.449999999999893</v>
      </c>
      <c r="M170" s="394">
        <f t="shared" si="26"/>
        <v>21875.870296963025</v>
      </c>
    </row>
    <row r="171" spans="2:13" ht="15" x14ac:dyDescent="0.25">
      <c r="B171" s="420">
        <f t="shared" si="27"/>
        <v>17.399999999999892</v>
      </c>
      <c r="C171" s="394">
        <f t="shared" si="28"/>
        <v>86123.344695822088</v>
      </c>
      <c r="D171" s="422">
        <v>6</v>
      </c>
      <c r="E171" s="421">
        <f t="shared" si="29"/>
        <v>11.399999999999892</v>
      </c>
      <c r="F171" s="394">
        <f t="shared" si="30"/>
        <v>981806.12953236245</v>
      </c>
      <c r="G171" s="394">
        <v>675</v>
      </c>
      <c r="H171" s="394">
        <f t="shared" si="31"/>
        <v>981131.12953236245</v>
      </c>
      <c r="I171" s="424">
        <f t="shared" si="32"/>
        <v>-2.8653295128940881E-3</v>
      </c>
      <c r="J171" s="424">
        <f t="shared" si="33"/>
        <v>4.314625298724728E-3</v>
      </c>
      <c r="K171" s="433"/>
      <c r="L171" s="394">
        <f t="shared" si="25"/>
        <v>17.399999999999892</v>
      </c>
      <c r="M171" s="394">
        <f t="shared" si="26"/>
        <v>21806.129532362451</v>
      </c>
    </row>
    <row r="172" spans="2:13" ht="15" x14ac:dyDescent="0.25">
      <c r="B172" s="420">
        <f t="shared" si="27"/>
        <v>17.349999999999891</v>
      </c>
      <c r="C172" s="394">
        <f t="shared" si="28"/>
        <v>86496.006292958846</v>
      </c>
      <c r="D172" s="422">
        <v>6</v>
      </c>
      <c r="E172" s="421">
        <f t="shared" si="29"/>
        <v>11.349999999999891</v>
      </c>
      <c r="F172" s="394">
        <f t="shared" si="30"/>
        <v>981729.67142507352</v>
      </c>
      <c r="G172" s="394">
        <v>675</v>
      </c>
      <c r="H172" s="394">
        <f t="shared" si="31"/>
        <v>981054.67142507352</v>
      </c>
      <c r="I172" s="424">
        <f t="shared" si="32"/>
        <v>-2.8735632183908288E-3</v>
      </c>
      <c r="J172" s="424">
        <f t="shared" si="33"/>
        <v>4.3270683280236533E-3</v>
      </c>
      <c r="K172" s="433"/>
      <c r="L172" s="394">
        <f t="shared" si="25"/>
        <v>17.349999999999891</v>
      </c>
      <c r="M172" s="394">
        <f t="shared" si="26"/>
        <v>21729.671425073524</v>
      </c>
    </row>
    <row r="173" spans="2:13" ht="15" x14ac:dyDescent="0.25">
      <c r="B173" s="420">
        <f t="shared" si="27"/>
        <v>17.299999999999891</v>
      </c>
      <c r="C173" s="394">
        <f t="shared" si="28"/>
        <v>86871.362920343483</v>
      </c>
      <c r="D173" s="422">
        <v>6</v>
      </c>
      <c r="E173" s="421">
        <f t="shared" si="29"/>
        <v>11.299999999999891</v>
      </c>
      <c r="F173" s="394">
        <f t="shared" si="30"/>
        <v>981646.4009998719</v>
      </c>
      <c r="G173" s="394">
        <v>675</v>
      </c>
      <c r="H173" s="394">
        <f t="shared" si="31"/>
        <v>980971.4009998719</v>
      </c>
      <c r="I173" s="424">
        <f t="shared" si="32"/>
        <v>-2.8818443804035088E-3</v>
      </c>
      <c r="J173" s="424">
        <f t="shared" si="33"/>
        <v>4.3395833342099177E-3</v>
      </c>
      <c r="K173" s="433"/>
      <c r="L173" s="394">
        <f t="shared" si="25"/>
        <v>17.299999999999891</v>
      </c>
      <c r="M173" s="394">
        <f t="shared" si="26"/>
        <v>21646.400999871898</v>
      </c>
    </row>
    <row r="174" spans="2:13" ht="15" x14ac:dyDescent="0.25">
      <c r="B174" s="420">
        <f t="shared" si="27"/>
        <v>17.24999999999989</v>
      </c>
      <c r="C174" s="394">
        <f t="shared" si="28"/>
        <v>87249.441941878205</v>
      </c>
      <c r="D174" s="422">
        <v>6</v>
      </c>
      <c r="E174" s="421">
        <f t="shared" si="29"/>
        <v>11.24999999999989</v>
      </c>
      <c r="F174" s="394">
        <f t="shared" si="30"/>
        <v>981556.2218461202</v>
      </c>
      <c r="G174" s="394">
        <v>675</v>
      </c>
      <c r="H174" s="394">
        <f t="shared" si="31"/>
        <v>980881.2218461202</v>
      </c>
      <c r="I174" s="424">
        <f t="shared" si="32"/>
        <v>-2.8901734104046506E-3</v>
      </c>
      <c r="J174" s="424">
        <f t="shared" si="33"/>
        <v>4.3521709436216138E-3</v>
      </c>
      <c r="K174" s="433"/>
      <c r="L174" s="394">
        <f t="shared" si="25"/>
        <v>17.24999999999989</v>
      </c>
      <c r="M174" s="394">
        <f t="shared" si="26"/>
        <v>21556.221846120199</v>
      </c>
    </row>
    <row r="175" spans="2:13" ht="15" x14ac:dyDescent="0.25">
      <c r="B175" s="420">
        <f t="shared" si="27"/>
        <v>17.199999999999889</v>
      </c>
      <c r="C175" s="394">
        <f t="shared" si="28"/>
        <v>87630.271079715822</v>
      </c>
      <c r="D175" s="422">
        <v>6</v>
      </c>
      <c r="E175" s="421">
        <f t="shared" si="29"/>
        <v>11.199999999999889</v>
      </c>
      <c r="F175" s="394">
        <f t="shared" si="30"/>
        <v>981459.03609280754</v>
      </c>
      <c r="G175" s="394">
        <v>675</v>
      </c>
      <c r="H175" s="394">
        <f t="shared" si="31"/>
        <v>980784.03609280754</v>
      </c>
      <c r="I175" s="424">
        <f t="shared" si="32"/>
        <v>-2.8985507246377384E-3</v>
      </c>
      <c r="J175" s="424">
        <f t="shared" si="33"/>
        <v>4.3648317898847822E-3</v>
      </c>
      <c r="K175" s="433"/>
      <c r="L175" s="394">
        <f t="shared" si="25"/>
        <v>17.199999999999889</v>
      </c>
      <c r="M175" s="394">
        <f t="shared" si="26"/>
        <v>21459.036092807539</v>
      </c>
    </row>
    <row r="176" spans="2:13" ht="15" x14ac:dyDescent="0.25">
      <c r="B176" s="420">
        <f t="shared" si="27"/>
        <v>17.149999999999888</v>
      </c>
      <c r="C176" s="394">
        <f t="shared" si="28"/>
        <v>88013.878420008899</v>
      </c>
      <c r="D176" s="422">
        <v>6</v>
      </c>
      <c r="E176" s="421">
        <f t="shared" si="29"/>
        <v>11.149999999999888</v>
      </c>
      <c r="F176" s="394">
        <f t="shared" si="30"/>
        <v>981354.74438308936</v>
      </c>
      <c r="G176" s="394">
        <v>675</v>
      </c>
      <c r="H176" s="394">
        <f t="shared" si="31"/>
        <v>980679.74438308936</v>
      </c>
      <c r="I176" s="424">
        <f t="shared" si="32"/>
        <v>-2.9069767441860517E-3</v>
      </c>
      <c r="J176" s="424">
        <f t="shared" si="33"/>
        <v>4.3775665140202147E-3</v>
      </c>
      <c r="K176" s="433"/>
      <c r="L176" s="394">
        <f t="shared" si="25"/>
        <v>17.149999999999888</v>
      </c>
      <c r="M176" s="394">
        <f t="shared" si="26"/>
        <v>21354.744383089361</v>
      </c>
    </row>
    <row r="177" spans="2:13" ht="15" x14ac:dyDescent="0.25">
      <c r="B177" s="420">
        <f t="shared" si="27"/>
        <v>17.099999999999888</v>
      </c>
      <c r="C177" s="394">
        <f t="shared" si="28"/>
        <v>88400.292418768353</v>
      </c>
      <c r="D177" s="422">
        <v>6</v>
      </c>
      <c r="E177" s="421">
        <f t="shared" si="29"/>
        <v>11.099999999999888</v>
      </c>
      <c r="F177" s="394">
        <f t="shared" si="30"/>
        <v>981243.24584831879</v>
      </c>
      <c r="G177" s="394">
        <v>675</v>
      </c>
      <c r="H177" s="394">
        <f t="shared" si="31"/>
        <v>980568.24584831879</v>
      </c>
      <c r="I177" s="424">
        <f t="shared" si="32"/>
        <v>-2.9154518950438302E-3</v>
      </c>
      <c r="J177" s="424">
        <f t="shared" si="33"/>
        <v>4.3903757645522568E-3</v>
      </c>
      <c r="K177" s="433"/>
      <c r="L177" s="394">
        <f t="shared" si="25"/>
        <v>17.099999999999888</v>
      </c>
      <c r="M177" s="394">
        <f t="shared" si="26"/>
        <v>21243.245848318795</v>
      </c>
    </row>
    <row r="178" spans="2:13" ht="15" x14ac:dyDescent="0.25">
      <c r="B178" s="420">
        <f t="shared" si="27"/>
        <v>17.049999999999887</v>
      </c>
      <c r="C178" s="394">
        <f t="shared" si="28"/>
        <v>88789.541907833569</v>
      </c>
      <c r="D178" s="422">
        <v>6</v>
      </c>
      <c r="E178" s="421">
        <f t="shared" si="29"/>
        <v>11.049999999999887</v>
      </c>
      <c r="F178" s="394">
        <f t="shared" si="30"/>
        <v>981124.43808155088</v>
      </c>
      <c r="G178" s="394">
        <v>675</v>
      </c>
      <c r="H178" s="394">
        <f t="shared" si="31"/>
        <v>980449.43808155088</v>
      </c>
      <c r="I178" s="424">
        <f t="shared" si="32"/>
        <v>-2.9239766081872176E-3</v>
      </c>
      <c r="J178" s="424">
        <f t="shared" si="33"/>
        <v>4.4032601976164987E-3</v>
      </c>
      <c r="K178" s="433"/>
      <c r="L178" s="394">
        <f t="shared" si="25"/>
        <v>17.049999999999887</v>
      </c>
      <c r="M178" s="394">
        <f t="shared" si="26"/>
        <v>21124.438081550878</v>
      </c>
    </row>
    <row r="179" spans="2:13" ht="15" x14ac:dyDescent="0.25">
      <c r="B179" s="420">
        <f t="shared" si="27"/>
        <v>16.999999999999886</v>
      </c>
      <c r="C179" s="394">
        <f t="shared" si="28"/>
        <v>89181.656100957058</v>
      </c>
      <c r="D179" s="422">
        <v>6</v>
      </c>
      <c r="E179" s="421">
        <f t="shared" si="29"/>
        <v>10.999999999999886</v>
      </c>
      <c r="F179" s="394">
        <f t="shared" si="30"/>
        <v>980998.21711051755</v>
      </c>
      <c r="G179" s="394">
        <v>675</v>
      </c>
      <c r="H179" s="394">
        <f t="shared" si="31"/>
        <v>980323.21711051755</v>
      </c>
      <c r="I179" s="424">
        <f t="shared" si="32"/>
        <v>-2.9325513196482023E-3</v>
      </c>
      <c r="J179" s="424">
        <f t="shared" si="33"/>
        <v>4.4162204770750169E-3</v>
      </c>
      <c r="K179" s="433"/>
      <c r="L179" s="394">
        <f t="shared" si="25"/>
        <v>16.999999999999886</v>
      </c>
      <c r="M179" s="394">
        <f t="shared" si="26"/>
        <v>20998.217110517551</v>
      </c>
    </row>
    <row r="180" spans="2:13" ht="15" x14ac:dyDescent="0.25">
      <c r="B180" s="420">
        <f t="shared" si="27"/>
        <v>16.949999999999886</v>
      </c>
      <c r="C180" s="394">
        <f t="shared" si="28"/>
        <v>89576.664600005606</v>
      </c>
      <c r="D180" s="422">
        <v>6</v>
      </c>
      <c r="E180" s="421">
        <f t="shared" si="29"/>
        <v>10.949999999999886</v>
      </c>
      <c r="F180" s="394">
        <f t="shared" si="30"/>
        <v>980864.47737005109</v>
      </c>
      <c r="G180" s="394">
        <v>675</v>
      </c>
      <c r="H180" s="394">
        <f t="shared" si="31"/>
        <v>980189.47737005109</v>
      </c>
      <c r="I180" s="424">
        <f t="shared" si="32"/>
        <v>-2.9411764705883359E-3</v>
      </c>
      <c r="J180" s="424">
        <f t="shared" si="33"/>
        <v>4.4292572746280623E-3</v>
      </c>
      <c r="K180" s="433"/>
      <c r="L180" s="394">
        <f t="shared" si="25"/>
        <v>16.949999999999886</v>
      </c>
      <c r="M180" s="394">
        <f t="shared" si="26"/>
        <v>20864.477370051085</v>
      </c>
    </row>
    <row r="181" spans="2:13" ht="15" x14ac:dyDescent="0.25">
      <c r="B181" s="420">
        <f t="shared" si="27"/>
        <v>16.899999999999885</v>
      </c>
      <c r="C181" s="394">
        <f t="shared" si="28"/>
        <v>89974.597401280917</v>
      </c>
      <c r="D181" s="422">
        <v>6</v>
      </c>
      <c r="E181" s="421">
        <f t="shared" si="29"/>
        <v>10.899999999999885</v>
      </c>
      <c r="F181" s="394">
        <f t="shared" si="30"/>
        <v>980723.11167395161</v>
      </c>
      <c r="G181" s="394">
        <v>675</v>
      </c>
      <c r="H181" s="394">
        <f t="shared" si="31"/>
        <v>980048.11167395161</v>
      </c>
      <c r="I181" s="424">
        <f t="shared" si="32"/>
        <v>-2.9498525073746729E-3</v>
      </c>
      <c r="J181" s="424">
        <f t="shared" si="33"/>
        <v>4.442371269931078E-3</v>
      </c>
      <c r="K181" s="433"/>
      <c r="L181" s="394">
        <f t="shared" si="25"/>
        <v>16.899999999999885</v>
      </c>
      <c r="M181" s="394">
        <f t="shared" si="26"/>
        <v>20723.111673951615</v>
      </c>
    </row>
    <row r="182" spans="2:13" ht="15" x14ac:dyDescent="0.25">
      <c r="B182" s="420">
        <f t="shared" si="27"/>
        <v>16.849999999999884</v>
      </c>
      <c r="C182" s="394">
        <f t="shared" si="28"/>
        <v>90375.48490196222</v>
      </c>
      <c r="D182" s="422">
        <v>6</v>
      </c>
      <c r="E182" s="421">
        <f t="shared" si="29"/>
        <v>10.849999999999884</v>
      </c>
      <c r="F182" s="394">
        <f t="shared" si="30"/>
        <v>980574.01118627959</v>
      </c>
      <c r="G182" s="394">
        <v>675</v>
      </c>
      <c r="H182" s="394">
        <f t="shared" si="31"/>
        <v>979899.01118627959</v>
      </c>
      <c r="I182" s="424">
        <f t="shared" si="32"/>
        <v>-2.9585798816568198E-3</v>
      </c>
      <c r="J182" s="424">
        <f t="shared" si="33"/>
        <v>4.4555631507121607E-3</v>
      </c>
      <c r="K182" s="433"/>
      <c r="L182" s="394">
        <f t="shared" si="25"/>
        <v>16.849999999999884</v>
      </c>
      <c r="M182" s="394">
        <f t="shared" si="26"/>
        <v>20574.011186279589</v>
      </c>
    </row>
    <row r="183" spans="2:13" ht="15" x14ac:dyDescent="0.25">
      <c r="B183" s="420">
        <f t="shared" si="27"/>
        <v>16.799999999999883</v>
      </c>
      <c r="C183" s="394">
        <f t="shared" si="28"/>
        <v>90779.357906673642</v>
      </c>
      <c r="D183" s="422">
        <v>6</v>
      </c>
      <c r="E183" s="421">
        <f t="shared" si="29"/>
        <v>10.799999999999883</v>
      </c>
      <c r="F183" s="394">
        <f t="shared" si="30"/>
        <v>980417.06539206475</v>
      </c>
      <c r="G183" s="394">
        <v>675</v>
      </c>
      <c r="H183" s="394">
        <f t="shared" si="31"/>
        <v>979742.06539206475</v>
      </c>
      <c r="I183" s="424">
        <f t="shared" si="32"/>
        <v>-2.9673590504452063E-3</v>
      </c>
      <c r="J183" s="424">
        <f t="shared" si="33"/>
        <v>4.4688336128932971E-3</v>
      </c>
      <c r="K183" s="433"/>
      <c r="L183" s="394">
        <f t="shared" si="25"/>
        <v>16.799999999999883</v>
      </c>
      <c r="M183" s="394">
        <f t="shared" si="26"/>
        <v>20417.065392064746</v>
      </c>
    </row>
    <row r="184" spans="2:13" ht="15" x14ac:dyDescent="0.25">
      <c r="B184" s="420">
        <f t="shared" si="27"/>
        <v>16.749999999999883</v>
      </c>
      <c r="C184" s="394">
        <f t="shared" si="28"/>
        <v>91186.247634179061</v>
      </c>
      <c r="D184" s="422">
        <v>6</v>
      </c>
      <c r="E184" s="421">
        <f t="shared" si="29"/>
        <v>10.749999999999883</v>
      </c>
      <c r="F184" s="394">
        <f t="shared" si="30"/>
        <v>980252.16206741426</v>
      </c>
      <c r="G184" s="394">
        <v>675</v>
      </c>
      <c r="H184" s="394">
        <f t="shared" si="31"/>
        <v>979577.16206741426</v>
      </c>
      <c r="I184" s="424">
        <f t="shared" si="32"/>
        <v>-2.9761904761905766E-3</v>
      </c>
      <c r="J184" s="424">
        <f t="shared" si="33"/>
        <v>4.4821833607120443E-3</v>
      </c>
      <c r="K184" s="433"/>
      <c r="L184" s="394">
        <f t="shared" si="25"/>
        <v>16.749999999999883</v>
      </c>
      <c r="M184" s="394">
        <f t="shared" si="26"/>
        <v>20252.162067414261</v>
      </c>
    </row>
    <row r="185" spans="2:13" ht="15" x14ac:dyDescent="0.25">
      <c r="B185" s="420">
        <f t="shared" si="27"/>
        <v>16.699999999999882</v>
      </c>
      <c r="C185" s="394">
        <f t="shared" si="28"/>
        <v>91596.185724207346</v>
      </c>
      <c r="D185" s="422">
        <v>6</v>
      </c>
      <c r="E185" s="421">
        <f t="shared" si="29"/>
        <v>10.699999999999882</v>
      </c>
      <c r="F185" s="394">
        <f t="shared" si="30"/>
        <v>980079.18724900775</v>
      </c>
      <c r="G185" s="394">
        <v>675</v>
      </c>
      <c r="H185" s="394">
        <f t="shared" si="31"/>
        <v>979404.18724900775</v>
      </c>
      <c r="I185" s="424">
        <f t="shared" si="32"/>
        <v>-2.9850746268657025E-3</v>
      </c>
      <c r="J185" s="424">
        <f t="shared" si="33"/>
        <v>4.4956131068456529E-3</v>
      </c>
      <c r="K185" s="433"/>
      <c r="L185" s="394">
        <f t="shared" si="25"/>
        <v>16.699999999999882</v>
      </c>
      <c r="M185" s="394">
        <f t="shared" si="26"/>
        <v>20079.187249007751</v>
      </c>
    </row>
    <row r="186" spans="2:13" ht="15" x14ac:dyDescent="0.25">
      <c r="B186" s="420">
        <f t="shared" si="27"/>
        <v>16.649999999999881</v>
      </c>
      <c r="C186" s="394">
        <f t="shared" si="28"/>
        <v>92009.20424441107</v>
      </c>
      <c r="D186" s="422">
        <v>6</v>
      </c>
      <c r="E186" s="421">
        <f t="shared" si="29"/>
        <v>10.649999999999881</v>
      </c>
      <c r="F186" s="394">
        <f t="shared" si="30"/>
        <v>979898.02520296699</v>
      </c>
      <c r="G186" s="394">
        <v>675</v>
      </c>
      <c r="H186" s="394">
        <f t="shared" si="31"/>
        <v>979223.02520296699</v>
      </c>
      <c r="I186" s="424">
        <f t="shared" si="32"/>
        <v>-2.9940119760479833E-3</v>
      </c>
      <c r="J186" s="424">
        <f t="shared" si="33"/>
        <v>4.5091235725394085E-3</v>
      </c>
      <c r="K186" s="433"/>
      <c r="L186" s="394">
        <f t="shared" si="25"/>
        <v>16.649999999999881</v>
      </c>
      <c r="M186" s="394">
        <f t="shared" si="26"/>
        <v>19898.025202966994</v>
      </c>
    </row>
    <row r="187" spans="2:13" ht="15" x14ac:dyDescent="0.25">
      <c r="B187" s="420">
        <f t="shared" si="27"/>
        <v>16.599999999999881</v>
      </c>
      <c r="C187" s="394">
        <f t="shared" si="28"/>
        <v>92425.335697461342</v>
      </c>
      <c r="D187" s="422">
        <v>6</v>
      </c>
      <c r="E187" s="421">
        <f t="shared" si="29"/>
        <v>10.599999999999881</v>
      </c>
      <c r="F187" s="394">
        <f t="shared" si="30"/>
        <v>979708.55839307921</v>
      </c>
      <c r="G187" s="394">
        <v>675</v>
      </c>
      <c r="H187" s="394">
        <f t="shared" si="31"/>
        <v>979033.55839307921</v>
      </c>
      <c r="I187" s="424">
        <f t="shared" si="32"/>
        <v>-3.0030030030030463E-3</v>
      </c>
      <c r="J187" s="424">
        <f t="shared" si="33"/>
        <v>4.5227154877338638E-3</v>
      </c>
      <c r="K187" s="433"/>
      <c r="L187" s="394">
        <f t="shared" si="25"/>
        <v>16.599999999999881</v>
      </c>
      <c r="M187" s="394">
        <f t="shared" si="26"/>
        <v>19708.558393079205</v>
      </c>
    </row>
    <row r="188" spans="2:13" ht="15" x14ac:dyDescent="0.25">
      <c r="B188" s="420">
        <f t="shared" si="27"/>
        <v>16.54999999999988</v>
      </c>
      <c r="C188" s="394">
        <f t="shared" si="28"/>
        <v>92844.613028282271</v>
      </c>
      <c r="D188" s="422">
        <v>6</v>
      </c>
      <c r="E188" s="421">
        <f t="shared" si="29"/>
        <v>10.54999999999988</v>
      </c>
      <c r="F188" s="394">
        <f t="shared" si="30"/>
        <v>979510.66744836676</v>
      </c>
      <c r="G188" s="394">
        <v>675</v>
      </c>
      <c r="H188" s="394">
        <f t="shared" si="31"/>
        <v>978835.66744836676</v>
      </c>
      <c r="I188" s="424">
        <f t="shared" si="32"/>
        <v>-3.0120481927711218E-3</v>
      </c>
      <c r="J188" s="424">
        <f t="shared" si="33"/>
        <v>4.5363895911978425E-3</v>
      </c>
      <c r="K188" s="433"/>
      <c r="L188" s="394">
        <f t="shared" si="25"/>
        <v>16.54999999999988</v>
      </c>
      <c r="M188" s="394">
        <f t="shared" si="26"/>
        <v>19510.667448366759</v>
      </c>
    </row>
    <row r="189" spans="2:13" ht="15" x14ac:dyDescent="0.25">
      <c r="B189" s="420">
        <f t="shared" si="27"/>
        <v>16.499999999999879</v>
      </c>
      <c r="C189" s="394">
        <f t="shared" si="28"/>
        <v>93267.069631427992</v>
      </c>
      <c r="D189" s="422">
        <v>6</v>
      </c>
      <c r="E189" s="421">
        <f t="shared" si="29"/>
        <v>10.499999999999879</v>
      </c>
      <c r="F189" s="394">
        <f t="shared" si="30"/>
        <v>979304.23112998263</v>
      </c>
      <c r="G189" s="394">
        <v>675</v>
      </c>
      <c r="H189" s="394">
        <f t="shared" si="31"/>
        <v>978629.23112998263</v>
      </c>
      <c r="I189" s="424">
        <f t="shared" si="32"/>
        <v>-3.0211480362538623E-3</v>
      </c>
      <c r="J189" s="424">
        <f t="shared" si="33"/>
        <v>4.5501466306616667E-3</v>
      </c>
      <c r="K189" s="433"/>
      <c r="L189" s="394">
        <f t="shared" si="25"/>
        <v>16.499999999999879</v>
      </c>
      <c r="M189" s="394">
        <f t="shared" si="26"/>
        <v>19304.231129982625</v>
      </c>
    </row>
    <row r="190" spans="2:13" ht="15" x14ac:dyDescent="0.25">
      <c r="B190" s="420">
        <f t="shared" si="27"/>
        <v>16.449999999999878</v>
      </c>
      <c r="C190" s="394">
        <f t="shared" si="28"/>
        <v>93692.739358605497</v>
      </c>
      <c r="D190" s="422">
        <v>6</v>
      </c>
      <c r="E190" s="421">
        <f t="shared" si="29"/>
        <v>10.449999999999878</v>
      </c>
      <c r="F190" s="394">
        <f t="shared" si="30"/>
        <v>979089.12629741605</v>
      </c>
      <c r="G190" s="394">
        <v>675</v>
      </c>
      <c r="H190" s="394">
        <f t="shared" si="31"/>
        <v>978414.12629741605</v>
      </c>
      <c r="I190" s="424">
        <f t="shared" si="32"/>
        <v>-3.0303030303030498E-3</v>
      </c>
      <c r="J190" s="424">
        <f t="shared" si="33"/>
        <v>4.5639873629530481E-3</v>
      </c>
      <c r="K190" s="433"/>
      <c r="L190" s="394">
        <f t="shared" si="25"/>
        <v>16.449999999999878</v>
      </c>
      <c r="M190" s="394">
        <f t="shared" si="26"/>
        <v>19089.126297416049</v>
      </c>
    </row>
    <row r="191" spans="2:13" ht="15" x14ac:dyDescent="0.25">
      <c r="B191" s="420">
        <f t="shared" si="27"/>
        <v>16.399999999999878</v>
      </c>
      <c r="C191" s="394">
        <f t="shared" si="28"/>
        <v>94121.65652634672</v>
      </c>
      <c r="D191" s="422">
        <v>6</v>
      </c>
      <c r="E191" s="421">
        <f t="shared" si="29"/>
        <v>10.399999999999878</v>
      </c>
      <c r="F191" s="394">
        <f t="shared" si="30"/>
        <v>978865.22787399439</v>
      </c>
      <c r="G191" s="394">
        <v>675</v>
      </c>
      <c r="H191" s="394">
        <f t="shared" si="31"/>
        <v>978190.22787399439</v>
      </c>
      <c r="I191" s="424">
        <f t="shared" si="32"/>
        <v>-3.0395136778116338E-3</v>
      </c>
      <c r="J191" s="424">
        <f t="shared" si="33"/>
        <v>4.5779125541367538E-3</v>
      </c>
      <c r="K191" s="433"/>
      <c r="L191" s="394">
        <f t="shared" si="25"/>
        <v>16.399999999999878</v>
      </c>
      <c r="M191" s="394">
        <f t="shared" si="26"/>
        <v>18865.227873994387</v>
      </c>
    </row>
    <row r="192" spans="2:13" ht="15" x14ac:dyDescent="0.25">
      <c r="B192" s="420">
        <f t="shared" si="27"/>
        <v>16.349999999999877</v>
      </c>
      <c r="C192" s="394">
        <f t="shared" si="28"/>
        <v>94553.855923833282</v>
      </c>
      <c r="D192" s="422">
        <v>6</v>
      </c>
      <c r="E192" s="421">
        <f t="shared" si="29"/>
        <v>10.349999999999877</v>
      </c>
      <c r="F192" s="394">
        <f t="shared" si="30"/>
        <v>978632.40881166281</v>
      </c>
      <c r="G192" s="394">
        <v>675</v>
      </c>
      <c r="H192" s="394">
        <f t="shared" si="31"/>
        <v>977957.40881166281</v>
      </c>
      <c r="I192" s="424">
        <f t="shared" si="32"/>
        <v>-3.0487804878049918E-3</v>
      </c>
      <c r="J192" s="424">
        <f t="shared" si="33"/>
        <v>4.5919229796553829E-3</v>
      </c>
      <c r="K192" s="433"/>
      <c r="L192" s="394">
        <f t="shared" si="25"/>
        <v>16.349999999999877</v>
      </c>
      <c r="M192" s="394">
        <f t="shared" si="26"/>
        <v>18632.408811662812</v>
      </c>
    </row>
    <row r="193" spans="2:13" ht="15" x14ac:dyDescent="0.25">
      <c r="B193" s="420">
        <f t="shared" si="27"/>
        <v>16.299999999999876</v>
      </c>
      <c r="C193" s="394">
        <f t="shared" si="28"/>
        <v>94989.37282087731</v>
      </c>
      <c r="D193" s="422">
        <v>6</v>
      </c>
      <c r="E193" s="421">
        <f t="shared" si="29"/>
        <v>10.299999999999876</v>
      </c>
      <c r="F193" s="394">
        <f t="shared" si="30"/>
        <v>978390.54005502455</v>
      </c>
      <c r="G193" s="394">
        <v>675</v>
      </c>
      <c r="H193" s="394">
        <f t="shared" si="31"/>
        <v>977715.54005502455</v>
      </c>
      <c r="I193" s="424">
        <f t="shared" si="32"/>
        <v>-3.0581039755351869E-3</v>
      </c>
      <c r="J193" s="424">
        <f t="shared" si="33"/>
        <v>4.6060194244732511E-3</v>
      </c>
      <c r="K193" s="433"/>
      <c r="L193" s="394">
        <f t="shared" si="25"/>
        <v>16.299999999999876</v>
      </c>
      <c r="M193" s="394">
        <f t="shared" si="26"/>
        <v>18390.540055024554</v>
      </c>
    </row>
    <row r="194" spans="2:13" ht="15" x14ac:dyDescent="0.25">
      <c r="B194" s="420">
        <f t="shared" si="27"/>
        <v>16.249999999999876</v>
      </c>
      <c r="C194" s="394">
        <f t="shared" si="28"/>
        <v>95428.242976062058</v>
      </c>
      <c r="D194" s="422">
        <v>6</v>
      </c>
      <c r="E194" s="421">
        <f t="shared" si="29"/>
        <v>10.249999999999876</v>
      </c>
      <c r="F194" s="394">
        <f t="shared" si="30"/>
        <v>978139.49050462421</v>
      </c>
      <c r="G194" s="394">
        <v>675</v>
      </c>
      <c r="H194" s="394">
        <f t="shared" si="31"/>
        <v>977464.49050462421</v>
      </c>
      <c r="I194" s="424">
        <f t="shared" si="32"/>
        <v>-3.0674846625767804E-3</v>
      </c>
      <c r="J194" s="424">
        <f t="shared" si="33"/>
        <v>4.6202026832236065E-3</v>
      </c>
      <c r="K194" s="433"/>
      <c r="L194" s="394">
        <f t="shared" si="25"/>
        <v>16.249999999999876</v>
      </c>
      <c r="M194" s="394">
        <f t="shared" si="26"/>
        <v>18139.490504624206</v>
      </c>
    </row>
    <row r="195" spans="2:13" ht="15" x14ac:dyDescent="0.25">
      <c r="B195" s="420">
        <f t="shared" si="27"/>
        <v>16.199999999999875</v>
      </c>
      <c r="C195" s="394">
        <f t="shared" si="28"/>
        <v>95870.502645045941</v>
      </c>
      <c r="D195" s="422">
        <v>6</v>
      </c>
      <c r="E195" s="421">
        <f t="shared" si="29"/>
        <v>10.199999999999875</v>
      </c>
      <c r="F195" s="394">
        <f t="shared" si="30"/>
        <v>977879.12697945663</v>
      </c>
      <c r="G195" s="394">
        <v>675</v>
      </c>
      <c r="H195" s="394">
        <f t="shared" si="31"/>
        <v>977204.12697945663</v>
      </c>
      <c r="I195" s="424">
        <f t="shared" si="32"/>
        <v>-3.0769230769231992E-3</v>
      </c>
      <c r="J195" s="424">
        <f t="shared" si="33"/>
        <v>4.6344735603569553E-3</v>
      </c>
      <c r="K195" s="433"/>
      <c r="L195" s="394">
        <f t="shared" si="25"/>
        <v>16.199999999999875</v>
      </c>
      <c r="M195" s="394">
        <f t="shared" si="26"/>
        <v>17879.126979456632</v>
      </c>
    </row>
    <row r="196" spans="2:13" ht="15" x14ac:dyDescent="0.25">
      <c r="B196" s="420">
        <f t="shared" si="27"/>
        <v>16.149999999999874</v>
      </c>
      <c r="C196" s="394">
        <f t="shared" si="28"/>
        <v>96316.188589033802</v>
      </c>
      <c r="D196" s="422">
        <v>6</v>
      </c>
      <c r="E196" s="421">
        <f t="shared" si="29"/>
        <v>10.149999999999874</v>
      </c>
      <c r="F196" s="394">
        <f t="shared" si="30"/>
        <v>977609.314178681</v>
      </c>
      <c r="G196" s="394">
        <v>675</v>
      </c>
      <c r="H196" s="394">
        <f t="shared" si="31"/>
        <v>976934.314178681</v>
      </c>
      <c r="I196" s="424">
        <f t="shared" si="32"/>
        <v>-3.0864197530864335E-3</v>
      </c>
      <c r="J196" s="424">
        <f t="shared" si="33"/>
        <v>4.6488328702936066E-3</v>
      </c>
      <c r="K196" s="433"/>
      <c r="L196" s="394">
        <f t="shared" si="25"/>
        <v>16.149999999999874</v>
      </c>
      <c r="M196" s="394">
        <f t="shared" si="26"/>
        <v>17609.314178681001</v>
      </c>
    </row>
    <row r="197" spans="2:13" ht="15" x14ac:dyDescent="0.25">
      <c r="B197" s="420">
        <f t="shared" si="27"/>
        <v>16.099999999999874</v>
      </c>
      <c r="C197" s="394">
        <f t="shared" si="28"/>
        <v>96765.338083419498</v>
      </c>
      <c r="D197" s="422">
        <v>6</v>
      </c>
      <c r="E197" s="421">
        <f t="shared" si="29"/>
        <v>10.099999999999874</v>
      </c>
      <c r="F197" s="394">
        <f t="shared" si="30"/>
        <v>977329.91464252467</v>
      </c>
      <c r="G197" s="394">
        <v>675</v>
      </c>
      <c r="H197" s="394">
        <f t="shared" si="31"/>
        <v>976654.91464252467</v>
      </c>
      <c r="I197" s="424">
        <f t="shared" si="32"/>
        <v>-3.0959752321981782E-3</v>
      </c>
      <c r="J197" s="424">
        <f t="shared" si="33"/>
        <v>4.6632814375799914E-3</v>
      </c>
      <c r="K197" s="433"/>
      <c r="L197" s="394">
        <f t="shared" si="25"/>
        <v>16.099999999999874</v>
      </c>
      <c r="M197" s="394">
        <f t="shared" si="26"/>
        <v>17329.914642524673</v>
      </c>
    </row>
    <row r="198" spans="2:13" ht="15" x14ac:dyDescent="0.25">
      <c r="B198" s="420">
        <f t="shared" si="27"/>
        <v>16.049999999999873</v>
      </c>
      <c r="C198" s="394">
        <f t="shared" si="28"/>
        <v>97217.988926603357</v>
      </c>
      <c r="D198" s="422">
        <v>6</v>
      </c>
      <c r="E198" s="421">
        <f t="shared" si="29"/>
        <v>10.049999999999873</v>
      </c>
      <c r="F198" s="394">
        <f t="shared" si="30"/>
        <v>977040.78871235135</v>
      </c>
      <c r="G198" s="394">
        <v>675</v>
      </c>
      <c r="H198" s="394">
        <f t="shared" si="31"/>
        <v>976365.78871235135</v>
      </c>
      <c r="I198" s="424">
        <f t="shared" si="32"/>
        <v>-3.1055900621118626E-3</v>
      </c>
      <c r="J198" s="424">
        <f t="shared" si="33"/>
        <v>4.6778200970438721E-3</v>
      </c>
      <c r="K198" s="433"/>
      <c r="L198" s="394">
        <f t="shared" si="25"/>
        <v>16.049999999999873</v>
      </c>
      <c r="M198" s="394">
        <f t="shared" si="26"/>
        <v>17040.78871235135</v>
      </c>
    </row>
    <row r="199" spans="2:13" ht="15" x14ac:dyDescent="0.25">
      <c r="B199" s="420">
        <f t="shared" si="27"/>
        <v>15.999999999999872</v>
      </c>
      <c r="C199" s="394">
        <f t="shared" si="28"/>
        <v>97674.179448989074</v>
      </c>
      <c r="D199" s="422">
        <v>6</v>
      </c>
      <c r="E199" s="421">
        <f t="shared" si="29"/>
        <v>9.9999999999998721</v>
      </c>
      <c r="F199" s="394">
        <f t="shared" si="30"/>
        <v>976741.79448987823</v>
      </c>
      <c r="G199" s="394">
        <v>675</v>
      </c>
      <c r="H199" s="394">
        <f t="shared" si="31"/>
        <v>976066.79448987823</v>
      </c>
      <c r="I199" s="424">
        <f t="shared" si="32"/>
        <v>-3.1152647975078995E-3</v>
      </c>
      <c r="J199" s="424">
        <f t="shared" si="33"/>
        <v>4.6924496939566573E-3</v>
      </c>
      <c r="K199" s="433"/>
      <c r="L199" s="394">
        <f t="shared" si="25"/>
        <v>15.999999999999872</v>
      </c>
      <c r="M199" s="394">
        <f t="shared" si="26"/>
        <v>16741.79448987823</v>
      </c>
    </row>
    <row r="200" spans="2:13" ht="15" x14ac:dyDescent="0.25">
      <c r="B200" s="420">
        <f t="shared" si="27"/>
        <v>15.949999999999871</v>
      </c>
      <c r="C200" s="394">
        <f t="shared" si="28"/>
        <v>98133.948522164079</v>
      </c>
      <c r="D200" s="422">
        <v>6</v>
      </c>
      <c r="E200" s="421">
        <f t="shared" si="29"/>
        <v>9.9499999999998714</v>
      </c>
      <c r="F200" s="394">
        <f t="shared" si="30"/>
        <v>976432.78779551992</v>
      </c>
      <c r="G200" s="394">
        <v>675</v>
      </c>
      <c r="H200" s="394">
        <f t="shared" si="31"/>
        <v>975757.78779551992</v>
      </c>
      <c r="I200" s="424">
        <f t="shared" si="32"/>
        <v>-3.1250000000000444E-3</v>
      </c>
      <c r="J200" s="424">
        <f t="shared" si="33"/>
        <v>4.7071710841974923E-3</v>
      </c>
      <c r="K200" s="433"/>
      <c r="L200" s="394">
        <f t="shared" si="25"/>
        <v>15.949999999999871</v>
      </c>
      <c r="M200" s="394">
        <f t="shared" si="26"/>
        <v>16432.787795519922</v>
      </c>
    </row>
    <row r="201" spans="2:13" ht="15" x14ac:dyDescent="0.25">
      <c r="B201" s="420">
        <f t="shared" si="27"/>
        <v>15.899999999999871</v>
      </c>
      <c r="C201" s="394">
        <f t="shared" si="28"/>
        <v>98597.335568267634</v>
      </c>
      <c r="D201" s="422">
        <v>6</v>
      </c>
      <c r="E201" s="421">
        <f t="shared" si="29"/>
        <v>9.8999999999998707</v>
      </c>
      <c r="F201" s="394">
        <f t="shared" si="30"/>
        <v>976113.62212583679</v>
      </c>
      <c r="G201" s="394">
        <v>675</v>
      </c>
      <c r="H201" s="394">
        <f t="shared" si="31"/>
        <v>975438.62212583679</v>
      </c>
      <c r="I201" s="424">
        <f t="shared" si="32"/>
        <v>-3.1347962382445305E-3</v>
      </c>
      <c r="J201" s="424">
        <f t="shared" si="33"/>
        <v>4.7219851344195707E-3</v>
      </c>
      <c r="K201" s="433"/>
      <c r="L201" s="394">
        <f t="shared" si="25"/>
        <v>15.899999999999871</v>
      </c>
      <c r="M201" s="394">
        <f t="shared" si="26"/>
        <v>16113.622125836788</v>
      </c>
    </row>
    <row r="202" spans="2:13" ht="15" x14ac:dyDescent="0.25">
      <c r="B202" s="420">
        <f t="shared" si="27"/>
        <v>15.84999999999987</v>
      </c>
      <c r="C202" s="394">
        <f t="shared" si="28"/>
        <v>99064.380569551286</v>
      </c>
      <c r="D202" s="422">
        <v>6</v>
      </c>
      <c r="E202" s="421">
        <f t="shared" si="29"/>
        <v>9.84999999999987</v>
      </c>
      <c r="F202" s="394">
        <f t="shared" si="30"/>
        <v>975784.14861006732</v>
      </c>
      <c r="G202" s="394">
        <v>675</v>
      </c>
      <c r="H202" s="394">
        <f t="shared" si="31"/>
        <v>975109.14861006732</v>
      </c>
      <c r="I202" s="424">
        <f t="shared" si="32"/>
        <v>-3.1446540880504248E-3</v>
      </c>
      <c r="J202" s="424">
        <f t="shared" si="33"/>
        <v>4.7368927222204427E-3</v>
      </c>
      <c r="K202" s="433"/>
      <c r="L202" s="394">
        <f t="shared" si="25"/>
        <v>15.84999999999987</v>
      </c>
      <c r="M202" s="394">
        <f t="shared" si="26"/>
        <v>15784.148610067321</v>
      </c>
    </row>
    <row r="203" spans="2:13" ht="15" x14ac:dyDescent="0.25">
      <c r="B203" s="420">
        <f t="shared" si="27"/>
        <v>15.799999999999869</v>
      </c>
      <c r="C203" s="394">
        <f t="shared" si="28"/>
        <v>99535.124078136025</v>
      </c>
      <c r="D203" s="422">
        <v>6</v>
      </c>
      <c r="E203" s="421">
        <f t="shared" si="29"/>
        <v>9.7999999999998693</v>
      </c>
      <c r="F203" s="394">
        <f t="shared" si="30"/>
        <v>975444.21596572001</v>
      </c>
      <c r="G203" s="394">
        <v>675</v>
      </c>
      <c r="H203" s="394">
        <f t="shared" si="31"/>
        <v>974769.21596572001</v>
      </c>
      <c r="I203" s="424">
        <f t="shared" si="32"/>
        <v>-3.154574132492205E-3</v>
      </c>
      <c r="J203" s="424">
        <f t="shared" si="33"/>
        <v>4.7518947363147657E-3</v>
      </c>
      <c r="K203" s="433"/>
      <c r="L203" s="394">
        <f t="shared" si="25"/>
        <v>15.799999999999869</v>
      </c>
      <c r="M203" s="394">
        <f t="shared" si="26"/>
        <v>15444.21596572001</v>
      </c>
    </row>
    <row r="204" spans="2:13" ht="15" x14ac:dyDescent="0.25">
      <c r="B204" s="420">
        <f t="shared" si="27"/>
        <v>15.749999999999869</v>
      </c>
      <c r="C204" s="394">
        <f t="shared" si="28"/>
        <v>100009.60722597103</v>
      </c>
      <c r="D204" s="422">
        <v>6</v>
      </c>
      <c r="E204" s="421">
        <f t="shared" si="29"/>
        <v>9.7499999999998685</v>
      </c>
      <c r="F204" s="394">
        <f t="shared" si="30"/>
        <v>975093.67045320442</v>
      </c>
      <c r="G204" s="394">
        <v>675</v>
      </c>
      <c r="H204" s="394">
        <f t="shared" si="31"/>
        <v>974418.67045320442</v>
      </c>
      <c r="I204" s="424">
        <f t="shared" si="32"/>
        <v>-3.1645569620253333E-3</v>
      </c>
      <c r="J204" s="424">
        <f t="shared" si="33"/>
        <v>4.76699207671194E-3</v>
      </c>
      <c r="K204" s="433"/>
      <c r="L204" s="394">
        <f t="shared" si="25"/>
        <v>15.749999999999869</v>
      </c>
      <c r="M204" s="394">
        <f t="shared" si="26"/>
        <v>15093.670453204424</v>
      </c>
    </row>
    <row r="205" spans="2:13" ht="15" x14ac:dyDescent="0.25">
      <c r="B205" s="420">
        <f t="shared" si="27"/>
        <v>15.699999999999868</v>
      </c>
      <c r="C205" s="394">
        <f t="shared" si="28"/>
        <v>100487.87173499879</v>
      </c>
      <c r="D205" s="422">
        <v>6</v>
      </c>
      <c r="E205" s="421">
        <f t="shared" si="29"/>
        <v>9.6999999999998678</v>
      </c>
      <c r="F205" s="394">
        <f t="shared" si="30"/>
        <v>974732.35582947498</v>
      </c>
      <c r="G205" s="394">
        <v>675</v>
      </c>
      <c r="H205" s="394">
        <f t="shared" si="31"/>
        <v>974057.35582947498</v>
      </c>
      <c r="I205" s="424">
        <f t="shared" si="32"/>
        <v>-3.1746031746032743E-3</v>
      </c>
      <c r="J205" s="424">
        <f t="shared" si="33"/>
        <v>4.782185654895299E-3</v>
      </c>
      <c r="K205" s="433"/>
      <c r="L205" s="394">
        <f t="shared" si="25"/>
        <v>15.699999999999868</v>
      </c>
      <c r="M205" s="394">
        <f t="shared" si="26"/>
        <v>14732.355829474982</v>
      </c>
    </row>
    <row r="206" spans="2:13" ht="15" x14ac:dyDescent="0.25">
      <c r="B206" s="420">
        <f t="shared" si="27"/>
        <v>15.649999999999867</v>
      </c>
      <c r="C206" s="394">
        <f t="shared" si="28"/>
        <v>100969.95992753132</v>
      </c>
      <c r="D206" s="422">
        <v>6</v>
      </c>
      <c r="E206" s="421">
        <f t="shared" si="29"/>
        <v>9.6499999999998671</v>
      </c>
      <c r="F206" s="394">
        <f t="shared" si="30"/>
        <v>974360.11330066388</v>
      </c>
      <c r="G206" s="394">
        <v>675</v>
      </c>
      <c r="H206" s="394">
        <f t="shared" si="31"/>
        <v>973685.11330066388</v>
      </c>
      <c r="I206" s="424">
        <f t="shared" si="32"/>
        <v>-3.1847133757962887E-3</v>
      </c>
      <c r="J206" s="424">
        <f t="shared" si="33"/>
        <v>4.7974763940057397E-3</v>
      </c>
      <c r="K206" s="433"/>
      <c r="L206" s="394">
        <f t="shared" si="25"/>
        <v>15.649999999999867</v>
      </c>
      <c r="M206" s="394">
        <f t="shared" si="26"/>
        <v>14360.113300663885</v>
      </c>
    </row>
    <row r="207" spans="2:13" ht="15" x14ac:dyDescent="0.25">
      <c r="B207" s="420">
        <f t="shared" si="27"/>
        <v>15.599999999999866</v>
      </c>
      <c r="C207" s="394">
        <f t="shared" si="28"/>
        <v>101455.91473684295</v>
      </c>
      <c r="D207" s="422">
        <v>6</v>
      </c>
      <c r="E207" s="421">
        <f t="shared" si="29"/>
        <v>9.5999999999998664</v>
      </c>
      <c r="F207" s="394">
        <f t="shared" si="30"/>
        <v>973976.78147367877</v>
      </c>
      <c r="G207" s="394">
        <v>675</v>
      </c>
      <c r="H207" s="394">
        <f t="shared" si="31"/>
        <v>973301.78147367877</v>
      </c>
      <c r="I207" s="424">
        <f t="shared" si="32"/>
        <v>-3.1948881789137795E-3</v>
      </c>
      <c r="J207" s="424">
        <f t="shared" si="33"/>
        <v>4.8128652290286844E-3</v>
      </c>
      <c r="K207" s="433"/>
      <c r="L207" s="394">
        <f t="shared" si="25"/>
        <v>15.599999999999866</v>
      </c>
      <c r="M207" s="394">
        <f t="shared" si="26"/>
        <v>13976.78147367877</v>
      </c>
    </row>
    <row r="208" spans="2:13" ht="15" x14ac:dyDescent="0.25">
      <c r="B208" s="420">
        <f t="shared" si="27"/>
        <v>15.549999999999866</v>
      </c>
      <c r="C208" s="394">
        <f t="shared" si="28"/>
        <v>101945.77971798459</v>
      </c>
      <c r="D208" s="422">
        <v>6</v>
      </c>
      <c r="E208" s="421">
        <f t="shared" si="29"/>
        <v>9.5499999999998657</v>
      </c>
      <c r="F208" s="394">
        <f t="shared" si="30"/>
        <v>973582.19630673924</v>
      </c>
      <c r="G208" s="394">
        <v>675</v>
      </c>
      <c r="H208" s="394">
        <f t="shared" si="31"/>
        <v>972907.19630673924</v>
      </c>
      <c r="I208" s="424">
        <f t="shared" si="32"/>
        <v>-3.2051282051283048E-3</v>
      </c>
      <c r="J208" s="424">
        <f t="shared" si="33"/>
        <v>4.8283531069850394E-3</v>
      </c>
      <c r="K208" s="433"/>
      <c r="L208" s="394">
        <f t="shared" si="25"/>
        <v>15.549999999999866</v>
      </c>
      <c r="M208" s="394">
        <f t="shared" si="26"/>
        <v>13582.196306739235</v>
      </c>
    </row>
    <row r="209" spans="2:13" ht="15" x14ac:dyDescent="0.25">
      <c r="B209" s="420">
        <f t="shared" si="27"/>
        <v>15.499999999999865</v>
      </c>
      <c r="C209" s="394">
        <f t="shared" si="28"/>
        <v>102439.59905882491</v>
      </c>
      <c r="D209" s="422">
        <v>6</v>
      </c>
      <c r="E209" s="421">
        <f t="shared" si="29"/>
        <v>9.499999999999865</v>
      </c>
      <c r="F209" s="394">
        <f t="shared" si="30"/>
        <v>973176.19105882279</v>
      </c>
      <c r="G209" s="394">
        <v>675</v>
      </c>
      <c r="H209" s="394">
        <f t="shared" si="31"/>
        <v>972501.19105882279</v>
      </c>
      <c r="I209" s="424">
        <f t="shared" si="32"/>
        <v>-3.2154340836013651E-3</v>
      </c>
      <c r="J209" s="424">
        <f t="shared" si="33"/>
        <v>4.8439409871245953E-3</v>
      </c>
      <c r="K209" s="433"/>
      <c r="L209" s="394">
        <f t="shared" si="25"/>
        <v>15.499999999999865</v>
      </c>
      <c r="M209" s="394">
        <f t="shared" si="26"/>
        <v>13176.191058822791</v>
      </c>
    </row>
    <row r="210" spans="2:13" ht="15" x14ac:dyDescent="0.25">
      <c r="B210" s="420">
        <f t="shared" si="27"/>
        <v>15.449999999999864</v>
      </c>
      <c r="C210" s="394">
        <f t="shared" si="28"/>
        <v>102937.41759132406</v>
      </c>
      <c r="D210" s="422">
        <v>6</v>
      </c>
      <c r="E210" s="421">
        <f t="shared" si="29"/>
        <v>9.4499999999998643</v>
      </c>
      <c r="F210" s="394">
        <f t="shared" si="30"/>
        <v>972758.59623799846</v>
      </c>
      <c r="G210" s="394">
        <v>675</v>
      </c>
      <c r="H210" s="394">
        <f t="shared" si="31"/>
        <v>972083.59623799846</v>
      </c>
      <c r="I210" s="424">
        <f t="shared" si="32"/>
        <v>-3.225806451612967E-3</v>
      </c>
      <c r="J210" s="424">
        <f t="shared" si="33"/>
        <v>4.8596298411249794E-3</v>
      </c>
      <c r="K210" s="433"/>
      <c r="L210" s="394">
        <f t="shared" si="25"/>
        <v>15.449999999999864</v>
      </c>
      <c r="M210" s="394">
        <f t="shared" si="26"/>
        <v>12758.596237998456</v>
      </c>
    </row>
    <row r="211" spans="2:13" ht="15" x14ac:dyDescent="0.25">
      <c r="B211" s="420">
        <f t="shared" si="27"/>
        <v>15.399999999999864</v>
      </c>
      <c r="C211" s="394">
        <f t="shared" si="28"/>
        <v>103439.28080304551</v>
      </c>
      <c r="D211" s="422">
        <v>6</v>
      </c>
      <c r="E211" s="421">
        <f t="shared" si="29"/>
        <v>9.3999999999998636</v>
      </c>
      <c r="F211" s="394">
        <f t="shared" si="30"/>
        <v>972329.23954861367</v>
      </c>
      <c r="G211" s="394">
        <v>675</v>
      </c>
      <c r="H211" s="394">
        <f t="shared" si="31"/>
        <v>971654.23954861367</v>
      </c>
      <c r="I211" s="424">
        <f t="shared" si="32"/>
        <v>-3.2362459546926292E-3</v>
      </c>
      <c r="J211" s="424">
        <f t="shared" si="33"/>
        <v>4.8754206532934941E-3</v>
      </c>
      <c r="K211" s="433"/>
      <c r="L211" s="394">
        <f t="shared" si="25"/>
        <v>15.399999999999864</v>
      </c>
      <c r="M211" s="394">
        <f t="shared" si="26"/>
        <v>12329.239548613667</v>
      </c>
    </row>
    <row r="212" spans="2:13" ht="15" x14ac:dyDescent="0.25">
      <c r="B212" s="420">
        <f t="shared" si="27"/>
        <v>15.349999999999863</v>
      </c>
      <c r="C212" s="394">
        <f t="shared" si="28"/>
        <v>103945.23484891171</v>
      </c>
      <c r="D212" s="422">
        <v>6</v>
      </c>
      <c r="E212" s="421">
        <f t="shared" si="29"/>
        <v>9.3499999999998629</v>
      </c>
      <c r="F212" s="394">
        <f t="shared" si="30"/>
        <v>971887.94583731028</v>
      </c>
      <c r="G212" s="394">
        <v>675</v>
      </c>
      <c r="H212" s="394">
        <f t="shared" si="31"/>
        <v>971212.94583731028</v>
      </c>
      <c r="I212" s="424">
        <f t="shared" si="32"/>
        <v>-3.2467532467532756E-3</v>
      </c>
      <c r="J212" s="424">
        <f t="shared" si="33"/>
        <v>4.8913144207718418E-3</v>
      </c>
      <c r="K212" s="433"/>
      <c r="L212" s="394">
        <f t="shared" ref="L212:L227" si="34">+B212</f>
        <v>15.349999999999863</v>
      </c>
      <c r="M212" s="394">
        <f t="shared" ref="M212:M227" si="35">+F212-960000</f>
        <v>11887.945837310283</v>
      </c>
    </row>
    <row r="213" spans="2:13" ht="15" x14ac:dyDescent="0.25">
      <c r="B213" s="420">
        <f t="shared" ref="B213:B227" si="36">+B212-0.05</f>
        <v>15.299999999999862</v>
      </c>
      <c r="C213" s="394">
        <f t="shared" ref="C213:C227" si="37">+C212*(1+J213)</f>
        <v>104455.32656320999</v>
      </c>
      <c r="D213" s="422">
        <v>6</v>
      </c>
      <c r="E213" s="421">
        <f t="shared" ref="E213:E227" si="38">+B213-D213</f>
        <v>9.2999999999998622</v>
      </c>
      <c r="F213" s="394">
        <f t="shared" ref="F213:F227" si="39">+E213*C213</f>
        <v>971434.5370378386</v>
      </c>
      <c r="G213" s="394">
        <v>675</v>
      </c>
      <c r="H213" s="394">
        <f t="shared" ref="H213:H227" si="40">+F213-G213</f>
        <v>970759.5370378386</v>
      </c>
      <c r="I213" s="424">
        <f t="shared" ref="I213:I227" si="41">+B213/B212-1</f>
        <v>-3.2573289902281255E-3</v>
      </c>
      <c r="J213" s="424">
        <f t="shared" ref="J213:J227" si="42">+(1+I213)^$E$14-1</f>
        <v>4.9073121537481779E-3</v>
      </c>
      <c r="K213" s="433"/>
      <c r="L213" s="394">
        <f t="shared" si="34"/>
        <v>15.299999999999862</v>
      </c>
      <c r="M213" s="394">
        <f t="shared" si="35"/>
        <v>11434.5370378386</v>
      </c>
    </row>
    <row r="214" spans="2:13" ht="15" x14ac:dyDescent="0.25">
      <c r="B214" s="420">
        <f t="shared" si="36"/>
        <v>15.249999999999861</v>
      </c>
      <c r="C214" s="394">
        <f t="shared" si="37"/>
        <v>104969.60347185405</v>
      </c>
      <c r="D214" s="422">
        <v>6</v>
      </c>
      <c r="E214" s="421">
        <f t="shared" si="38"/>
        <v>9.2499999999998614</v>
      </c>
      <c r="F214" s="394">
        <f t="shared" si="39"/>
        <v>970968.83211463538</v>
      </c>
      <c r="G214" s="394">
        <v>675</v>
      </c>
      <c r="H214" s="394">
        <f t="shared" si="40"/>
        <v>970293.83211463538</v>
      </c>
      <c r="I214" s="424">
        <f t="shared" si="41"/>
        <v>-3.2679738562092497E-3</v>
      </c>
      <c r="J214" s="424">
        <f t="shared" si="42"/>
        <v>4.9234148756678309E-3</v>
      </c>
      <c r="K214" s="433"/>
      <c r="L214" s="394">
        <f t="shared" si="34"/>
        <v>15.249999999999861</v>
      </c>
      <c r="M214" s="394">
        <f t="shared" si="35"/>
        <v>10968.832114635385</v>
      </c>
    </row>
    <row r="215" spans="2:13" ht="15" x14ac:dyDescent="0.25">
      <c r="B215" s="420">
        <f t="shared" si="36"/>
        <v>15.199999999999861</v>
      </c>
      <c r="C215" s="394">
        <f t="shared" si="37"/>
        <v>105488.11380490838</v>
      </c>
      <c r="D215" s="422">
        <v>6</v>
      </c>
      <c r="E215" s="421">
        <f t="shared" si="38"/>
        <v>9.1999999999998607</v>
      </c>
      <c r="F215" s="394">
        <f t="shared" si="39"/>
        <v>970490.64700514241</v>
      </c>
      <c r="G215" s="394">
        <v>675</v>
      </c>
      <c r="H215" s="394">
        <f t="shared" si="40"/>
        <v>969815.64700514241</v>
      </c>
      <c r="I215" s="424">
        <f t="shared" si="41"/>
        <v>-3.2786885245902342E-3</v>
      </c>
      <c r="J215" s="424">
        <f t="shared" si="42"/>
        <v>4.939623623455569E-3</v>
      </c>
      <c r="K215" s="433"/>
      <c r="L215" s="394">
        <f t="shared" si="34"/>
        <v>15.199999999999861</v>
      </c>
      <c r="M215" s="394">
        <f t="shared" si="35"/>
        <v>10490.647005142411</v>
      </c>
    </row>
    <row r="216" spans="2:13" ht="15" x14ac:dyDescent="0.25">
      <c r="B216" s="420">
        <f t="shared" si="36"/>
        <v>15.14999999999986</v>
      </c>
      <c r="C216" s="394">
        <f t="shared" si="37"/>
        <v>106010.90650938128</v>
      </c>
      <c r="D216" s="422">
        <v>6</v>
      </c>
      <c r="E216" s="421">
        <f t="shared" si="38"/>
        <v>9.14999999999986</v>
      </c>
      <c r="F216" s="394">
        <f t="shared" si="39"/>
        <v>969999.79456082394</v>
      </c>
      <c r="G216" s="394">
        <v>675</v>
      </c>
      <c r="H216" s="394">
        <f t="shared" si="40"/>
        <v>969324.79456082394</v>
      </c>
      <c r="I216" s="424">
        <f t="shared" si="41"/>
        <v>-3.2894736842106198E-3</v>
      </c>
      <c r="J216" s="424">
        <f t="shared" si="42"/>
        <v>4.9559394477349805E-3</v>
      </c>
      <c r="K216" s="433"/>
      <c r="L216" s="394">
        <f t="shared" si="34"/>
        <v>15.14999999999986</v>
      </c>
      <c r="M216" s="394">
        <f t="shared" si="35"/>
        <v>9999.7945608239388</v>
      </c>
    </row>
    <row r="217" spans="2:13" ht="15" x14ac:dyDescent="0.25">
      <c r="B217" s="420">
        <f t="shared" si="36"/>
        <v>15.099999999999859</v>
      </c>
      <c r="C217" s="394">
        <f t="shared" si="37"/>
        <v>106538.03126229353</v>
      </c>
      <c r="D217" s="422">
        <v>6</v>
      </c>
      <c r="E217" s="421">
        <f t="shared" si="38"/>
        <v>9.0999999999998593</v>
      </c>
      <c r="F217" s="394">
        <f t="shared" si="39"/>
        <v>969496.08448685613</v>
      </c>
      <c r="G217" s="394">
        <v>675</v>
      </c>
      <c r="H217" s="394">
        <f t="shared" si="40"/>
        <v>968821.08448685613</v>
      </c>
      <c r="I217" s="424">
        <f t="shared" si="41"/>
        <v>-3.3003300330033403E-3</v>
      </c>
      <c r="J217" s="424">
        <f t="shared" si="42"/>
        <v>4.9723634130569572E-3</v>
      </c>
      <c r="K217" s="433"/>
      <c r="L217" s="394">
        <f t="shared" si="34"/>
        <v>15.099999999999859</v>
      </c>
      <c r="M217" s="394">
        <f t="shared" si="35"/>
        <v>9496.0844868561253</v>
      </c>
    </row>
    <row r="218" spans="2:13" ht="15" x14ac:dyDescent="0.25">
      <c r="B218" s="420">
        <f t="shared" si="36"/>
        <v>15.049999999999859</v>
      </c>
      <c r="C218" s="394">
        <f t="shared" si="37"/>
        <v>107069.53848402959</v>
      </c>
      <c r="D218" s="422">
        <v>6</v>
      </c>
      <c r="E218" s="421">
        <f t="shared" si="38"/>
        <v>9.0499999999998586</v>
      </c>
      <c r="F218" s="394">
        <f t="shared" si="39"/>
        <v>968979.32328045263</v>
      </c>
      <c r="G218" s="394">
        <v>675</v>
      </c>
      <c r="H218" s="394">
        <f t="shared" si="40"/>
        <v>968304.32328045263</v>
      </c>
      <c r="I218" s="424">
        <f t="shared" si="41"/>
        <v>-3.3112582781458233E-3</v>
      </c>
      <c r="J218" s="424">
        <f t="shared" si="42"/>
        <v>4.9888965981312872E-3</v>
      </c>
      <c r="K218" s="433"/>
      <c r="L218" s="394">
        <f t="shared" si="34"/>
        <v>15.049999999999859</v>
      </c>
      <c r="M218" s="394">
        <f t="shared" si="35"/>
        <v>8979.3232804526342</v>
      </c>
    </row>
    <row r="219" spans="2:13" ht="15" x14ac:dyDescent="0.25">
      <c r="B219" s="420">
        <f t="shared" si="36"/>
        <v>14.999999999999858</v>
      </c>
      <c r="C219" s="394">
        <f t="shared" si="37"/>
        <v>107605.47935197821</v>
      </c>
      <c r="D219" s="422">
        <v>6</v>
      </c>
      <c r="E219" s="421">
        <f t="shared" si="38"/>
        <v>8.9999999999998579</v>
      </c>
      <c r="F219" s="394">
        <f t="shared" si="39"/>
        <v>968449.3141677886</v>
      </c>
      <c r="G219" s="394">
        <v>675</v>
      </c>
      <c r="H219" s="394">
        <f t="shared" si="40"/>
        <v>967774.3141677886</v>
      </c>
      <c r="I219" s="424">
        <f t="shared" si="41"/>
        <v>-3.3222591362127574E-3</v>
      </c>
      <c r="J219" s="424">
        <f t="shared" si="42"/>
        <v>5.0055400960615781E-3</v>
      </c>
      <c r="K219" s="433"/>
      <c r="L219" s="394">
        <f t="shared" si="34"/>
        <v>14.999999999999858</v>
      </c>
      <c r="M219" s="394">
        <f t="shared" si="35"/>
        <v>8449.3141677886015</v>
      </c>
    </row>
    <row r="220" spans="2:13" ht="15" x14ac:dyDescent="0.25">
      <c r="B220" s="420">
        <f t="shared" si="36"/>
        <v>14.949999999999857</v>
      </c>
      <c r="C220" s="394">
        <f t="shared" si="37"/>
        <v>108145.90581447002</v>
      </c>
      <c r="D220" s="422">
        <v>6</v>
      </c>
      <c r="E220" s="421">
        <f t="shared" si="38"/>
        <v>8.9499999999998572</v>
      </c>
      <c r="F220" s="394">
        <f t="shared" si="39"/>
        <v>967905.8570394913</v>
      </c>
      <c r="G220" s="394">
        <v>675</v>
      </c>
      <c r="H220" s="394">
        <f t="shared" si="40"/>
        <v>967230.8570394913</v>
      </c>
      <c r="I220" s="424">
        <f t="shared" si="41"/>
        <v>-3.3333333333334103E-3</v>
      </c>
      <c r="J220" s="424">
        <f t="shared" si="42"/>
        <v>5.022295014588174E-3</v>
      </c>
      <c r="K220" s="433"/>
      <c r="L220" s="394">
        <f t="shared" si="34"/>
        <v>14.949999999999857</v>
      </c>
      <c r="M220" s="394">
        <f t="shared" si="35"/>
        <v>7905.8570394912967</v>
      </c>
    </row>
    <row r="221" spans="2:13" ht="15" x14ac:dyDescent="0.25">
      <c r="B221" s="420">
        <f t="shared" si="36"/>
        <v>14.899999999999856</v>
      </c>
      <c r="C221" s="394">
        <f t="shared" si="37"/>
        <v>108690.87060501923</v>
      </c>
      <c r="D221" s="422">
        <v>6</v>
      </c>
      <c r="E221" s="421">
        <f t="shared" si="38"/>
        <v>8.8999999999998565</v>
      </c>
      <c r="F221" s="394">
        <f t="shared" si="39"/>
        <v>967348.74838465557</v>
      </c>
      <c r="G221" s="394">
        <v>675</v>
      </c>
      <c r="H221" s="394">
        <f t="shared" si="40"/>
        <v>966673.74838465557</v>
      </c>
      <c r="I221" s="424">
        <f t="shared" si="41"/>
        <v>-3.3444816053512794E-3</v>
      </c>
      <c r="J221" s="424">
        <f t="shared" si="42"/>
        <v>5.0391624763319598E-3</v>
      </c>
      <c r="K221" s="433"/>
      <c r="L221" s="394">
        <f t="shared" si="34"/>
        <v>14.899999999999856</v>
      </c>
      <c r="M221" s="394">
        <f t="shared" si="35"/>
        <v>7348.7483846555697</v>
      </c>
    </row>
    <row r="222" spans="2:13" ht="15" x14ac:dyDescent="0.25">
      <c r="B222" s="420">
        <f t="shared" si="36"/>
        <v>14.849999999999856</v>
      </c>
      <c r="C222" s="394">
        <f t="shared" si="37"/>
        <v>109240.42725687739</v>
      </c>
      <c r="D222" s="422">
        <v>6</v>
      </c>
      <c r="E222" s="421">
        <f t="shared" si="38"/>
        <v>8.8499999999998558</v>
      </c>
      <c r="F222" s="394">
        <f t="shared" si="39"/>
        <v>966777.78122334916</v>
      </c>
      <c r="G222" s="394">
        <v>675</v>
      </c>
      <c r="H222" s="394">
        <f t="shared" si="40"/>
        <v>966102.78122334916</v>
      </c>
      <c r="I222" s="424">
        <f t="shared" si="41"/>
        <v>-3.3557046979866278E-3</v>
      </c>
      <c r="J222" s="424">
        <f t="shared" si="42"/>
        <v>5.0561436190463827E-3</v>
      </c>
      <c r="K222" s="433"/>
      <c r="L222" s="394">
        <f t="shared" si="34"/>
        <v>14.849999999999856</v>
      </c>
      <c r="M222" s="394">
        <f t="shared" si="35"/>
        <v>6777.7812233491568</v>
      </c>
    </row>
    <row r="223" spans="2:13" ht="15" x14ac:dyDescent="0.25">
      <c r="B223" s="420">
        <f t="shared" si="36"/>
        <v>14.799999999999855</v>
      </c>
      <c r="C223" s="394">
        <f t="shared" si="37"/>
        <v>109794.63011790704</v>
      </c>
      <c r="D223" s="422">
        <v>6</v>
      </c>
      <c r="E223" s="421">
        <f t="shared" si="38"/>
        <v>8.799999999999855</v>
      </c>
      <c r="F223" s="394">
        <f t="shared" si="39"/>
        <v>966192.74503756606</v>
      </c>
      <c r="G223" s="394">
        <v>675</v>
      </c>
      <c r="H223" s="394">
        <f t="shared" si="40"/>
        <v>965517.74503756606</v>
      </c>
      <c r="I223" s="424">
        <f t="shared" si="41"/>
        <v>-3.3670033670034627E-3</v>
      </c>
      <c r="J223" s="424">
        <f t="shared" si="42"/>
        <v>5.0732395958728027E-3</v>
      </c>
      <c r="K223" s="433"/>
      <c r="L223" s="394">
        <f t="shared" si="34"/>
        <v>14.799999999999855</v>
      </c>
      <c r="M223" s="394">
        <f t="shared" si="35"/>
        <v>6192.7450375660555</v>
      </c>
    </row>
    <row r="224" spans="2:13" ht="15" x14ac:dyDescent="0.25">
      <c r="B224" s="420">
        <f t="shared" si="36"/>
        <v>14.749999999999854</v>
      </c>
      <c r="C224" s="394">
        <f t="shared" si="37"/>
        <v>110353.53436578334</v>
      </c>
      <c r="D224" s="422">
        <v>6</v>
      </c>
      <c r="E224" s="421">
        <f t="shared" si="38"/>
        <v>8.7499999999998543</v>
      </c>
      <c r="F224" s="394">
        <f t="shared" si="39"/>
        <v>965593.42570058815</v>
      </c>
      <c r="G224" s="394">
        <v>675</v>
      </c>
      <c r="H224" s="394">
        <f t="shared" si="40"/>
        <v>964918.42570058815</v>
      </c>
      <c r="I224" s="424">
        <f t="shared" si="41"/>
        <v>-3.3783783783785104E-3</v>
      </c>
      <c r="J224" s="424">
        <f t="shared" si="42"/>
        <v>5.0904515756016178E-3</v>
      </c>
      <c r="K224" s="433"/>
      <c r="L224" s="394">
        <f t="shared" si="34"/>
        <v>14.749999999999854</v>
      </c>
      <c r="M224" s="394">
        <f t="shared" si="35"/>
        <v>5593.4257005881518</v>
      </c>
    </row>
    <row r="225" spans="2:13" ht="15" x14ac:dyDescent="0.25">
      <c r="B225" s="420">
        <f t="shared" si="36"/>
        <v>14.699999999999854</v>
      </c>
      <c r="C225" s="394">
        <f t="shared" si="37"/>
        <v>110917.19602353204</v>
      </c>
      <c r="D225" s="422">
        <v>6</v>
      </c>
      <c r="E225" s="421">
        <f t="shared" si="38"/>
        <v>8.6999999999998536</v>
      </c>
      <c r="F225" s="394">
        <f t="shared" si="39"/>
        <v>964979.60540471249</v>
      </c>
      <c r="G225" s="394">
        <v>675</v>
      </c>
      <c r="H225" s="394">
        <f t="shared" si="40"/>
        <v>964304.60540471249</v>
      </c>
      <c r="I225" s="424">
        <f t="shared" si="41"/>
        <v>-3.3898305084746339E-3</v>
      </c>
      <c r="J225" s="424">
        <f t="shared" si="42"/>
        <v>5.1077807429380506E-3</v>
      </c>
      <c r="K225" s="433"/>
      <c r="L225" s="394">
        <f t="shared" si="34"/>
        <v>14.699999999999854</v>
      </c>
      <c r="M225" s="394">
        <f t="shared" si="35"/>
        <v>4979.6054047124926</v>
      </c>
    </row>
    <row r="226" spans="2:13" ht="15" x14ac:dyDescent="0.25">
      <c r="B226" s="420">
        <f t="shared" si="36"/>
        <v>14.649999999999853</v>
      </c>
      <c r="C226" s="394">
        <f t="shared" si="37"/>
        <v>111485.67197541265</v>
      </c>
      <c r="D226" s="422">
        <v>6</v>
      </c>
      <c r="E226" s="421">
        <f t="shared" si="38"/>
        <v>8.6499999999998529</v>
      </c>
      <c r="F226" s="394">
        <f t="shared" si="39"/>
        <v>964351.06258730311</v>
      </c>
      <c r="G226" s="394">
        <v>675</v>
      </c>
      <c r="H226" s="394">
        <f t="shared" si="40"/>
        <v>963676.06258730311</v>
      </c>
      <c r="I226" s="424">
        <f t="shared" si="41"/>
        <v>-3.4013605442178019E-3</v>
      </c>
      <c r="J226" s="424">
        <f t="shared" si="42"/>
        <v>5.125228298775264E-3</v>
      </c>
      <c r="K226" s="433"/>
      <c r="L226" s="394">
        <f t="shared" si="34"/>
        <v>14.649999999999853</v>
      </c>
      <c r="M226" s="394">
        <f t="shared" si="35"/>
        <v>4351.0625873031095</v>
      </c>
    </row>
    <row r="227" spans="2:13" ht="15" x14ac:dyDescent="0.25">
      <c r="B227" s="420">
        <f t="shared" si="36"/>
        <v>14.599999999999852</v>
      </c>
      <c r="C227" s="394">
        <f t="shared" si="37"/>
        <v>112059.01998315535</v>
      </c>
      <c r="D227" s="422">
        <v>6</v>
      </c>
      <c r="E227" s="421">
        <f t="shared" si="38"/>
        <v>8.5999999999998522</v>
      </c>
      <c r="F227" s="394">
        <f t="shared" si="39"/>
        <v>963707.57185511943</v>
      </c>
      <c r="G227" s="394">
        <v>675</v>
      </c>
      <c r="H227" s="394">
        <f t="shared" si="40"/>
        <v>963032.57185511943</v>
      </c>
      <c r="I227" s="424">
        <f t="shared" si="41"/>
        <v>-3.4129692832765013E-3</v>
      </c>
      <c r="J227" s="424">
        <f t="shared" si="42"/>
        <v>5.1427954604708059E-3</v>
      </c>
      <c r="K227" s="433"/>
      <c r="L227" s="394">
        <f t="shared" si="34"/>
        <v>14.599999999999852</v>
      </c>
      <c r="M227" s="394">
        <f t="shared" si="35"/>
        <v>3707.5718551194295</v>
      </c>
    </row>
    <row r="228" spans="2:13" ht="15" x14ac:dyDescent="0.25">
      <c r="C228" s="1"/>
    </row>
    <row r="229" spans="2:13" ht="15" x14ac:dyDescent="0.25">
      <c r="C229" s="1"/>
    </row>
    <row r="230" spans="2:13" ht="15" x14ac:dyDescent="0.25">
      <c r="C230" s="1"/>
    </row>
    <row r="231" spans="2:13" ht="15" x14ac:dyDescent="0.25">
      <c r="C231" s="1"/>
    </row>
    <row r="232" spans="2:13" ht="15" x14ac:dyDescent="0.25">
      <c r="C232" s="1"/>
    </row>
    <row r="233" spans="2:13" ht="15" x14ac:dyDescent="0.25">
      <c r="C233" s="1"/>
    </row>
    <row r="234" spans="2:13" ht="15" x14ac:dyDescent="0.25">
      <c r="C234" s="1"/>
    </row>
    <row r="235" spans="2:13" ht="15" x14ac:dyDescent="0.25">
      <c r="C235" s="1"/>
    </row>
    <row r="236" spans="2:13" ht="15" x14ac:dyDescent="0.25">
      <c r="C236" s="1"/>
    </row>
    <row r="237" spans="2:13" ht="15" x14ac:dyDescent="0.25">
      <c r="C237" s="1"/>
    </row>
    <row r="238" spans="2:13" ht="15" x14ac:dyDescent="0.25">
      <c r="C238" s="1"/>
    </row>
    <row r="239" spans="2:13" ht="15" x14ac:dyDescent="0.25">
      <c r="C239" s="1"/>
    </row>
    <row r="240" spans="2:13" ht="15" x14ac:dyDescent="0.25">
      <c r="C240" s="1"/>
    </row>
    <row r="241" spans="3:3" ht="15" x14ac:dyDescent="0.25">
      <c r="C241" s="1"/>
    </row>
    <row r="242" spans="3:3" ht="15" x14ac:dyDescent="0.25">
      <c r="C242" s="1"/>
    </row>
    <row r="243" spans="3:3" ht="15" x14ac:dyDescent="0.25">
      <c r="C243" s="1"/>
    </row>
    <row r="244" spans="3:3" ht="15" x14ac:dyDescent="0.25">
      <c r="C244" s="1"/>
    </row>
    <row r="245" spans="3:3" ht="15" x14ac:dyDescent="0.25">
      <c r="C245" s="1"/>
    </row>
    <row r="246" spans="3:3" ht="15" x14ac:dyDescent="0.25">
      <c r="C246" s="1"/>
    </row>
    <row r="247" spans="3:3" ht="15" x14ac:dyDescent="0.25">
      <c r="C247" s="1"/>
    </row>
    <row r="248" spans="3:3" ht="15" x14ac:dyDescent="0.25">
      <c r="C248" s="1"/>
    </row>
    <row r="249" spans="3:3" ht="15" x14ac:dyDescent="0.25">
      <c r="C249" s="1"/>
    </row>
    <row r="250" spans="3:3" ht="15" x14ac:dyDescent="0.25">
      <c r="C250" s="1"/>
    </row>
    <row r="251" spans="3:3" ht="15" x14ac:dyDescent="0.25">
      <c r="C251" s="1"/>
    </row>
    <row r="252" spans="3:3" ht="15" x14ac:dyDescent="0.25">
      <c r="C252" s="1"/>
    </row>
    <row r="253" spans="3:3" ht="15" x14ac:dyDescent="0.25">
      <c r="C253" s="1"/>
    </row>
    <row r="254" spans="3:3" ht="15" x14ac:dyDescent="0.25">
      <c r="C254" s="1"/>
    </row>
    <row r="255" spans="3:3" ht="15" x14ac:dyDescent="0.25">
      <c r="C255" s="1"/>
    </row>
    <row r="256" spans="3:3" ht="15" x14ac:dyDescent="0.25">
      <c r="C256" s="1"/>
    </row>
    <row r="257" spans="3:3" ht="15" x14ac:dyDescent="0.25">
      <c r="C257" s="1"/>
    </row>
    <row r="258" spans="3:3" ht="15" x14ac:dyDescent="0.25">
      <c r="C258" s="1"/>
    </row>
    <row r="259" spans="3:3" ht="15" x14ac:dyDescent="0.25">
      <c r="C259" s="1"/>
    </row>
    <row r="260" spans="3:3" ht="15" x14ac:dyDescent="0.25">
      <c r="C260" s="1"/>
    </row>
    <row r="261" spans="3:3" ht="15" x14ac:dyDescent="0.25">
      <c r="C261" s="1"/>
    </row>
    <row r="262" spans="3:3" ht="15" x14ac:dyDescent="0.25">
      <c r="C262" s="1"/>
    </row>
    <row r="263" spans="3:3" ht="15" x14ac:dyDescent="0.25">
      <c r="C263" s="1"/>
    </row>
    <row r="264" spans="3:3" ht="15" x14ac:dyDescent="0.25">
      <c r="C264" s="1"/>
    </row>
    <row r="265" spans="3:3" ht="15" x14ac:dyDescent="0.25">
      <c r="C265" s="1"/>
    </row>
    <row r="266" spans="3:3" ht="15" x14ac:dyDescent="0.25">
      <c r="C266" s="1"/>
    </row>
    <row r="267" spans="3:3" ht="15" x14ac:dyDescent="0.25">
      <c r="C267" s="1"/>
    </row>
    <row r="268" spans="3:3" ht="15" x14ac:dyDescent="0.25">
      <c r="C268" s="1"/>
    </row>
    <row r="269" spans="3:3" ht="15" x14ac:dyDescent="0.25">
      <c r="C269" s="1"/>
    </row>
    <row r="270" spans="3:3" ht="15" x14ac:dyDescent="0.25">
      <c r="C270" s="1"/>
    </row>
    <row r="271" spans="3:3" ht="15" x14ac:dyDescent="0.25">
      <c r="C271" s="1"/>
    </row>
    <row r="272" spans="3:3" ht="15" x14ac:dyDescent="0.25">
      <c r="C272" s="1"/>
    </row>
    <row r="273" spans="3:3" ht="15" x14ac:dyDescent="0.25">
      <c r="C273" s="1"/>
    </row>
    <row r="274" spans="3:3" ht="15" x14ac:dyDescent="0.25">
      <c r="C274" s="1"/>
    </row>
    <row r="275" spans="3:3" ht="15" x14ac:dyDescent="0.25">
      <c r="C275" s="1"/>
    </row>
    <row r="276" spans="3:3" ht="15" x14ac:dyDescent="0.25">
      <c r="C276" s="1"/>
    </row>
    <row r="277" spans="3:3" ht="15" x14ac:dyDescent="0.25">
      <c r="C277" s="1"/>
    </row>
    <row r="278" spans="3:3" ht="15" x14ac:dyDescent="0.25">
      <c r="C278" s="1"/>
    </row>
    <row r="279" spans="3:3" ht="15" x14ac:dyDescent="0.25">
      <c r="C279" s="1"/>
    </row>
    <row r="280" spans="3:3" ht="15" x14ac:dyDescent="0.25">
      <c r="C280" s="1"/>
    </row>
    <row r="281" spans="3:3" ht="15" x14ac:dyDescent="0.25">
      <c r="C281" s="1"/>
    </row>
    <row r="282" spans="3:3" ht="15" x14ac:dyDescent="0.25">
      <c r="C282" s="1"/>
    </row>
    <row r="283" spans="3:3" ht="15" x14ac:dyDescent="0.25">
      <c r="C283" s="1"/>
    </row>
    <row r="284" spans="3:3" ht="15" x14ac:dyDescent="0.25">
      <c r="C284" s="1"/>
    </row>
    <row r="285" spans="3:3" ht="15" x14ac:dyDescent="0.25">
      <c r="C285" s="1"/>
    </row>
    <row r="286" spans="3:3" ht="15" x14ac:dyDescent="0.25">
      <c r="C286" s="1"/>
    </row>
    <row r="287" spans="3:3" ht="15" x14ac:dyDescent="0.25">
      <c r="C287" s="1"/>
    </row>
    <row r="288" spans="3:3" ht="15" x14ac:dyDescent="0.25">
      <c r="C288" s="1"/>
    </row>
    <row r="289" spans="3:3" ht="15" x14ac:dyDescent="0.25">
      <c r="C289" s="1"/>
    </row>
    <row r="290" spans="3:3" ht="15" x14ac:dyDescent="0.25">
      <c r="C290" s="1"/>
    </row>
    <row r="291" spans="3:3" ht="15" x14ac:dyDescent="0.25">
      <c r="C291" s="1"/>
    </row>
    <row r="292" spans="3:3" ht="15" x14ac:dyDescent="0.25">
      <c r="C292" s="1"/>
    </row>
    <row r="293" spans="3:3" ht="15" x14ac:dyDescent="0.25">
      <c r="C293" s="1"/>
    </row>
    <row r="294" spans="3:3" ht="15" x14ac:dyDescent="0.25">
      <c r="C294" s="1"/>
    </row>
    <row r="295" spans="3:3" ht="15" x14ac:dyDescent="0.25">
      <c r="C295" s="1"/>
    </row>
    <row r="296" spans="3:3" ht="15" x14ac:dyDescent="0.25">
      <c r="C296" s="1"/>
    </row>
    <row r="297" spans="3:3" ht="15" x14ac:dyDescent="0.25">
      <c r="C297" s="1"/>
    </row>
    <row r="298" spans="3:3" ht="15" x14ac:dyDescent="0.25">
      <c r="C298" s="1"/>
    </row>
  </sheetData>
  <mergeCells count="2">
    <mergeCell ref="B14:D14"/>
    <mergeCell ref="B16:D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9"/>
  <sheetViews>
    <sheetView topLeftCell="A6" zoomScale="150" zoomScaleNormal="150" workbookViewId="0">
      <selection activeCell="F20" sqref="F20:F29"/>
    </sheetView>
  </sheetViews>
  <sheetFormatPr defaultRowHeight="15" x14ac:dyDescent="0.25"/>
  <cols>
    <col min="1" max="1" width="2.85546875" style="1" customWidth="1"/>
    <col min="2" max="2" width="26.7109375" style="1" customWidth="1"/>
    <col min="3" max="5" width="12.5703125" style="1" customWidth="1"/>
    <col min="6" max="6" width="14.7109375" style="1" customWidth="1"/>
    <col min="7" max="16384" width="9.140625" style="1"/>
  </cols>
  <sheetData>
    <row r="2" spans="2:6" x14ac:dyDescent="0.25">
      <c r="C2" s="13" t="s">
        <v>21</v>
      </c>
      <c r="D2" s="13" t="s">
        <v>22</v>
      </c>
      <c r="E2" s="13" t="s">
        <v>23</v>
      </c>
    </row>
    <row r="3" spans="2:6" x14ac:dyDescent="0.25">
      <c r="B3" s="2" t="s">
        <v>24</v>
      </c>
      <c r="C3" s="1">
        <v>1000</v>
      </c>
      <c r="D3" s="1">
        <v>2000</v>
      </c>
      <c r="E3" s="1">
        <v>4000</v>
      </c>
    </row>
    <row r="4" spans="2:6" x14ac:dyDescent="0.25">
      <c r="B4" s="2" t="s">
        <v>25</v>
      </c>
      <c r="C4" s="1">
        <v>1800</v>
      </c>
      <c r="D4" s="1">
        <v>3600</v>
      </c>
      <c r="E4" s="1">
        <v>7200</v>
      </c>
    </row>
    <row r="5" spans="2:6" x14ac:dyDescent="0.25">
      <c r="B5" s="2"/>
    </row>
    <row r="6" spans="2:6" x14ac:dyDescent="0.25">
      <c r="B6" s="15" t="s">
        <v>26</v>
      </c>
      <c r="C6" s="15" t="str">
        <f>+C2</f>
        <v>ABR</v>
      </c>
      <c r="D6" s="15" t="str">
        <f>+D2</f>
        <v>MAI</v>
      </c>
      <c r="E6" s="15" t="str">
        <f>+E2</f>
        <v>JUN</v>
      </c>
      <c r="F6" s="435" t="s">
        <v>37</v>
      </c>
    </row>
    <row r="7" spans="2:6" x14ac:dyDescent="0.25">
      <c r="B7" s="16" t="s">
        <v>27</v>
      </c>
      <c r="C7" s="17">
        <v>0</v>
      </c>
      <c r="D7" s="17">
        <f>+C4/5</f>
        <v>360</v>
      </c>
      <c r="E7" s="17">
        <f>+C4/5+D4/5</f>
        <v>1080</v>
      </c>
      <c r="F7" s="435"/>
    </row>
    <row r="8" spans="2:6" x14ac:dyDescent="0.25">
      <c r="B8" s="16" t="s">
        <v>28</v>
      </c>
      <c r="C8" s="17">
        <f>-C3</f>
        <v>-1000</v>
      </c>
      <c r="D8" s="17">
        <f>-D3</f>
        <v>-2000</v>
      </c>
      <c r="E8" s="17">
        <f>-E3</f>
        <v>-4000</v>
      </c>
      <c r="F8" s="435"/>
    </row>
    <row r="9" spans="2:6" x14ac:dyDescent="0.25">
      <c r="B9" s="18" t="s">
        <v>29</v>
      </c>
      <c r="C9" s="19">
        <f>+SUM(C7:C8)</f>
        <v>-1000</v>
      </c>
      <c r="D9" s="19">
        <f t="shared" ref="D9:E9" si="0">+SUM(D7:D8)</f>
        <v>-1640</v>
      </c>
      <c r="E9" s="19">
        <f t="shared" si="0"/>
        <v>-2920</v>
      </c>
      <c r="F9" s="435"/>
    </row>
    <row r="10" spans="2:6" x14ac:dyDescent="0.25">
      <c r="B10" s="20" t="s">
        <v>30</v>
      </c>
      <c r="C10" s="21">
        <v>10000</v>
      </c>
      <c r="D10" s="21">
        <f>+C11</f>
        <v>9000</v>
      </c>
      <c r="E10" s="21">
        <f>+D11</f>
        <v>7360</v>
      </c>
      <c r="F10" s="435"/>
    </row>
    <row r="11" spans="2:6" x14ac:dyDescent="0.25">
      <c r="B11" s="20" t="s">
        <v>31</v>
      </c>
      <c r="C11" s="21">
        <f>+C10+C9</f>
        <v>9000</v>
      </c>
      <c r="D11" s="21">
        <f>+D10+D9</f>
        <v>7360</v>
      </c>
      <c r="E11" s="21">
        <f>+E10+E9</f>
        <v>4440</v>
      </c>
      <c r="F11" s="435"/>
    </row>
    <row r="12" spans="2:6" x14ac:dyDescent="0.25">
      <c r="B12" s="2"/>
    </row>
    <row r="13" spans="2:6" x14ac:dyDescent="0.25">
      <c r="B13" s="15" t="s">
        <v>12</v>
      </c>
      <c r="C13" s="15" t="str">
        <f>+C6</f>
        <v>ABR</v>
      </c>
      <c r="D13" s="15" t="str">
        <f t="shared" ref="D13:E13" si="1">+D6</f>
        <v>MAI</v>
      </c>
      <c r="E13" s="15" t="str">
        <f t="shared" si="1"/>
        <v>JUN</v>
      </c>
      <c r="F13" s="435" t="s">
        <v>36</v>
      </c>
    </row>
    <row r="14" spans="2:6" x14ac:dyDescent="0.25">
      <c r="B14" s="16" t="s">
        <v>32</v>
      </c>
      <c r="C14" s="17">
        <f>+C4</f>
        <v>1800</v>
      </c>
      <c r="D14" s="17">
        <f>+D4</f>
        <v>3600</v>
      </c>
      <c r="E14" s="17">
        <f>+E4</f>
        <v>7200</v>
      </c>
      <c r="F14" s="435"/>
    </row>
    <row r="15" spans="2:6" x14ac:dyDescent="0.25">
      <c r="B15" s="16" t="s">
        <v>33</v>
      </c>
      <c r="C15" s="17">
        <f>-C3</f>
        <v>-1000</v>
      </c>
      <c r="D15" s="17">
        <f t="shared" ref="D15:E15" si="2">-D3</f>
        <v>-2000</v>
      </c>
      <c r="E15" s="17">
        <f t="shared" si="2"/>
        <v>-4000</v>
      </c>
      <c r="F15" s="435"/>
    </row>
    <row r="16" spans="2:6" x14ac:dyDescent="0.25">
      <c r="B16" s="18" t="s">
        <v>34</v>
      </c>
      <c r="C16" s="19">
        <f>+SUM(C14:C15)</f>
        <v>800</v>
      </c>
      <c r="D16" s="19">
        <f t="shared" ref="D16" si="3">+SUM(D14:D15)</f>
        <v>1600</v>
      </c>
      <c r="E16" s="19">
        <f t="shared" ref="E16" si="4">+SUM(E14:E15)</f>
        <v>3200</v>
      </c>
      <c r="F16" s="435"/>
    </row>
    <row r="17" spans="2:6" x14ac:dyDescent="0.25">
      <c r="B17" s="28" t="s">
        <v>44</v>
      </c>
      <c r="C17" s="29">
        <f>+C24</f>
        <v>-180</v>
      </c>
      <c r="D17" s="29">
        <f>+D24-C24</f>
        <v>-324</v>
      </c>
      <c r="E17" s="29">
        <f>+E24-D24</f>
        <v>-612</v>
      </c>
      <c r="F17" s="435"/>
    </row>
    <row r="18" spans="2:6" x14ac:dyDescent="0.25">
      <c r="B18" s="18" t="s">
        <v>35</v>
      </c>
      <c r="C18" s="19">
        <f>SUM(C16:C17)</f>
        <v>620</v>
      </c>
      <c r="D18" s="19">
        <f t="shared" ref="D18:E18" si="5">SUM(D16:D17)</f>
        <v>1276</v>
      </c>
      <c r="E18" s="19">
        <f t="shared" si="5"/>
        <v>2588</v>
      </c>
      <c r="F18" s="435"/>
    </row>
    <row r="19" spans="2:6" x14ac:dyDescent="0.25">
      <c r="B19" s="2"/>
    </row>
    <row r="20" spans="2:6" ht="15" customHeight="1" x14ac:dyDescent="0.25">
      <c r="B20" s="436" t="s">
        <v>38</v>
      </c>
      <c r="C20" s="436"/>
      <c r="D20" s="436"/>
      <c r="E20" s="436"/>
      <c r="F20" s="435" t="s">
        <v>45</v>
      </c>
    </row>
    <row r="21" spans="2:6" x14ac:dyDescent="0.25">
      <c r="B21" s="22" t="s">
        <v>4</v>
      </c>
      <c r="C21" s="23">
        <v>43220</v>
      </c>
      <c r="D21" s="23">
        <f>+C21+31</f>
        <v>43251</v>
      </c>
      <c r="E21" s="23">
        <f>+D21+30</f>
        <v>43281</v>
      </c>
      <c r="F21" s="435"/>
    </row>
    <row r="22" spans="2:6" x14ac:dyDescent="0.25">
      <c r="B22" s="20" t="s">
        <v>39</v>
      </c>
      <c r="C22" s="21">
        <f>+C11</f>
        <v>9000</v>
      </c>
      <c r="D22" s="21">
        <f>+D11</f>
        <v>7360</v>
      </c>
      <c r="E22" s="21">
        <f>+E11</f>
        <v>4440</v>
      </c>
      <c r="F22" s="435"/>
    </row>
    <row r="23" spans="2:6" x14ac:dyDescent="0.25">
      <c r="B23" s="20" t="s">
        <v>40</v>
      </c>
      <c r="C23" s="21">
        <f>+C14</f>
        <v>1800</v>
      </c>
      <c r="D23" s="21">
        <f>+C23+D14-D7</f>
        <v>5040</v>
      </c>
      <c r="E23" s="21">
        <f>+D23+E14-E7</f>
        <v>11160</v>
      </c>
      <c r="F23" s="435"/>
    </row>
    <row r="24" spans="2:6" x14ac:dyDescent="0.25">
      <c r="B24" s="26" t="s">
        <v>44</v>
      </c>
      <c r="C24" s="27">
        <f>-C23*10%</f>
        <v>-180</v>
      </c>
      <c r="D24" s="27">
        <f>-D23*10%</f>
        <v>-504</v>
      </c>
      <c r="E24" s="27">
        <f>-E23*10%</f>
        <v>-1116</v>
      </c>
      <c r="F24" s="435"/>
    </row>
    <row r="25" spans="2:6" x14ac:dyDescent="0.25">
      <c r="B25" s="24" t="s">
        <v>10</v>
      </c>
      <c r="C25" s="25">
        <f>+SUM(C22:C24)</f>
        <v>10620</v>
      </c>
      <c r="D25" s="25">
        <f t="shared" ref="D25" si="6">+SUM(D22:D24)</f>
        <v>11896</v>
      </c>
      <c r="E25" s="25">
        <f t="shared" ref="E25" si="7">+SUM(E22:E24)</f>
        <v>14484</v>
      </c>
      <c r="F25" s="435"/>
    </row>
    <row r="26" spans="2:6" x14ac:dyDescent="0.25">
      <c r="B26" s="22" t="s">
        <v>41</v>
      </c>
      <c r="C26" s="23">
        <v>43220</v>
      </c>
      <c r="D26" s="23">
        <f>+C26+31</f>
        <v>43251</v>
      </c>
      <c r="E26" s="23">
        <f>+D26+30</f>
        <v>43281</v>
      </c>
      <c r="F26" s="435"/>
    </row>
    <row r="27" spans="2:6" x14ac:dyDescent="0.25">
      <c r="B27" s="20" t="s">
        <v>42</v>
      </c>
      <c r="C27" s="21">
        <v>10000</v>
      </c>
      <c r="D27" s="21">
        <v>10000</v>
      </c>
      <c r="E27" s="21">
        <v>10000</v>
      </c>
      <c r="F27" s="435"/>
    </row>
    <row r="28" spans="2:6" x14ac:dyDescent="0.25">
      <c r="B28" s="20" t="s">
        <v>43</v>
      </c>
      <c r="C28" s="21">
        <f>+C18</f>
        <v>620</v>
      </c>
      <c r="D28" s="21">
        <f>+C28+D18</f>
        <v>1896</v>
      </c>
      <c r="E28" s="21">
        <f>+D28+E18</f>
        <v>4484</v>
      </c>
      <c r="F28" s="435"/>
    </row>
    <row r="29" spans="2:6" x14ac:dyDescent="0.25">
      <c r="B29" s="24" t="s">
        <v>10</v>
      </c>
      <c r="C29" s="25">
        <f>+SUM(C27:C28)</f>
        <v>10620</v>
      </c>
      <c r="D29" s="25">
        <f>+SUM(D27:D28)</f>
        <v>11896</v>
      </c>
      <c r="E29" s="25">
        <f>+SUM(E27:E28)</f>
        <v>14484</v>
      </c>
      <c r="F29" s="435"/>
    </row>
  </sheetData>
  <mergeCells count="4">
    <mergeCell ref="F13:F18"/>
    <mergeCell ref="F6:F11"/>
    <mergeCell ref="B20:E20"/>
    <mergeCell ref="F20:F29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4"/>
  <sheetViews>
    <sheetView tabSelected="1" zoomScale="80" zoomScaleNormal="80" workbookViewId="0">
      <selection activeCell="J9" sqref="J9"/>
    </sheetView>
  </sheetViews>
  <sheetFormatPr defaultRowHeight="15" x14ac:dyDescent="0.25"/>
  <cols>
    <col min="1" max="1" width="1.5703125" style="1" customWidth="1"/>
    <col min="2" max="2" width="29.7109375" style="1" customWidth="1"/>
    <col min="3" max="3" width="7.5703125" style="1" bestFit="1" customWidth="1"/>
    <col min="4" max="4" width="8.85546875" style="1" bestFit="1" customWidth="1"/>
    <col min="5" max="5" width="2.140625" style="1" customWidth="1"/>
    <col min="6" max="6" width="24.42578125" style="1" bestFit="1" customWidth="1"/>
    <col min="7" max="7" width="7.28515625" style="1" bestFit="1" customWidth="1"/>
    <col min="8" max="8" width="10.42578125" style="1" bestFit="1" customWidth="1"/>
    <col min="9" max="9" width="2.140625" style="1" customWidth="1"/>
    <col min="10" max="10" width="32.85546875" style="1" customWidth="1"/>
    <col min="11" max="11" width="7.28515625" style="1" bestFit="1" customWidth="1"/>
    <col min="12" max="12" width="10.42578125" style="1" bestFit="1" customWidth="1"/>
    <col min="13" max="13" width="2.140625" style="1" customWidth="1"/>
    <col min="14" max="14" width="32" style="1" customWidth="1"/>
    <col min="15" max="17" width="12.7109375" style="1" customWidth="1"/>
    <col min="18" max="18" width="10.5703125" style="1" bestFit="1" customWidth="1"/>
    <col min="19" max="16384" width="9.140625" style="1"/>
  </cols>
  <sheetData>
    <row r="2" spans="2:18" ht="21" x14ac:dyDescent="0.25">
      <c r="B2" s="507" t="s">
        <v>420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</row>
    <row r="4" spans="2:18" ht="18.75" x14ac:dyDescent="0.25">
      <c r="B4" s="503" t="s">
        <v>417</v>
      </c>
      <c r="C4" s="503"/>
      <c r="D4" s="503"/>
      <c r="F4" s="503" t="s">
        <v>418</v>
      </c>
      <c r="G4" s="503"/>
      <c r="H4" s="503"/>
      <c r="J4" s="503" t="s">
        <v>419</v>
      </c>
      <c r="K4" s="503"/>
      <c r="L4" s="503"/>
      <c r="N4" s="429" t="s">
        <v>434</v>
      </c>
      <c r="O4" s="429" t="s">
        <v>435</v>
      </c>
      <c r="P4" s="429" t="s">
        <v>418</v>
      </c>
      <c r="Q4" s="429" t="s">
        <v>419</v>
      </c>
      <c r="R4" s="429" t="s">
        <v>436</v>
      </c>
    </row>
    <row r="5" spans="2:18" x14ac:dyDescent="0.25">
      <c r="B5" s="407"/>
      <c r="C5" s="409" t="s">
        <v>219</v>
      </c>
      <c r="D5" s="409" t="s">
        <v>226</v>
      </c>
      <c r="F5" s="407"/>
      <c r="G5" s="409" t="s">
        <v>421</v>
      </c>
      <c r="H5" s="409" t="s">
        <v>226</v>
      </c>
      <c r="J5" s="407"/>
      <c r="K5" s="409" t="s">
        <v>421</v>
      </c>
      <c r="L5" s="409" t="s">
        <v>226</v>
      </c>
      <c r="N5" s="407"/>
      <c r="O5" s="409" t="s">
        <v>226</v>
      </c>
      <c r="P5" s="409" t="s">
        <v>226</v>
      </c>
      <c r="Q5" s="409" t="s">
        <v>226</v>
      </c>
      <c r="R5" s="409" t="s">
        <v>226</v>
      </c>
    </row>
    <row r="6" spans="2:18" x14ac:dyDescent="0.25">
      <c r="B6" s="395" t="s">
        <v>80</v>
      </c>
      <c r="C6" s="394">
        <f>-G7</f>
        <v>400</v>
      </c>
      <c r="D6" s="394">
        <f>+C6*2000</f>
        <v>800000</v>
      </c>
      <c r="F6" s="395" t="s">
        <v>80</v>
      </c>
      <c r="G6" s="394">
        <v>1600</v>
      </c>
      <c r="H6" s="394">
        <f>+G6*2000</f>
        <v>3200000</v>
      </c>
      <c r="J6" s="395" t="s">
        <v>425</v>
      </c>
      <c r="K6" s="394">
        <v>1500</v>
      </c>
      <c r="L6" s="394">
        <f>+K6*2000</f>
        <v>3000000</v>
      </c>
      <c r="N6" s="395" t="s">
        <v>80</v>
      </c>
      <c r="O6" s="394"/>
      <c r="P6" s="394"/>
      <c r="Q6" s="394">
        <f>+L6</f>
        <v>3000000</v>
      </c>
      <c r="R6" s="398">
        <f>SUM(O6:Q6)</f>
        <v>3000000</v>
      </c>
    </row>
    <row r="7" spans="2:18" x14ac:dyDescent="0.25">
      <c r="B7" s="395" t="s">
        <v>423</v>
      </c>
      <c r="C7" s="394">
        <v>-200</v>
      </c>
      <c r="D7" s="394">
        <f>+C7*2000</f>
        <v>-400000</v>
      </c>
      <c r="F7" s="395" t="s">
        <v>422</v>
      </c>
      <c r="G7" s="394">
        <v>-400</v>
      </c>
      <c r="H7" s="394">
        <f>+G7*2000</f>
        <v>-800000</v>
      </c>
      <c r="J7" s="395" t="s">
        <v>426</v>
      </c>
      <c r="K7" s="394">
        <f>-G6</f>
        <v>-1600</v>
      </c>
      <c r="L7" s="394">
        <f>+K7*2000</f>
        <v>-3200000</v>
      </c>
      <c r="N7" s="395" t="s">
        <v>437</v>
      </c>
      <c r="O7" s="394"/>
      <c r="P7" s="394">
        <f>H8</f>
        <v>-900000</v>
      </c>
      <c r="Q7" s="394"/>
      <c r="R7" s="398">
        <f t="shared" ref="R7:R8" si="0">SUM(O7:Q7)</f>
        <v>-900000</v>
      </c>
    </row>
    <row r="8" spans="2:18" x14ac:dyDescent="0.25">
      <c r="B8" s="395"/>
      <c r="C8" s="394"/>
      <c r="D8" s="394"/>
      <c r="F8" s="395" t="s">
        <v>423</v>
      </c>
      <c r="G8" s="394">
        <v>-450</v>
      </c>
      <c r="H8" s="394">
        <f>+G8*2000</f>
        <v>-900000</v>
      </c>
      <c r="J8" s="395"/>
      <c r="K8" s="394"/>
      <c r="L8" s="394"/>
      <c r="N8" s="395" t="s">
        <v>438</v>
      </c>
      <c r="O8" s="394">
        <f>+D7</f>
        <v>-400000</v>
      </c>
      <c r="P8" s="394"/>
      <c r="Q8" s="394"/>
      <c r="R8" s="398">
        <f t="shared" si="0"/>
        <v>-400000</v>
      </c>
    </row>
    <row r="9" spans="2:18" x14ac:dyDescent="0.25">
      <c r="B9" s="407" t="s">
        <v>424</v>
      </c>
      <c r="C9" s="409">
        <f>SUM(C6:C8)</f>
        <v>200</v>
      </c>
      <c r="D9" s="409">
        <f>SUM(D6:D8)</f>
        <v>400000</v>
      </c>
      <c r="F9" s="407" t="s">
        <v>424</v>
      </c>
      <c r="G9" s="409">
        <f>SUM(G6:G8)</f>
        <v>750</v>
      </c>
      <c r="H9" s="409">
        <f>SUM(H6:H8)</f>
        <v>1500000</v>
      </c>
      <c r="J9" s="407" t="s">
        <v>424</v>
      </c>
      <c r="K9" s="409">
        <f>SUM(K6:K8)</f>
        <v>-100</v>
      </c>
      <c r="L9" s="409">
        <f>SUM(L6:L8)</f>
        <v>-200000</v>
      </c>
      <c r="N9" s="407" t="s">
        <v>424</v>
      </c>
      <c r="O9" s="409">
        <f>SUM(O6:O8)</f>
        <v>-400000</v>
      </c>
      <c r="P9" s="409">
        <f t="shared" ref="P9:R9" si="1">SUM(P6:P8)</f>
        <v>-900000</v>
      </c>
      <c r="Q9" s="409">
        <f t="shared" si="1"/>
        <v>3000000</v>
      </c>
      <c r="R9" s="409">
        <f t="shared" si="1"/>
        <v>1700000</v>
      </c>
    </row>
    <row r="11" spans="2:18" ht="18.75" x14ac:dyDescent="0.25">
      <c r="B11" s="509" t="s">
        <v>427</v>
      </c>
      <c r="C11" s="509"/>
      <c r="D11" s="509"/>
      <c r="E11" s="509"/>
      <c r="F11" s="509"/>
      <c r="G11" s="508">
        <f>+D9+H9+L9</f>
        <v>1700000</v>
      </c>
      <c r="H11" s="508"/>
      <c r="I11" s="508"/>
      <c r="J11" s="508"/>
      <c r="K11" s="508"/>
      <c r="L11" s="508"/>
    </row>
    <row r="14" spans="2:18" ht="21" x14ac:dyDescent="0.25">
      <c r="B14" s="507" t="s">
        <v>428</v>
      </c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</row>
    <row r="16" spans="2:18" ht="18.75" x14ac:dyDescent="0.25">
      <c r="B16" s="503" t="s">
        <v>417</v>
      </c>
      <c r="C16" s="503"/>
      <c r="D16" s="503"/>
      <c r="F16" s="503" t="s">
        <v>418</v>
      </c>
      <c r="G16" s="503"/>
      <c r="H16" s="503"/>
      <c r="J16" s="503" t="s">
        <v>419</v>
      </c>
      <c r="K16" s="503"/>
      <c r="L16" s="503"/>
      <c r="N16" s="429" t="s">
        <v>434</v>
      </c>
      <c r="O16" s="429" t="s">
        <v>435</v>
      </c>
      <c r="P16" s="429" t="s">
        <v>418</v>
      </c>
      <c r="Q16" s="429" t="s">
        <v>419</v>
      </c>
      <c r="R16" s="429" t="s">
        <v>436</v>
      </c>
    </row>
    <row r="17" spans="2:18" x14ac:dyDescent="0.25">
      <c r="B17" s="407"/>
      <c r="C17" s="409" t="s">
        <v>219</v>
      </c>
      <c r="D17" s="409" t="s">
        <v>226</v>
      </c>
      <c r="F17" s="407"/>
      <c r="G17" s="409" t="s">
        <v>421</v>
      </c>
      <c r="H17" s="409" t="s">
        <v>226</v>
      </c>
      <c r="J17" s="407"/>
      <c r="K17" s="409" t="s">
        <v>421</v>
      </c>
      <c r="L17" s="409" t="s">
        <v>226</v>
      </c>
      <c r="N17" s="407"/>
      <c r="O17" s="409" t="s">
        <v>226</v>
      </c>
      <c r="P17" s="409" t="s">
        <v>226</v>
      </c>
      <c r="Q17" s="409" t="s">
        <v>226</v>
      </c>
      <c r="R17" s="409" t="s">
        <v>226</v>
      </c>
    </row>
    <row r="18" spans="2:18" x14ac:dyDescent="0.25">
      <c r="B18" s="395" t="s">
        <v>430</v>
      </c>
      <c r="C18" s="394">
        <f>-G19</f>
        <v>200</v>
      </c>
      <c r="D18" s="394">
        <f>+C18*2500</f>
        <v>500000</v>
      </c>
      <c r="F18" s="395" t="s">
        <v>80</v>
      </c>
      <c r="G18" s="394">
        <v>1200</v>
      </c>
      <c r="H18" s="394">
        <f>+G18*2500</f>
        <v>3000000</v>
      </c>
      <c r="J18" s="395" t="s">
        <v>425</v>
      </c>
      <c r="K18" s="394">
        <v>1500</v>
      </c>
      <c r="L18" s="394">
        <f>+K18*2000</f>
        <v>3000000</v>
      </c>
      <c r="N18" s="395" t="s">
        <v>80</v>
      </c>
      <c r="O18" s="394">
        <f>+D20</f>
        <v>700000</v>
      </c>
      <c r="P18" s="394">
        <f>+H18</f>
        <v>3000000</v>
      </c>
      <c r="Q18" s="394">
        <v>0</v>
      </c>
      <c r="R18" s="398">
        <f>SUM(O18:Q18)</f>
        <v>3700000</v>
      </c>
    </row>
    <row r="19" spans="2:18" x14ac:dyDescent="0.25">
      <c r="B19" s="395" t="s">
        <v>431</v>
      </c>
      <c r="C19" s="394">
        <v>-100</v>
      </c>
      <c r="D19" s="394">
        <f t="shared" ref="D19" si="2">+C19*2500</f>
        <v>-250000</v>
      </c>
      <c r="F19" s="395" t="s">
        <v>422</v>
      </c>
      <c r="G19" s="394">
        <v>-200</v>
      </c>
      <c r="H19" s="394">
        <f>+G19*2500</f>
        <v>-500000</v>
      </c>
      <c r="J19" s="395" t="s">
        <v>429</v>
      </c>
      <c r="K19" s="394">
        <v>-1500</v>
      </c>
      <c r="L19" s="394">
        <f>+K19*2000</f>
        <v>-3000000</v>
      </c>
      <c r="N19" s="395" t="s">
        <v>437</v>
      </c>
      <c r="O19" s="394"/>
      <c r="P19" s="394">
        <f>+H20</f>
        <v>-1250000</v>
      </c>
      <c r="Q19" s="394"/>
      <c r="R19" s="398">
        <f t="shared" ref="R19:R20" si="3">SUM(O19:Q19)</f>
        <v>-1250000</v>
      </c>
    </row>
    <row r="20" spans="2:18" x14ac:dyDescent="0.25">
      <c r="B20" s="395" t="s">
        <v>432</v>
      </c>
      <c r="C20" s="394">
        <v>350</v>
      </c>
      <c r="D20" s="394">
        <f>+C20*2000</f>
        <v>700000</v>
      </c>
      <c r="F20" s="395" t="s">
        <v>423</v>
      </c>
      <c r="G20" s="394">
        <v>-500</v>
      </c>
      <c r="H20" s="394">
        <f>+G20*2500</f>
        <v>-1250000</v>
      </c>
      <c r="J20" s="395"/>
      <c r="K20" s="394"/>
      <c r="L20" s="394"/>
      <c r="N20" s="395" t="s">
        <v>438</v>
      </c>
      <c r="O20" s="394">
        <f>+D21+D19</f>
        <v>-600000</v>
      </c>
      <c r="P20" s="394"/>
      <c r="Q20" s="394"/>
      <c r="R20" s="398">
        <f t="shared" si="3"/>
        <v>-600000</v>
      </c>
    </row>
    <row r="21" spans="2:18" x14ac:dyDescent="0.25">
      <c r="B21" s="395" t="s">
        <v>433</v>
      </c>
      <c r="C21" s="394">
        <v>-175</v>
      </c>
      <c r="D21" s="394">
        <f>+C21*2000</f>
        <v>-350000</v>
      </c>
      <c r="F21" s="395"/>
      <c r="G21" s="394"/>
      <c r="H21" s="394"/>
      <c r="J21" s="395"/>
      <c r="K21" s="394"/>
      <c r="L21" s="394"/>
      <c r="N21" s="407" t="s">
        <v>424</v>
      </c>
      <c r="O21" s="409">
        <f>SUM(O18:O20)</f>
        <v>100000</v>
      </c>
      <c r="P21" s="409">
        <f t="shared" ref="P21" si="4">SUM(P18:P20)</f>
        <v>1750000</v>
      </c>
      <c r="Q21" s="409">
        <f t="shared" ref="Q21" si="5">SUM(Q18:Q20)</f>
        <v>0</v>
      </c>
      <c r="R21" s="409">
        <f t="shared" ref="R21" si="6">SUM(R18:R20)</f>
        <v>1850000</v>
      </c>
    </row>
    <row r="22" spans="2:18" x14ac:dyDescent="0.25">
      <c r="B22" s="407" t="s">
        <v>424</v>
      </c>
      <c r="C22" s="409">
        <f>SUM(C18:C21)</f>
        <v>275</v>
      </c>
      <c r="D22" s="409">
        <f>SUM(D18:D21)</f>
        <v>600000</v>
      </c>
      <c r="F22" s="407" t="s">
        <v>424</v>
      </c>
      <c r="G22" s="409">
        <f>SUM(G18:G21)</f>
        <v>500</v>
      </c>
      <c r="H22" s="409">
        <f>SUM(H18:H21)</f>
        <v>1250000</v>
      </c>
      <c r="J22" s="407" t="s">
        <v>424</v>
      </c>
      <c r="K22" s="409">
        <f>SUM(K18:K21)</f>
        <v>0</v>
      </c>
      <c r="L22" s="409">
        <f>SUM(L18:L21)</f>
        <v>0</v>
      </c>
    </row>
    <row r="24" spans="2:18" ht="18.75" x14ac:dyDescent="0.25">
      <c r="B24" s="509" t="s">
        <v>427</v>
      </c>
      <c r="C24" s="509"/>
      <c r="D24" s="509"/>
      <c r="E24" s="509"/>
      <c r="F24" s="509"/>
      <c r="G24" s="508">
        <f>+D22+H22+L22</f>
        <v>1850000</v>
      </c>
      <c r="H24" s="508"/>
      <c r="I24" s="508"/>
      <c r="J24" s="508"/>
      <c r="K24" s="508"/>
      <c r="L24" s="508"/>
    </row>
  </sheetData>
  <mergeCells count="12">
    <mergeCell ref="B2:R2"/>
    <mergeCell ref="B14:R14"/>
    <mergeCell ref="B16:D16"/>
    <mergeCell ref="F16:H16"/>
    <mergeCell ref="J16:L16"/>
    <mergeCell ref="B24:F24"/>
    <mergeCell ref="G24:L24"/>
    <mergeCell ref="B4:D4"/>
    <mergeCell ref="F4:H4"/>
    <mergeCell ref="J4:L4"/>
    <mergeCell ref="B11:F11"/>
    <mergeCell ref="G11:L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6"/>
  <sheetViews>
    <sheetView workbookViewId="0">
      <selection activeCell="C3" sqref="C3:I6"/>
    </sheetView>
  </sheetViews>
  <sheetFormatPr defaultRowHeight="15" x14ac:dyDescent="0.25"/>
  <sheetData>
    <row r="2" spans="3:9" ht="15.75" thickBot="1" x14ac:dyDescent="0.3"/>
    <row r="3" spans="3:9" ht="30.75" thickBot="1" x14ac:dyDescent="0.3">
      <c r="C3" s="143"/>
      <c r="D3" s="144" t="s">
        <v>183</v>
      </c>
      <c r="E3" s="144" t="s">
        <v>184</v>
      </c>
      <c r="F3" s="144" t="s">
        <v>185</v>
      </c>
      <c r="G3" s="144" t="s">
        <v>186</v>
      </c>
      <c r="H3" s="144" t="s">
        <v>187</v>
      </c>
    </row>
    <row r="4" spans="3:9" ht="75.75" thickBot="1" x14ac:dyDescent="0.3">
      <c r="C4" s="145" t="s">
        <v>188</v>
      </c>
      <c r="D4" s="147">
        <v>118800</v>
      </c>
      <c r="E4" s="147">
        <v>225000</v>
      </c>
      <c r="F4" s="147">
        <v>178125</v>
      </c>
      <c r="G4" s="147">
        <v>189000</v>
      </c>
      <c r="H4" s="147">
        <v>55000</v>
      </c>
      <c r="I4" s="146">
        <f>SUM(D4:H4)</f>
        <v>765925</v>
      </c>
    </row>
    <row r="5" spans="3:9" ht="30.75" thickBot="1" x14ac:dyDescent="0.3">
      <c r="C5" s="145" t="s">
        <v>189</v>
      </c>
      <c r="D5" s="147">
        <v>101200</v>
      </c>
      <c r="E5" s="147">
        <v>35000</v>
      </c>
      <c r="F5" s="147">
        <v>93875</v>
      </c>
      <c r="G5" s="147">
        <v>96000</v>
      </c>
      <c r="H5" s="147">
        <v>25000</v>
      </c>
      <c r="I5" s="146">
        <f>SUM(D5:H5)</f>
        <v>351075</v>
      </c>
    </row>
    <row r="6" spans="3:9" x14ac:dyDescent="0.25">
      <c r="D6" s="146">
        <f>SUM(D4:D5)</f>
        <v>220000</v>
      </c>
      <c r="E6" s="146">
        <f t="shared" ref="E6:H6" si="0">SUM(E4:E5)</f>
        <v>260000</v>
      </c>
      <c r="F6" s="146">
        <f t="shared" si="0"/>
        <v>272000</v>
      </c>
      <c r="G6" s="146">
        <f t="shared" si="0"/>
        <v>285000</v>
      </c>
      <c r="H6" s="146">
        <f t="shared" si="0"/>
        <v>80000</v>
      </c>
      <c r="I6" s="146">
        <f>SUM(I4:I5)</f>
        <v>1117000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topLeftCell="A7" zoomScale="130" zoomScaleNormal="130" workbookViewId="0">
      <selection activeCell="D31" sqref="D31"/>
    </sheetView>
  </sheetViews>
  <sheetFormatPr defaultRowHeight="15" x14ac:dyDescent="0.25"/>
  <cols>
    <col min="1" max="1" width="3.140625" style="49" customWidth="1"/>
    <col min="2" max="2" width="43.28515625" style="49" bestFit="1" customWidth="1"/>
    <col min="3" max="7" width="15.28515625" style="49" customWidth="1"/>
    <col min="8" max="8" width="8.140625" style="49" bestFit="1" customWidth="1"/>
    <col min="9" max="9" width="8.85546875" style="49" bestFit="1" customWidth="1"/>
    <col min="10" max="10" width="8.7109375" style="49" bestFit="1" customWidth="1"/>
    <col min="11" max="11" width="8.85546875" style="49" bestFit="1" customWidth="1"/>
    <col min="12" max="12" width="9.42578125" style="49" bestFit="1" customWidth="1"/>
    <col min="13" max="13" width="13.42578125" style="49" bestFit="1" customWidth="1"/>
    <col min="14" max="16384" width="9.140625" style="49"/>
  </cols>
  <sheetData>
    <row r="2" spans="2:7" ht="15.75" x14ac:dyDescent="0.25">
      <c r="B2" s="437" t="s">
        <v>125</v>
      </c>
      <c r="C2" s="438"/>
    </row>
    <row r="3" spans="2:7" ht="15.75" x14ac:dyDescent="0.25">
      <c r="B3" s="68" t="s">
        <v>117</v>
      </c>
      <c r="C3" s="79">
        <v>2400000</v>
      </c>
    </row>
    <row r="4" spans="2:7" ht="15.75" x14ac:dyDescent="0.25">
      <c r="B4" s="68" t="s">
        <v>116</v>
      </c>
      <c r="C4" s="79">
        <v>30000</v>
      </c>
    </row>
    <row r="5" spans="2:7" ht="15.75" x14ac:dyDescent="0.25">
      <c r="B5" s="68" t="s">
        <v>115</v>
      </c>
      <c r="C5" s="79">
        <v>180000</v>
      </c>
    </row>
    <row r="6" spans="2:7" ht="15.75" x14ac:dyDescent="0.25">
      <c r="B6" s="68" t="s">
        <v>114</v>
      </c>
      <c r="C6" s="79">
        <v>60000</v>
      </c>
    </row>
    <row r="7" spans="2:7" ht="15.75" x14ac:dyDescent="0.25">
      <c r="B7" s="68" t="s">
        <v>113</v>
      </c>
      <c r="C7" s="79">
        <v>150000</v>
      </c>
    </row>
    <row r="8" spans="2:7" ht="15.75" x14ac:dyDescent="0.25">
      <c r="B8" s="68" t="s">
        <v>124</v>
      </c>
      <c r="C8" s="79">
        <v>120000</v>
      </c>
    </row>
    <row r="9" spans="2:7" ht="15.75" x14ac:dyDescent="0.25">
      <c r="B9" s="78" t="s">
        <v>101</v>
      </c>
      <c r="C9" s="77">
        <v>2940000</v>
      </c>
    </row>
    <row r="11" spans="2:7" ht="15.75" x14ac:dyDescent="0.25">
      <c r="B11" s="439" t="s">
        <v>123</v>
      </c>
      <c r="C11" s="440"/>
      <c r="D11" s="440"/>
      <c r="E11" s="440"/>
      <c r="F11" s="440"/>
      <c r="G11" s="441"/>
    </row>
    <row r="12" spans="2:7" ht="30.75" customHeight="1" x14ac:dyDescent="0.25">
      <c r="B12" s="68"/>
      <c r="C12" s="442" t="s">
        <v>122</v>
      </c>
      <c r="D12" s="442" t="s">
        <v>121</v>
      </c>
      <c r="E12" s="442" t="s">
        <v>120</v>
      </c>
      <c r="F12" s="442" t="s">
        <v>119</v>
      </c>
      <c r="G12" s="444" t="s">
        <v>118</v>
      </c>
    </row>
    <row r="13" spans="2:7" ht="15.75" x14ac:dyDescent="0.25">
      <c r="B13" s="74"/>
      <c r="C13" s="443"/>
      <c r="D13" s="443"/>
      <c r="E13" s="443"/>
      <c r="F13" s="443"/>
      <c r="G13" s="445"/>
    </row>
    <row r="14" spans="2:7" ht="15.75" x14ac:dyDescent="0.25">
      <c r="B14" s="68" t="s">
        <v>117</v>
      </c>
      <c r="C14" s="76">
        <v>0.75</v>
      </c>
      <c r="D14" s="76">
        <v>0.2</v>
      </c>
      <c r="E14" s="76">
        <v>0</v>
      </c>
      <c r="F14" s="76">
        <v>0.05</v>
      </c>
      <c r="G14" s="75">
        <v>1</v>
      </c>
    </row>
    <row r="15" spans="2:7" ht="15.75" x14ac:dyDescent="0.25">
      <c r="B15" s="68" t="s">
        <v>116</v>
      </c>
      <c r="C15" s="76">
        <v>1</v>
      </c>
      <c r="D15" s="76">
        <v>0</v>
      </c>
      <c r="E15" s="76">
        <v>0</v>
      </c>
      <c r="F15" s="76">
        <v>0</v>
      </c>
      <c r="G15" s="75">
        <v>1</v>
      </c>
    </row>
    <row r="16" spans="2:7" ht="15.75" x14ac:dyDescent="0.25">
      <c r="B16" s="68" t="s">
        <v>115</v>
      </c>
      <c r="C16" s="76">
        <v>0.3</v>
      </c>
      <c r="D16" s="76">
        <v>0.2</v>
      </c>
      <c r="E16" s="76">
        <v>0.4</v>
      </c>
      <c r="F16" s="76">
        <v>0.1</v>
      </c>
      <c r="G16" s="75">
        <v>1</v>
      </c>
    </row>
    <row r="17" spans="2:7" ht="15.75" x14ac:dyDescent="0.25">
      <c r="B17" s="68" t="s">
        <v>114</v>
      </c>
      <c r="C17" s="76">
        <v>0.6</v>
      </c>
      <c r="D17" s="76">
        <v>0</v>
      </c>
      <c r="E17" s="76">
        <v>0</v>
      </c>
      <c r="F17" s="76">
        <v>0.4</v>
      </c>
      <c r="G17" s="75">
        <v>1</v>
      </c>
    </row>
    <row r="18" spans="2:7" ht="15.75" x14ac:dyDescent="0.25">
      <c r="B18" s="68" t="s">
        <v>113</v>
      </c>
      <c r="C18" s="76">
        <v>0</v>
      </c>
      <c r="D18" s="76">
        <v>0.2</v>
      </c>
      <c r="E18" s="76">
        <v>0.6</v>
      </c>
      <c r="F18" s="76">
        <v>0.2</v>
      </c>
      <c r="G18" s="75">
        <v>1</v>
      </c>
    </row>
    <row r="19" spans="2:7" ht="15.75" x14ac:dyDescent="0.25">
      <c r="B19" s="74" t="s">
        <v>112</v>
      </c>
      <c r="C19" s="73">
        <v>0</v>
      </c>
      <c r="D19" s="73">
        <v>0</v>
      </c>
      <c r="E19" s="73">
        <v>0</v>
      </c>
      <c r="F19" s="73">
        <v>1</v>
      </c>
      <c r="G19" s="72">
        <v>1</v>
      </c>
    </row>
    <row r="21" spans="2:7" ht="15.75" x14ac:dyDescent="0.25">
      <c r="B21" s="439" t="s">
        <v>123</v>
      </c>
      <c r="C21" s="440"/>
      <c r="D21" s="440"/>
      <c r="E21" s="440"/>
      <c r="F21" s="440"/>
      <c r="G21" s="441"/>
    </row>
    <row r="22" spans="2:7" ht="15.75" x14ac:dyDescent="0.25">
      <c r="B22" s="68"/>
      <c r="C22" s="442" t="s">
        <v>122</v>
      </c>
      <c r="D22" s="442" t="s">
        <v>121</v>
      </c>
      <c r="E22" s="442" t="s">
        <v>120</v>
      </c>
      <c r="F22" s="442" t="s">
        <v>119</v>
      </c>
      <c r="G22" s="444" t="s">
        <v>118</v>
      </c>
    </row>
    <row r="23" spans="2:7" ht="15.75" x14ac:dyDescent="0.25">
      <c r="B23" s="68"/>
      <c r="C23" s="442"/>
      <c r="D23" s="442"/>
      <c r="E23" s="442"/>
      <c r="F23" s="442"/>
      <c r="G23" s="444"/>
    </row>
    <row r="24" spans="2:7" ht="15.75" x14ac:dyDescent="0.25">
      <c r="B24" s="71" t="s">
        <v>117</v>
      </c>
      <c r="C24" s="70">
        <f>C14*$C$3</f>
        <v>1800000</v>
      </c>
      <c r="D24" s="70">
        <f>D14*$C$3</f>
        <v>480000</v>
      </c>
      <c r="E24" s="70">
        <f>E14*$C$3</f>
        <v>0</v>
      </c>
      <c r="F24" s="70">
        <f>F14*$C$3</f>
        <v>120000</v>
      </c>
      <c r="G24" s="69">
        <f t="shared" ref="G24:G29" si="0">SUM(C24:F24)</f>
        <v>2400000</v>
      </c>
    </row>
    <row r="25" spans="2:7" ht="15.75" x14ac:dyDescent="0.25">
      <c r="B25" s="68" t="s">
        <v>116</v>
      </c>
      <c r="C25" s="67">
        <f>C15*$C$4</f>
        <v>30000</v>
      </c>
      <c r="D25" s="67">
        <f>D15*$C$4</f>
        <v>0</v>
      </c>
      <c r="E25" s="67">
        <f>E15*$C$4</f>
        <v>0</v>
      </c>
      <c r="F25" s="67">
        <f>F15*$C$4</f>
        <v>0</v>
      </c>
      <c r="G25" s="66">
        <f t="shared" si="0"/>
        <v>30000</v>
      </c>
    </row>
    <row r="26" spans="2:7" ht="15.75" x14ac:dyDescent="0.25">
      <c r="B26" s="68" t="s">
        <v>115</v>
      </c>
      <c r="C26" s="67">
        <f>C16*$C$5</f>
        <v>54000</v>
      </c>
      <c r="D26" s="67">
        <f>D16*$C$5</f>
        <v>36000</v>
      </c>
      <c r="E26" s="67">
        <f>E16*$C$5</f>
        <v>72000</v>
      </c>
      <c r="F26" s="67">
        <f>F16*$C$5</f>
        <v>18000</v>
      </c>
      <c r="G26" s="66">
        <f t="shared" si="0"/>
        <v>180000</v>
      </c>
    </row>
    <row r="27" spans="2:7" ht="15.75" x14ac:dyDescent="0.25">
      <c r="B27" s="68" t="s">
        <v>114</v>
      </c>
      <c r="C27" s="67">
        <f>C17*$C$6</f>
        <v>36000</v>
      </c>
      <c r="D27" s="67">
        <f>D17*$C$6</f>
        <v>0</v>
      </c>
      <c r="E27" s="67">
        <f>E17*$C$6</f>
        <v>0</v>
      </c>
      <c r="F27" s="67">
        <f>F17*$C$6</f>
        <v>24000</v>
      </c>
      <c r="G27" s="66">
        <f t="shared" si="0"/>
        <v>60000</v>
      </c>
    </row>
    <row r="28" spans="2:7" ht="15.75" x14ac:dyDescent="0.25">
      <c r="B28" s="68" t="s">
        <v>113</v>
      </c>
      <c r="C28" s="67">
        <f>C18*$C$7</f>
        <v>0</v>
      </c>
      <c r="D28" s="67">
        <f>D18*$C$7</f>
        <v>30000</v>
      </c>
      <c r="E28" s="67">
        <f>E18*$C$7</f>
        <v>90000</v>
      </c>
      <c r="F28" s="67">
        <f>F18*$C$7</f>
        <v>30000</v>
      </c>
      <c r="G28" s="66">
        <f t="shared" si="0"/>
        <v>150000</v>
      </c>
    </row>
    <row r="29" spans="2:7" ht="15.75" x14ac:dyDescent="0.25">
      <c r="B29" s="68" t="s">
        <v>112</v>
      </c>
      <c r="C29" s="67">
        <f>C19*$C$8</f>
        <v>0</v>
      </c>
      <c r="D29" s="67">
        <f>D19*$C$8</f>
        <v>0</v>
      </c>
      <c r="E29" s="67">
        <f>E19*$C$8</f>
        <v>0</v>
      </c>
      <c r="F29" s="67">
        <f>F19*$C$8</f>
        <v>120000</v>
      </c>
      <c r="G29" s="66">
        <f t="shared" si="0"/>
        <v>120000</v>
      </c>
    </row>
    <row r="30" spans="2:7" x14ac:dyDescent="0.25">
      <c r="B30" s="65" t="s">
        <v>10</v>
      </c>
      <c r="C30" s="64">
        <f>SUM(C24:C29)</f>
        <v>1920000</v>
      </c>
      <c r="D30" s="64">
        <f>SUM(D24:D29)</f>
        <v>546000</v>
      </c>
      <c r="E30" s="64">
        <f>SUM(E24:E29)</f>
        <v>162000</v>
      </c>
      <c r="F30" s="64">
        <f>SUM(F24:F29)</f>
        <v>312000</v>
      </c>
      <c r="G30" s="63">
        <f>SUM(G24:G29)</f>
        <v>2940000</v>
      </c>
    </row>
    <row r="31" spans="2:7" x14ac:dyDescent="0.25">
      <c r="B31" s="62"/>
      <c r="C31" s="61">
        <f>C30/$G$30</f>
        <v>0.65306122448979587</v>
      </c>
      <c r="D31" s="61">
        <f>D30/$G$30</f>
        <v>0.18571428571428572</v>
      </c>
      <c r="E31" s="61">
        <f>E30/$G$30</f>
        <v>5.5102040816326532E-2</v>
      </c>
      <c r="F31" s="61">
        <f>F30/$G$30</f>
        <v>0.10612244897959183</v>
      </c>
      <c r="G31" s="60">
        <f>SUM(C31:F31)</f>
        <v>1</v>
      </c>
    </row>
    <row r="33" spans="2:5" ht="30" x14ac:dyDescent="0.25">
      <c r="C33" s="59" t="str">
        <f>C22</f>
        <v>Preparação de Refeições</v>
      </c>
      <c r="D33" s="59" t="str">
        <f>D22</f>
        <v>Relacionadas a Vôos</v>
      </c>
      <c r="E33" s="59" t="str">
        <f>E22</f>
        <v>Atendimento de Clientes</v>
      </c>
    </row>
    <row r="34" spans="2:5" x14ac:dyDescent="0.25">
      <c r="B34" s="446" t="s">
        <v>111</v>
      </c>
      <c r="C34" s="58">
        <v>1000000</v>
      </c>
      <c r="D34" s="58">
        <v>5000</v>
      </c>
      <c r="E34" s="58">
        <v>10</v>
      </c>
    </row>
    <row r="35" spans="2:5" x14ac:dyDescent="0.25">
      <c r="B35" s="446"/>
      <c r="C35" s="58" t="s">
        <v>110</v>
      </c>
      <c r="D35" s="58" t="s">
        <v>109</v>
      </c>
      <c r="E35" s="58" t="s">
        <v>108</v>
      </c>
    </row>
    <row r="37" spans="2:5" ht="30" x14ac:dyDescent="0.25">
      <c r="B37" s="55" t="s">
        <v>107</v>
      </c>
      <c r="C37" s="54" t="str">
        <f>C33</f>
        <v>Preparação de Refeições</v>
      </c>
      <c r="D37" s="54" t="str">
        <f>D33</f>
        <v>Relacionadas a Vôos</v>
      </c>
      <c r="E37" s="53" t="str">
        <f>E33</f>
        <v>Atendimento de Clientes</v>
      </c>
    </row>
    <row r="38" spans="2:5" x14ac:dyDescent="0.25">
      <c r="B38" s="52" t="s">
        <v>105</v>
      </c>
      <c r="C38" s="57">
        <f>C30/C34</f>
        <v>1.92</v>
      </c>
      <c r="D38" s="57">
        <f>D30/D34</f>
        <v>109.2</v>
      </c>
      <c r="E38" s="56">
        <f>E30/E34</f>
        <v>16200</v>
      </c>
    </row>
    <row r="40" spans="2:5" ht="30" x14ac:dyDescent="0.25">
      <c r="B40" s="55" t="s">
        <v>106</v>
      </c>
      <c r="C40" s="54" t="str">
        <f>C37</f>
        <v>Preparação de Refeições</v>
      </c>
      <c r="D40" s="54" t="str">
        <f>D37</f>
        <v>Relacionadas a Vôos</v>
      </c>
      <c r="E40" s="53" t="str">
        <f>E37</f>
        <v>Atendimento de Clientes</v>
      </c>
    </row>
    <row r="41" spans="2:5" x14ac:dyDescent="0.25">
      <c r="B41" s="52" t="s">
        <v>105</v>
      </c>
      <c r="C41" s="51">
        <v>1.98</v>
      </c>
      <c r="D41" s="51">
        <v>115.6</v>
      </c>
      <c r="E41" s="50">
        <v>9600</v>
      </c>
    </row>
  </sheetData>
  <mergeCells count="14">
    <mergeCell ref="B34:B35"/>
    <mergeCell ref="B21:G21"/>
    <mergeCell ref="C22:C23"/>
    <mergeCell ref="D22:D23"/>
    <mergeCell ref="E22:E23"/>
    <mergeCell ref="F22:F23"/>
    <mergeCell ref="G22:G23"/>
    <mergeCell ref="B2:C2"/>
    <mergeCell ref="B11:G11"/>
    <mergeCell ref="C12:C13"/>
    <mergeCell ref="D12:D13"/>
    <mergeCell ref="E12:E13"/>
    <mergeCell ref="F12:F13"/>
    <mergeCell ref="G12:G1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topLeftCell="A25" zoomScale="170" zoomScaleNormal="170" workbookViewId="0">
      <selection activeCell="D31" sqref="D31"/>
    </sheetView>
  </sheetViews>
  <sheetFormatPr defaultRowHeight="15" x14ac:dyDescent="0.25"/>
  <cols>
    <col min="1" max="1" width="3.140625" style="1" customWidth="1"/>
    <col min="2" max="2" width="23.85546875" style="1" customWidth="1"/>
    <col min="3" max="3" width="11.7109375" style="1" bestFit="1" customWidth="1"/>
    <col min="4" max="4" width="9.85546875" style="1" bestFit="1" customWidth="1"/>
    <col min="5" max="5" width="12.28515625" style="1" bestFit="1" customWidth="1"/>
    <col min="6" max="6" width="8.140625" style="1" bestFit="1" customWidth="1"/>
    <col min="7" max="7" width="7" style="1" bestFit="1" customWidth="1"/>
    <col min="8" max="9" width="8.140625" style="1" bestFit="1" customWidth="1"/>
    <col min="10" max="10" width="9.85546875" style="1" bestFit="1" customWidth="1"/>
    <col min="11" max="12" width="7.42578125" style="1" customWidth="1"/>
    <col min="13" max="16384" width="9.140625" style="1"/>
  </cols>
  <sheetData>
    <row r="2" spans="2:10" ht="45" customHeight="1" x14ac:dyDescent="0.25">
      <c r="B2" s="448" t="s">
        <v>104</v>
      </c>
      <c r="C2" s="448"/>
    </row>
    <row r="3" spans="2:10" x14ac:dyDescent="0.25">
      <c r="B3" s="48" t="s">
        <v>103</v>
      </c>
      <c r="C3" s="48" t="s">
        <v>102</v>
      </c>
    </row>
    <row r="4" spans="2:10" x14ac:dyDescent="0.25">
      <c r="B4" s="38" t="s">
        <v>87</v>
      </c>
      <c r="C4" s="43">
        <v>150000</v>
      </c>
    </row>
    <row r="5" spans="2:10" x14ac:dyDescent="0.25">
      <c r="B5" s="38" t="s">
        <v>86</v>
      </c>
      <c r="C5" s="43">
        <v>40000</v>
      </c>
    </row>
    <row r="6" spans="2:10" x14ac:dyDescent="0.25">
      <c r="B6" s="38" t="s">
        <v>85</v>
      </c>
      <c r="C6" s="43">
        <v>20000</v>
      </c>
    </row>
    <row r="7" spans="2:10" x14ac:dyDescent="0.25">
      <c r="B7" s="38" t="s">
        <v>84</v>
      </c>
      <c r="C7" s="43">
        <v>80000</v>
      </c>
    </row>
    <row r="8" spans="2:10" x14ac:dyDescent="0.25">
      <c r="B8" s="38" t="s">
        <v>83</v>
      </c>
      <c r="C8" s="43">
        <v>60000</v>
      </c>
    </row>
    <row r="9" spans="2:10" x14ac:dyDescent="0.25">
      <c r="B9" s="38" t="s">
        <v>82</v>
      </c>
      <c r="C9" s="43">
        <v>80000</v>
      </c>
    </row>
    <row r="10" spans="2:10" x14ac:dyDescent="0.25">
      <c r="B10" s="42" t="s">
        <v>10</v>
      </c>
      <c r="C10" s="40">
        <f>SUM(C4:C9)</f>
        <v>430000</v>
      </c>
    </row>
    <row r="12" spans="2:10" x14ac:dyDescent="0.25">
      <c r="B12" s="43" t="s">
        <v>101</v>
      </c>
      <c r="C12" s="43">
        <f>+C10</f>
        <v>430000</v>
      </c>
    </row>
    <row r="13" spans="2:10" x14ac:dyDescent="0.25">
      <c r="B13" s="47" t="s">
        <v>100</v>
      </c>
      <c r="C13" s="47">
        <f>+C17</f>
        <v>20000</v>
      </c>
      <c r="D13" s="449" t="s">
        <v>92</v>
      </c>
      <c r="E13" s="449"/>
    </row>
    <row r="14" spans="2:10" x14ac:dyDescent="0.25">
      <c r="B14" s="43" t="s">
        <v>99</v>
      </c>
      <c r="C14" s="46">
        <f>+C12/C13</f>
        <v>21.5</v>
      </c>
      <c r="D14" s="450" t="s">
        <v>98</v>
      </c>
      <c r="E14" s="450"/>
    </row>
    <row r="16" spans="2:10" ht="30" customHeight="1" x14ac:dyDescent="0.25">
      <c r="B16" s="39" t="s">
        <v>97</v>
      </c>
      <c r="C16" s="447" t="s">
        <v>96</v>
      </c>
      <c r="D16" s="447"/>
      <c r="E16" s="447" t="s">
        <v>95</v>
      </c>
      <c r="F16" s="447"/>
      <c r="G16" s="447" t="s">
        <v>79</v>
      </c>
      <c r="H16" s="447"/>
      <c r="I16" s="39" t="s">
        <v>94</v>
      </c>
      <c r="J16" s="39" t="s">
        <v>10</v>
      </c>
    </row>
    <row r="17" spans="2:10" x14ac:dyDescent="0.25">
      <c r="B17" s="451" t="s">
        <v>93</v>
      </c>
      <c r="C17" s="451">
        <v>20000</v>
      </c>
      <c r="D17" s="451"/>
      <c r="E17" s="451">
        <v>60000</v>
      </c>
      <c r="F17" s="451"/>
      <c r="G17" s="451">
        <v>2000</v>
      </c>
      <c r="H17" s="451"/>
      <c r="I17" s="45"/>
      <c r="J17" s="45"/>
    </row>
    <row r="18" spans="2:10" x14ac:dyDescent="0.25">
      <c r="B18" s="451"/>
      <c r="C18" s="451" t="s">
        <v>92</v>
      </c>
      <c r="D18" s="451"/>
      <c r="E18" s="451" t="s">
        <v>91</v>
      </c>
      <c r="F18" s="451"/>
      <c r="G18" s="451" t="s">
        <v>90</v>
      </c>
      <c r="H18" s="451"/>
      <c r="I18" s="45"/>
      <c r="J18" s="45"/>
    </row>
    <row r="19" spans="2:10" x14ac:dyDescent="0.25">
      <c r="B19" s="39"/>
      <c r="C19" s="39" t="s">
        <v>89</v>
      </c>
      <c r="D19" s="39" t="s">
        <v>88</v>
      </c>
      <c r="E19" s="39" t="s">
        <v>89</v>
      </c>
      <c r="F19" s="39" t="s">
        <v>88</v>
      </c>
      <c r="G19" s="39" t="s">
        <v>89</v>
      </c>
      <c r="H19" s="39" t="s">
        <v>88</v>
      </c>
      <c r="I19" s="39" t="s">
        <v>88</v>
      </c>
      <c r="J19" s="39" t="s">
        <v>88</v>
      </c>
    </row>
    <row r="20" spans="2:10" x14ac:dyDescent="0.25">
      <c r="B20" s="38" t="s">
        <v>87</v>
      </c>
      <c r="C20" s="44">
        <f t="shared" ref="C20:C25" si="0">+D20/$C$17</f>
        <v>5.25</v>
      </c>
      <c r="D20" s="43">
        <f>+C4*0.7</f>
        <v>105000</v>
      </c>
      <c r="E20" s="44">
        <f t="shared" ref="E20:E25" si="1">+F20/$E$17</f>
        <v>0.5</v>
      </c>
      <c r="F20" s="43">
        <f>+$C4*0.2</f>
        <v>30000</v>
      </c>
      <c r="G20" s="44">
        <f t="shared" ref="G20:G25" si="2">+H20/$G$17</f>
        <v>0</v>
      </c>
      <c r="H20" s="43">
        <f>+$C4*0</f>
        <v>0</v>
      </c>
      <c r="I20" s="43">
        <f>+$C4*0.1</f>
        <v>15000</v>
      </c>
      <c r="J20" s="39">
        <f t="shared" ref="J20:J26" si="3">SUM(D20,F20,H20,I20)</f>
        <v>150000</v>
      </c>
    </row>
    <row r="21" spans="2:10" x14ac:dyDescent="0.25">
      <c r="B21" s="38" t="s">
        <v>86</v>
      </c>
      <c r="C21" s="44">
        <f t="shared" si="0"/>
        <v>2</v>
      </c>
      <c r="D21" s="43">
        <f>+C5</f>
        <v>40000</v>
      </c>
      <c r="E21" s="44">
        <f t="shared" si="1"/>
        <v>0</v>
      </c>
      <c r="F21" s="43">
        <v>0</v>
      </c>
      <c r="G21" s="44">
        <f t="shared" si="2"/>
        <v>0</v>
      </c>
      <c r="H21" s="43">
        <v>0</v>
      </c>
      <c r="I21" s="43">
        <v>0</v>
      </c>
      <c r="J21" s="39">
        <f t="shared" si="3"/>
        <v>40000</v>
      </c>
    </row>
    <row r="22" spans="2:10" x14ac:dyDescent="0.25">
      <c r="B22" s="38" t="s">
        <v>85</v>
      </c>
      <c r="C22" s="44">
        <f t="shared" si="0"/>
        <v>0.8</v>
      </c>
      <c r="D22" s="43">
        <f>+$C$6*0.8</f>
        <v>16000</v>
      </c>
      <c r="E22" s="44">
        <f t="shared" si="1"/>
        <v>0</v>
      </c>
      <c r="F22" s="43">
        <v>0</v>
      </c>
      <c r="G22" s="44">
        <f t="shared" si="2"/>
        <v>0</v>
      </c>
      <c r="H22" s="43">
        <v>0</v>
      </c>
      <c r="I22" s="43">
        <f>+$C$6*0.2</f>
        <v>4000</v>
      </c>
      <c r="J22" s="39">
        <f t="shared" si="3"/>
        <v>20000</v>
      </c>
    </row>
    <row r="23" spans="2:10" x14ac:dyDescent="0.25">
      <c r="B23" s="38" t="s">
        <v>84</v>
      </c>
      <c r="C23" s="44">
        <f t="shared" si="0"/>
        <v>0</v>
      </c>
      <c r="D23" s="43">
        <v>0</v>
      </c>
      <c r="E23" s="44">
        <f t="shared" si="1"/>
        <v>0.8</v>
      </c>
      <c r="F23" s="43">
        <f>+C7*0.6</f>
        <v>48000</v>
      </c>
      <c r="G23" s="44">
        <f t="shared" si="2"/>
        <v>0</v>
      </c>
      <c r="H23" s="43">
        <v>0</v>
      </c>
      <c r="I23" s="43">
        <f>+C7*0.4</f>
        <v>32000</v>
      </c>
      <c r="J23" s="39">
        <f t="shared" si="3"/>
        <v>80000</v>
      </c>
    </row>
    <row r="24" spans="2:10" x14ac:dyDescent="0.25">
      <c r="B24" s="38" t="s">
        <v>83</v>
      </c>
      <c r="C24" s="44">
        <f t="shared" si="0"/>
        <v>0</v>
      </c>
      <c r="D24" s="43">
        <v>0</v>
      </c>
      <c r="E24" s="44">
        <f t="shared" si="1"/>
        <v>0</v>
      </c>
      <c r="F24" s="43">
        <v>0</v>
      </c>
      <c r="G24" s="44">
        <f t="shared" si="2"/>
        <v>13.5</v>
      </c>
      <c r="H24" s="43">
        <f>+C8*0.45</f>
        <v>27000</v>
      </c>
      <c r="I24" s="43">
        <f>+C8*0.55</f>
        <v>33000</v>
      </c>
      <c r="J24" s="39">
        <f t="shared" si="3"/>
        <v>60000</v>
      </c>
    </row>
    <row r="25" spans="2:10" x14ac:dyDescent="0.25">
      <c r="B25" s="38" t="s">
        <v>82</v>
      </c>
      <c r="C25" s="44">
        <f t="shared" si="0"/>
        <v>0</v>
      </c>
      <c r="D25" s="43">
        <v>0</v>
      </c>
      <c r="E25" s="44">
        <f t="shared" si="1"/>
        <v>0</v>
      </c>
      <c r="F25" s="43">
        <v>0</v>
      </c>
      <c r="G25" s="44">
        <f t="shared" si="2"/>
        <v>16</v>
      </c>
      <c r="H25" s="43">
        <f>+C9*0.4</f>
        <v>32000</v>
      </c>
      <c r="I25" s="43">
        <f>+C9*0.6</f>
        <v>48000</v>
      </c>
      <c r="J25" s="39">
        <f t="shared" si="3"/>
        <v>80000</v>
      </c>
    </row>
    <row r="26" spans="2:10" x14ac:dyDescent="0.25">
      <c r="B26" s="42" t="s">
        <v>10</v>
      </c>
      <c r="C26" s="41">
        <f t="shared" ref="C26:I26" si="4">SUM(C20:C25)</f>
        <v>8.0500000000000007</v>
      </c>
      <c r="D26" s="40">
        <f t="shared" si="4"/>
        <v>161000</v>
      </c>
      <c r="E26" s="41">
        <f t="shared" si="4"/>
        <v>1.3</v>
      </c>
      <c r="F26" s="40">
        <f t="shared" si="4"/>
        <v>78000</v>
      </c>
      <c r="G26" s="41">
        <f t="shared" si="4"/>
        <v>29.5</v>
      </c>
      <c r="H26" s="40">
        <f t="shared" si="4"/>
        <v>59000</v>
      </c>
      <c r="I26" s="40">
        <f t="shared" si="4"/>
        <v>132000</v>
      </c>
      <c r="J26" s="39">
        <f t="shared" si="3"/>
        <v>430000</v>
      </c>
    </row>
    <row r="28" spans="2:10" ht="30" customHeight="1" x14ac:dyDescent="0.25">
      <c r="B28" s="447" t="s">
        <v>81</v>
      </c>
      <c r="C28" s="447"/>
      <c r="D28" s="13"/>
    </row>
    <row r="29" spans="2:10" x14ac:dyDescent="0.25">
      <c r="B29" s="38" t="s">
        <v>80</v>
      </c>
      <c r="C29" s="37">
        <f>28*5</f>
        <v>140</v>
      </c>
    </row>
    <row r="30" spans="2:10" x14ac:dyDescent="0.25">
      <c r="B30" s="38" t="str">
        <f>+C16</f>
        <v>Limpeza de carpetes</v>
      </c>
      <c r="C30" s="37">
        <f>-C26*5</f>
        <v>-40.25</v>
      </c>
    </row>
    <row r="31" spans="2:10" x14ac:dyDescent="0.25">
      <c r="B31" s="38" t="str">
        <f>+E16</f>
        <v>Viagens</v>
      </c>
      <c r="C31" s="37">
        <f>-E26*120</f>
        <v>-156</v>
      </c>
    </row>
    <row r="32" spans="2:10" x14ac:dyDescent="0.25">
      <c r="B32" s="38" t="s">
        <v>79</v>
      </c>
      <c r="C32" s="37">
        <f>-G26</f>
        <v>-29.5</v>
      </c>
    </row>
    <row r="33" spans="2:3" x14ac:dyDescent="0.25">
      <c r="B33" s="36" t="s">
        <v>78</v>
      </c>
      <c r="C33" s="35">
        <f>SUM(C29:C32)</f>
        <v>-85.75</v>
      </c>
    </row>
  </sheetData>
  <mergeCells count="14">
    <mergeCell ref="B28:C28"/>
    <mergeCell ref="B17:B18"/>
    <mergeCell ref="C17:D17"/>
    <mergeCell ref="E17:F17"/>
    <mergeCell ref="G17:H17"/>
    <mergeCell ref="C18:D18"/>
    <mergeCell ref="E18:F18"/>
    <mergeCell ref="G18:H18"/>
    <mergeCell ref="G16:H16"/>
    <mergeCell ref="B2:C2"/>
    <mergeCell ref="D13:E13"/>
    <mergeCell ref="D14:E14"/>
    <mergeCell ref="C16:D16"/>
    <mergeCell ref="E16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28"/>
  <sheetViews>
    <sheetView topLeftCell="A20" zoomScale="150" zoomScaleNormal="150" workbookViewId="0">
      <selection activeCell="D28" sqref="D28"/>
    </sheetView>
  </sheetViews>
  <sheetFormatPr defaultRowHeight="15" x14ac:dyDescent="0.25"/>
  <cols>
    <col min="1" max="1" width="2.85546875" style="1" customWidth="1"/>
    <col min="2" max="2" width="41" style="1" customWidth="1"/>
    <col min="3" max="4" width="12.5703125" style="1" customWidth="1"/>
    <col min="5" max="5" width="14.7109375" style="1" customWidth="1"/>
    <col min="6" max="16384" width="9.140625" style="1"/>
  </cols>
  <sheetData>
    <row r="2" spans="2:5" x14ac:dyDescent="0.25">
      <c r="B2" s="3" t="s">
        <v>46</v>
      </c>
      <c r="C2" s="3" t="s">
        <v>47</v>
      </c>
      <c r="D2" s="3" t="s">
        <v>48</v>
      </c>
      <c r="E2" s="3" t="s">
        <v>10</v>
      </c>
    </row>
    <row r="3" spans="2:5" x14ac:dyDescent="0.25">
      <c r="B3" s="4" t="s">
        <v>49</v>
      </c>
      <c r="C3" s="5">
        <f>22*17500</f>
        <v>385000</v>
      </c>
      <c r="D3" s="5">
        <f>22*17500</f>
        <v>385000</v>
      </c>
    </row>
    <row r="4" spans="2:5" x14ac:dyDescent="0.25">
      <c r="B4" s="4" t="s">
        <v>50</v>
      </c>
      <c r="C4" s="5">
        <f>22*15000</f>
        <v>330000</v>
      </c>
      <c r="D4" s="5">
        <f>22*20000</f>
        <v>440000</v>
      </c>
    </row>
    <row r="5" spans="2:5" x14ac:dyDescent="0.25">
      <c r="B5" s="4" t="s">
        <v>51</v>
      </c>
      <c r="C5" s="5">
        <f>22*2500</f>
        <v>55000</v>
      </c>
      <c r="D5" s="5">
        <v>0</v>
      </c>
    </row>
    <row r="6" spans="2:5" x14ac:dyDescent="0.25">
      <c r="B6" s="4" t="s">
        <v>52</v>
      </c>
      <c r="C6" s="30">
        <v>60</v>
      </c>
      <c r="D6" s="30">
        <v>60</v>
      </c>
    </row>
    <row r="7" spans="2:5" x14ac:dyDescent="0.25">
      <c r="B7" s="4" t="s">
        <v>54</v>
      </c>
      <c r="C7" s="30">
        <v>25</v>
      </c>
      <c r="D7" s="30">
        <v>25</v>
      </c>
    </row>
    <row r="8" spans="2:5" x14ac:dyDescent="0.25">
      <c r="B8" s="4" t="s">
        <v>53</v>
      </c>
      <c r="C8" s="30">
        <f>+C6-C7</f>
        <v>35</v>
      </c>
      <c r="D8" s="30">
        <f>+D6-D7</f>
        <v>35</v>
      </c>
    </row>
    <row r="9" spans="2:5" x14ac:dyDescent="0.25">
      <c r="B9" s="4" t="s">
        <v>55</v>
      </c>
      <c r="C9" s="5">
        <v>560000</v>
      </c>
      <c r="D9" s="5">
        <v>560000</v>
      </c>
    </row>
    <row r="10" spans="2:5" x14ac:dyDescent="0.25">
      <c r="B10" s="4" t="s">
        <v>56</v>
      </c>
      <c r="C10" s="5">
        <f>+C9/C8</f>
        <v>16000</v>
      </c>
      <c r="D10" s="5">
        <f>+D9/D8</f>
        <v>16000</v>
      </c>
    </row>
    <row r="11" spans="2:5" x14ac:dyDescent="0.25">
      <c r="B11" s="4" t="s">
        <v>57</v>
      </c>
      <c r="C11" s="5">
        <v>15000</v>
      </c>
      <c r="D11" s="5">
        <v>20000</v>
      </c>
    </row>
    <row r="12" spans="2:5" x14ac:dyDescent="0.25">
      <c r="B12" s="4" t="s">
        <v>58</v>
      </c>
      <c r="C12" s="5">
        <f>+C11-C10</f>
        <v>-1000</v>
      </c>
      <c r="D12" s="5">
        <f>+D11-D10</f>
        <v>4000</v>
      </c>
    </row>
    <row r="13" spans="2:5" x14ac:dyDescent="0.25">
      <c r="B13" s="6" t="s">
        <v>59</v>
      </c>
      <c r="C13" s="7">
        <f>+C12*C8</f>
        <v>-35000</v>
      </c>
      <c r="D13" s="7">
        <f>+D12*D8</f>
        <v>140000</v>
      </c>
      <c r="E13" s="7">
        <f>SUM(C13:D13)</f>
        <v>105000</v>
      </c>
    </row>
    <row r="14" spans="2:5" x14ac:dyDescent="0.25">
      <c r="B14" s="6" t="s">
        <v>60</v>
      </c>
      <c r="C14" s="7">
        <f>+C5</f>
        <v>55000</v>
      </c>
      <c r="D14" s="7">
        <v>0</v>
      </c>
    </row>
    <row r="16" spans="2:5" x14ac:dyDescent="0.25">
      <c r="B16" s="3" t="s">
        <v>65</v>
      </c>
      <c r="C16" s="3" t="s">
        <v>47</v>
      </c>
      <c r="D16" s="3" t="s">
        <v>48</v>
      </c>
      <c r="E16" s="3" t="s">
        <v>10</v>
      </c>
    </row>
    <row r="17" spans="2:5" x14ac:dyDescent="0.25">
      <c r="B17" s="4" t="s">
        <v>49</v>
      </c>
      <c r="C17" s="5">
        <f>22*17500</f>
        <v>385000</v>
      </c>
      <c r="D17" s="5">
        <f>22*17500</f>
        <v>385000</v>
      </c>
    </row>
    <row r="18" spans="2:5" x14ac:dyDescent="0.25">
      <c r="B18" s="4" t="s">
        <v>61</v>
      </c>
      <c r="C18" s="5">
        <v>315000</v>
      </c>
      <c r="D18" s="5">
        <v>315000</v>
      </c>
    </row>
    <row r="19" spans="2:5" x14ac:dyDescent="0.25">
      <c r="B19" s="31" t="s">
        <v>62</v>
      </c>
      <c r="C19" s="32">
        <f>SUM(C17:C18)</f>
        <v>700000</v>
      </c>
      <c r="D19" s="32">
        <f>SUM(D17:D18)</f>
        <v>700000</v>
      </c>
    </row>
    <row r="20" spans="2:5" x14ac:dyDescent="0.25">
      <c r="B20" s="4" t="s">
        <v>63</v>
      </c>
      <c r="C20" s="5">
        <f>+C19/17500*15000</f>
        <v>600000</v>
      </c>
      <c r="D20" s="5">
        <f>+D19/17500*20000</f>
        <v>800000</v>
      </c>
    </row>
    <row r="21" spans="2:5" x14ac:dyDescent="0.25">
      <c r="B21" s="31" t="s">
        <v>64</v>
      </c>
      <c r="C21" s="32">
        <f>+C19/17500*2500</f>
        <v>100000</v>
      </c>
      <c r="D21" s="32">
        <v>0</v>
      </c>
    </row>
    <row r="22" spans="2:5" x14ac:dyDescent="0.25">
      <c r="B22" s="6" t="s">
        <v>59</v>
      </c>
      <c r="C22" s="7">
        <v>10000</v>
      </c>
      <c r="D22" s="7">
        <v>95000</v>
      </c>
      <c r="E22" s="7">
        <f>SUM(C22:D22)</f>
        <v>105000</v>
      </c>
    </row>
    <row r="24" spans="2:5" x14ac:dyDescent="0.25">
      <c r="B24" s="3" t="s">
        <v>66</v>
      </c>
      <c r="C24" s="3" t="s">
        <v>47</v>
      </c>
      <c r="D24" s="3" t="s">
        <v>48</v>
      </c>
    </row>
    <row r="25" spans="2:5" x14ac:dyDescent="0.25">
      <c r="B25" s="6" t="s">
        <v>67</v>
      </c>
      <c r="C25" s="7">
        <f>+C13</f>
        <v>-35000</v>
      </c>
      <c r="D25" s="7">
        <f>+D13</f>
        <v>140000</v>
      </c>
    </row>
    <row r="26" spans="2:5" x14ac:dyDescent="0.25">
      <c r="B26" s="4" t="s">
        <v>70</v>
      </c>
      <c r="C26" s="5"/>
      <c r="D26" s="5">
        <f>-C27</f>
        <v>-45000</v>
      </c>
    </row>
    <row r="27" spans="2:5" x14ac:dyDescent="0.25">
      <c r="B27" s="4" t="s">
        <v>69</v>
      </c>
      <c r="C27" s="5">
        <f>315000/17500*2500</f>
        <v>45000</v>
      </c>
      <c r="D27" s="5"/>
    </row>
    <row r="28" spans="2:5" x14ac:dyDescent="0.25">
      <c r="B28" s="6" t="s">
        <v>68</v>
      </c>
      <c r="C28" s="7">
        <f>SUM(C25:C27)</f>
        <v>10000</v>
      </c>
      <c r="D28" s="7">
        <f>SUM(D25:D27)</f>
        <v>95000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6"/>
  <sheetViews>
    <sheetView topLeftCell="A16" zoomScale="150" zoomScaleNormal="150" workbookViewId="0">
      <selection activeCell="C30" sqref="C30"/>
    </sheetView>
  </sheetViews>
  <sheetFormatPr defaultRowHeight="15" x14ac:dyDescent="0.25"/>
  <cols>
    <col min="1" max="1" width="2.85546875" style="1" customWidth="1"/>
    <col min="2" max="2" width="41" style="1" customWidth="1"/>
    <col min="3" max="5" width="12.5703125" style="1" customWidth="1"/>
    <col min="6" max="6" width="14.7109375" style="1" customWidth="1"/>
    <col min="7" max="16384" width="9.140625" style="1"/>
  </cols>
  <sheetData>
    <row r="2" spans="2:6" x14ac:dyDescent="0.25">
      <c r="B2" s="3" t="s">
        <v>46</v>
      </c>
      <c r="C2" s="3" t="s">
        <v>71</v>
      </c>
      <c r="D2" s="3" t="s">
        <v>72</v>
      </c>
      <c r="E2" s="3" t="s">
        <v>73</v>
      </c>
      <c r="F2" s="3" t="s">
        <v>10</v>
      </c>
    </row>
    <row r="3" spans="2:6" x14ac:dyDescent="0.25">
      <c r="B3" s="4" t="s">
        <v>49</v>
      </c>
      <c r="C3" s="5">
        <f>2*50000</f>
        <v>100000</v>
      </c>
      <c r="D3" s="5">
        <f>2*60000</f>
        <v>120000</v>
      </c>
      <c r="E3" s="5">
        <f>2*40000</f>
        <v>80000</v>
      </c>
    </row>
    <row r="4" spans="2:6" x14ac:dyDescent="0.25">
      <c r="B4" s="4" t="s">
        <v>50</v>
      </c>
      <c r="C4" s="5">
        <f>2*50000</f>
        <v>100000</v>
      </c>
      <c r="D4" s="5">
        <f>2*40000</f>
        <v>80000</v>
      </c>
      <c r="E4" s="5">
        <f>2*50000</f>
        <v>100000</v>
      </c>
    </row>
    <row r="5" spans="2:6" x14ac:dyDescent="0.25">
      <c r="B5" s="4" t="s">
        <v>51</v>
      </c>
      <c r="C5" s="5">
        <v>0</v>
      </c>
      <c r="D5" s="5">
        <f>2*20000</f>
        <v>40000</v>
      </c>
      <c r="E5" s="5">
        <f>2*10000</f>
        <v>20000</v>
      </c>
    </row>
    <row r="6" spans="2:6" x14ac:dyDescent="0.25">
      <c r="B6" s="4" t="s">
        <v>52</v>
      </c>
      <c r="C6" s="30">
        <v>16</v>
      </c>
      <c r="D6" s="30">
        <v>16</v>
      </c>
      <c r="E6" s="30">
        <v>16</v>
      </c>
    </row>
    <row r="7" spans="2:6" x14ac:dyDescent="0.25">
      <c r="B7" s="4" t="s">
        <v>54</v>
      </c>
      <c r="C7" s="30">
        <v>3</v>
      </c>
      <c r="D7" s="30">
        <v>3</v>
      </c>
      <c r="E7" s="30">
        <v>3</v>
      </c>
    </row>
    <row r="8" spans="2:6" x14ac:dyDescent="0.25">
      <c r="B8" s="31" t="s">
        <v>53</v>
      </c>
      <c r="C8" s="33">
        <f>+C6-C7</f>
        <v>13</v>
      </c>
      <c r="D8" s="33">
        <f t="shared" ref="D8:E8" si="0">+D6-D7</f>
        <v>13</v>
      </c>
      <c r="E8" s="33">
        <f t="shared" si="0"/>
        <v>13</v>
      </c>
    </row>
    <row r="9" spans="2:6" x14ac:dyDescent="0.25">
      <c r="B9" s="4" t="s">
        <v>55</v>
      </c>
      <c r="C9" s="5">
        <f>480000+140000</f>
        <v>620000</v>
      </c>
      <c r="D9" s="5">
        <f t="shared" ref="D9:E9" si="1">480000+140000</f>
        <v>620000</v>
      </c>
      <c r="E9" s="5">
        <f t="shared" si="1"/>
        <v>620000</v>
      </c>
    </row>
    <row r="10" spans="2:6" x14ac:dyDescent="0.25">
      <c r="B10" s="4" t="s">
        <v>56</v>
      </c>
      <c r="C10" s="5">
        <f>+C9/C8</f>
        <v>47692.307692307695</v>
      </c>
      <c r="D10" s="5">
        <f>+D9/D8</f>
        <v>47692.307692307695</v>
      </c>
      <c r="E10" s="5">
        <f>+E9/E8</f>
        <v>47692.307692307695</v>
      </c>
    </row>
    <row r="11" spans="2:6" x14ac:dyDescent="0.25">
      <c r="B11" s="4" t="s">
        <v>57</v>
      </c>
      <c r="C11" s="5">
        <v>50000</v>
      </c>
      <c r="D11" s="5">
        <v>40000</v>
      </c>
      <c r="E11" s="5">
        <v>50000</v>
      </c>
    </row>
    <row r="12" spans="2:6" x14ac:dyDescent="0.25">
      <c r="B12" s="4" t="s">
        <v>58</v>
      </c>
      <c r="C12" s="5">
        <f>+C11-C10</f>
        <v>2307.6923076923049</v>
      </c>
      <c r="D12" s="5">
        <f>+D11-D10</f>
        <v>-7692.3076923076951</v>
      </c>
      <c r="E12" s="5">
        <f>+E11-E10</f>
        <v>2307.6923076923049</v>
      </c>
    </row>
    <row r="13" spans="2:6" x14ac:dyDescent="0.25">
      <c r="B13" s="6" t="s">
        <v>59</v>
      </c>
      <c r="C13" s="7">
        <f>+C12*C8</f>
        <v>29999.999999999964</v>
      </c>
      <c r="D13" s="7">
        <f t="shared" ref="D13:E13" si="2">+D12*D8</f>
        <v>-100000.00000000003</v>
      </c>
      <c r="E13" s="7">
        <f t="shared" si="2"/>
        <v>29999.999999999964</v>
      </c>
      <c r="F13" s="7">
        <f>SUM(C13:E13)</f>
        <v>-40000.000000000095</v>
      </c>
    </row>
    <row r="14" spans="2:6" x14ac:dyDescent="0.25">
      <c r="B14" s="6" t="s">
        <v>74</v>
      </c>
      <c r="C14" s="7">
        <v>0</v>
      </c>
      <c r="D14" s="7">
        <f>+D5</f>
        <v>40000</v>
      </c>
      <c r="E14" s="7">
        <f>+E5</f>
        <v>20000</v>
      </c>
    </row>
    <row r="16" spans="2:6" x14ac:dyDescent="0.25">
      <c r="B16" s="3" t="s">
        <v>65</v>
      </c>
      <c r="C16" s="3" t="str">
        <f>+C2</f>
        <v>ANO 1</v>
      </c>
      <c r="D16" s="3" t="str">
        <f t="shared" ref="D16:E16" si="3">+D2</f>
        <v>ANO 2</v>
      </c>
      <c r="E16" s="3" t="str">
        <f t="shared" si="3"/>
        <v>ANO 3</v>
      </c>
      <c r="F16" s="3" t="s">
        <v>10</v>
      </c>
    </row>
    <row r="17" spans="2:6" x14ac:dyDescent="0.25">
      <c r="B17" s="6" t="s">
        <v>59</v>
      </c>
      <c r="C17" s="7">
        <v>30000</v>
      </c>
      <c r="D17" s="7">
        <v>60000</v>
      </c>
      <c r="E17" s="7">
        <v>-10000</v>
      </c>
      <c r="F17" s="7">
        <f>SUM(C17:E17)</f>
        <v>80000</v>
      </c>
    </row>
    <row r="18" spans="2:6" x14ac:dyDescent="0.25">
      <c r="B18" s="6" t="s">
        <v>74</v>
      </c>
      <c r="C18" s="7">
        <v>0</v>
      </c>
      <c r="D18" s="7">
        <v>200000</v>
      </c>
      <c r="E18" s="7">
        <v>140000</v>
      </c>
    </row>
    <row r="20" spans="2:6" x14ac:dyDescent="0.25">
      <c r="B20" s="3" t="s">
        <v>66</v>
      </c>
      <c r="C20" s="3" t="str">
        <f>+C16</f>
        <v>ANO 1</v>
      </c>
      <c r="D20" s="3" t="str">
        <f t="shared" ref="D20:E20" si="4">+D16</f>
        <v>ANO 2</v>
      </c>
      <c r="E20" s="3" t="str">
        <f t="shared" si="4"/>
        <v>ANO 3</v>
      </c>
    </row>
    <row r="21" spans="2:6" x14ac:dyDescent="0.25">
      <c r="B21" s="6" t="s">
        <v>67</v>
      </c>
      <c r="C21" s="7">
        <f>+C13</f>
        <v>29999.999999999964</v>
      </c>
      <c r="D21" s="7">
        <f>+D13</f>
        <v>-100000.00000000003</v>
      </c>
      <c r="E21" s="7">
        <f>+E13</f>
        <v>29999.999999999964</v>
      </c>
    </row>
    <row r="22" spans="2:6" x14ac:dyDescent="0.25">
      <c r="B22" s="4" t="s">
        <v>75</v>
      </c>
      <c r="C22" s="5">
        <v>0</v>
      </c>
      <c r="D22" s="5"/>
      <c r="E22" s="5">
        <f>-D23</f>
        <v>-160000</v>
      </c>
    </row>
    <row r="23" spans="2:6" x14ac:dyDescent="0.25">
      <c r="B23" s="4" t="s">
        <v>76</v>
      </c>
      <c r="C23" s="5">
        <v>0</v>
      </c>
      <c r="D23" s="5">
        <f>480000/60000*20000</f>
        <v>160000</v>
      </c>
      <c r="E23" s="5">
        <f>480000/40000*10000</f>
        <v>120000</v>
      </c>
    </row>
    <row r="24" spans="2:6" x14ac:dyDescent="0.25">
      <c r="B24" s="6" t="s">
        <v>77</v>
      </c>
      <c r="C24" s="7">
        <f>SUM(C21:C23)</f>
        <v>29999.999999999964</v>
      </c>
      <c r="D24" s="7">
        <f>SUM(D21:D23)</f>
        <v>59999.999999999971</v>
      </c>
      <c r="E24" s="7">
        <f>SUM(E21:E23)</f>
        <v>-10000.000000000029</v>
      </c>
    </row>
    <row r="26" spans="2:6" x14ac:dyDescent="0.25">
      <c r="C26" s="34">
        <f>480000/50000</f>
        <v>9.6</v>
      </c>
      <c r="D26" s="34">
        <f>480000/60000</f>
        <v>8</v>
      </c>
      <c r="E26" s="34">
        <f>480000/40000</f>
        <v>12</v>
      </c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topLeftCell="B17" zoomScale="130" zoomScaleNormal="130" workbookViewId="0">
      <selection activeCell="J15" sqref="J15"/>
    </sheetView>
  </sheetViews>
  <sheetFormatPr defaultRowHeight="15" x14ac:dyDescent="0.25"/>
  <cols>
    <col min="1" max="1" width="2.85546875" style="1" customWidth="1"/>
    <col min="2" max="2" width="9.140625" style="1"/>
    <col min="3" max="4" width="21" style="1" customWidth="1"/>
    <col min="5" max="16384" width="9.140625" style="1"/>
  </cols>
  <sheetData>
    <row r="2" spans="2:4" ht="30" x14ac:dyDescent="0.25">
      <c r="B2" s="81" t="s">
        <v>126</v>
      </c>
      <c r="C2" s="81" t="s">
        <v>128</v>
      </c>
      <c r="D2" s="81" t="s">
        <v>127</v>
      </c>
    </row>
    <row r="3" spans="2:4" x14ac:dyDescent="0.25">
      <c r="B3" s="82">
        <v>1</v>
      </c>
      <c r="C3" s="82">
        <v>4500</v>
      </c>
      <c r="D3" s="82">
        <v>38000</v>
      </c>
    </row>
    <row r="4" spans="2:4" x14ac:dyDescent="0.25">
      <c r="B4" s="82">
        <f>+B3+1</f>
        <v>2</v>
      </c>
      <c r="C4" s="82">
        <v>11000</v>
      </c>
      <c r="D4" s="82">
        <v>52000</v>
      </c>
    </row>
    <row r="5" spans="2:4" x14ac:dyDescent="0.25">
      <c r="B5" s="82">
        <f t="shared" ref="B5:B17" si="0">+B4+1</f>
        <v>3</v>
      </c>
      <c r="C5" s="82">
        <v>12000</v>
      </c>
      <c r="D5" s="82">
        <v>56000</v>
      </c>
    </row>
    <row r="6" spans="2:4" x14ac:dyDescent="0.25">
      <c r="B6" s="82">
        <f t="shared" si="0"/>
        <v>4</v>
      </c>
      <c r="C6" s="82">
        <v>5500</v>
      </c>
      <c r="D6" s="82">
        <v>40000</v>
      </c>
    </row>
    <row r="7" spans="2:4" x14ac:dyDescent="0.25">
      <c r="B7" s="82">
        <f t="shared" si="0"/>
        <v>5</v>
      </c>
      <c r="C7" s="82">
        <v>9000</v>
      </c>
      <c r="D7" s="82">
        <v>47000</v>
      </c>
    </row>
    <row r="8" spans="2:4" x14ac:dyDescent="0.25">
      <c r="B8" s="82">
        <f t="shared" si="0"/>
        <v>6</v>
      </c>
      <c r="C8" s="82">
        <v>10500</v>
      </c>
      <c r="D8" s="82">
        <v>52000</v>
      </c>
    </row>
    <row r="9" spans="2:4" x14ac:dyDescent="0.25">
      <c r="B9" s="82">
        <f t="shared" si="0"/>
        <v>7</v>
      </c>
      <c r="C9" s="82">
        <v>7500</v>
      </c>
      <c r="D9" s="82">
        <v>44000</v>
      </c>
    </row>
    <row r="10" spans="2:4" x14ac:dyDescent="0.25">
      <c r="B10" s="82">
        <f t="shared" si="0"/>
        <v>8</v>
      </c>
      <c r="C10" s="82">
        <v>5000</v>
      </c>
      <c r="D10" s="82">
        <v>41000</v>
      </c>
    </row>
    <row r="11" spans="2:4" x14ac:dyDescent="0.25">
      <c r="B11" s="82">
        <f t="shared" si="0"/>
        <v>9</v>
      </c>
      <c r="C11" s="82">
        <v>11500</v>
      </c>
      <c r="D11" s="82">
        <v>52000</v>
      </c>
    </row>
    <row r="12" spans="2:4" x14ac:dyDescent="0.25">
      <c r="B12" s="82">
        <f t="shared" si="0"/>
        <v>10</v>
      </c>
      <c r="C12" s="82">
        <v>6000</v>
      </c>
      <c r="D12" s="82">
        <v>43000</v>
      </c>
    </row>
    <row r="13" spans="2:4" x14ac:dyDescent="0.25">
      <c r="B13" s="82">
        <f t="shared" si="0"/>
        <v>11</v>
      </c>
      <c r="C13" s="82">
        <v>8500</v>
      </c>
      <c r="D13" s="82">
        <v>48000</v>
      </c>
    </row>
    <row r="14" spans="2:4" x14ac:dyDescent="0.25">
      <c r="B14" s="82">
        <f t="shared" si="0"/>
        <v>12</v>
      </c>
      <c r="C14" s="82">
        <v>10000</v>
      </c>
      <c r="D14" s="82">
        <v>50000</v>
      </c>
    </row>
    <row r="15" spans="2:4" x14ac:dyDescent="0.25">
      <c r="B15" s="82">
        <f t="shared" si="0"/>
        <v>13</v>
      </c>
      <c r="C15" s="82">
        <v>6500</v>
      </c>
      <c r="D15" s="82">
        <v>44000</v>
      </c>
    </row>
    <row r="16" spans="2:4" x14ac:dyDescent="0.25">
      <c r="B16" s="82">
        <f t="shared" si="0"/>
        <v>14</v>
      </c>
      <c r="C16" s="82">
        <v>9500</v>
      </c>
      <c r="D16" s="82">
        <v>48000</v>
      </c>
    </row>
    <row r="17" spans="2:4" x14ac:dyDescent="0.25">
      <c r="B17" s="82">
        <f t="shared" si="0"/>
        <v>15</v>
      </c>
      <c r="C17" s="82">
        <v>8000</v>
      </c>
      <c r="D17" s="82">
        <v>46000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zoomScale="120" zoomScaleNormal="120" workbookViewId="0">
      <selection activeCell="F11" sqref="F11"/>
    </sheetView>
  </sheetViews>
  <sheetFormatPr defaultRowHeight="15" x14ac:dyDescent="0.25"/>
  <cols>
    <col min="1" max="1" width="2.85546875" style="1" customWidth="1"/>
    <col min="2" max="2" width="9.140625" style="1"/>
    <col min="3" max="4" width="21" style="1" customWidth="1"/>
    <col min="5" max="5" width="27.7109375" style="1" customWidth="1"/>
    <col min="6" max="16384" width="9.140625" style="1"/>
  </cols>
  <sheetData>
    <row r="2" spans="2:5" x14ac:dyDescent="0.25">
      <c r="B2" s="80" t="s">
        <v>129</v>
      </c>
      <c r="C2" s="80" t="s">
        <v>130</v>
      </c>
      <c r="D2" s="80" t="s">
        <v>131</v>
      </c>
      <c r="E2" s="80" t="s">
        <v>132</v>
      </c>
    </row>
    <row r="3" spans="2:5" x14ac:dyDescent="0.25">
      <c r="B3" s="17">
        <v>1</v>
      </c>
      <c r="C3" s="17" t="s">
        <v>133</v>
      </c>
      <c r="D3" s="17">
        <v>10000</v>
      </c>
      <c r="E3" s="17">
        <v>119000</v>
      </c>
    </row>
    <row r="4" spans="2:5" x14ac:dyDescent="0.25">
      <c r="B4" s="17">
        <v>1</v>
      </c>
      <c r="C4" s="17" t="s">
        <v>134</v>
      </c>
      <c r="D4" s="17">
        <v>16000</v>
      </c>
      <c r="E4" s="17">
        <v>175000</v>
      </c>
    </row>
    <row r="5" spans="2:5" x14ac:dyDescent="0.25">
      <c r="B5" s="17">
        <v>1</v>
      </c>
      <c r="C5" s="17" t="s">
        <v>135</v>
      </c>
      <c r="D5" s="17">
        <v>18000</v>
      </c>
      <c r="E5" s="17">
        <v>190000</v>
      </c>
    </row>
    <row r="6" spans="2:5" x14ac:dyDescent="0.25">
      <c r="B6" s="17">
        <v>1</v>
      </c>
      <c r="C6" s="17" t="s">
        <v>136</v>
      </c>
      <c r="D6" s="17">
        <v>15000</v>
      </c>
      <c r="E6" s="17">
        <v>164000</v>
      </c>
    </row>
    <row r="7" spans="2:5" x14ac:dyDescent="0.25">
      <c r="B7" s="17">
        <f>+B3+1</f>
        <v>2</v>
      </c>
      <c r="C7" s="17" t="str">
        <f>+C3</f>
        <v>Primeiro</v>
      </c>
      <c r="D7" s="17">
        <v>11000</v>
      </c>
      <c r="E7" s="17">
        <v>130000</v>
      </c>
    </row>
    <row r="8" spans="2:5" x14ac:dyDescent="0.25">
      <c r="B8" s="17">
        <f t="shared" ref="B8:B10" si="0">+B4+1</f>
        <v>2</v>
      </c>
      <c r="C8" s="17" t="str">
        <f t="shared" ref="C8:C10" si="1">+C4</f>
        <v>Segundo</v>
      </c>
      <c r="D8" s="17">
        <v>17000</v>
      </c>
      <c r="E8" s="17">
        <v>185000</v>
      </c>
    </row>
    <row r="9" spans="2:5" x14ac:dyDescent="0.25">
      <c r="B9" s="17">
        <f t="shared" si="0"/>
        <v>2</v>
      </c>
      <c r="C9" s="17" t="str">
        <f t="shared" si="1"/>
        <v>Terceiro</v>
      </c>
      <c r="D9" s="17">
        <v>20000</v>
      </c>
      <c r="E9" s="17">
        <v>210000</v>
      </c>
    </row>
    <row r="10" spans="2:5" x14ac:dyDescent="0.25">
      <c r="B10" s="17">
        <f t="shared" si="0"/>
        <v>2</v>
      </c>
      <c r="C10" s="17" t="str">
        <f t="shared" si="1"/>
        <v>Quarto</v>
      </c>
      <c r="D10" s="17">
        <v>13000</v>
      </c>
      <c r="E10" s="17">
        <v>147000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topLeftCell="A17" zoomScale="120" zoomScaleNormal="120" workbookViewId="0">
      <selection activeCell="B14" sqref="B14"/>
    </sheetView>
  </sheetViews>
  <sheetFormatPr defaultRowHeight="15" x14ac:dyDescent="0.25"/>
  <cols>
    <col min="1" max="1" width="2.85546875" style="1" customWidth="1"/>
    <col min="2" max="2" width="39.28515625" style="1" customWidth="1"/>
    <col min="3" max="6" width="10.5703125" style="1" customWidth="1"/>
    <col min="7" max="16384" width="9.140625" style="1"/>
  </cols>
  <sheetData>
    <row r="2" spans="2:6" x14ac:dyDescent="0.25">
      <c r="B2" s="85"/>
      <c r="C2" s="85" t="s">
        <v>137</v>
      </c>
      <c r="D2" s="85" t="s">
        <v>138</v>
      </c>
      <c r="E2" s="85" t="s">
        <v>139</v>
      </c>
      <c r="F2" s="85" t="s">
        <v>10</v>
      </c>
    </row>
    <row r="3" spans="2:6" x14ac:dyDescent="0.25">
      <c r="B3" s="88" t="s">
        <v>140</v>
      </c>
      <c r="C3" s="89">
        <v>5000</v>
      </c>
      <c r="D3" s="89">
        <v>2000</v>
      </c>
      <c r="E3" s="89">
        <v>3000</v>
      </c>
      <c r="F3" s="91">
        <f>SUM(C3:E3)</f>
        <v>10000</v>
      </c>
    </row>
    <row r="4" spans="2:6" x14ac:dyDescent="0.25">
      <c r="B4" s="88" t="s">
        <v>145</v>
      </c>
      <c r="C4" s="90">
        <f>+C3/$F$3</f>
        <v>0.5</v>
      </c>
      <c r="D4" s="90">
        <f t="shared" ref="D4:E4" si="0">+D3/$F$3</f>
        <v>0.2</v>
      </c>
      <c r="E4" s="90">
        <f t="shared" si="0"/>
        <v>0.3</v>
      </c>
      <c r="F4" s="92">
        <f>SUM(C4:E4)</f>
        <v>1</v>
      </c>
    </row>
    <row r="5" spans="2:6" x14ac:dyDescent="0.25">
      <c r="B5" s="84" t="s">
        <v>141</v>
      </c>
      <c r="C5" s="87">
        <v>20</v>
      </c>
      <c r="D5" s="87">
        <v>50</v>
      </c>
      <c r="E5" s="87">
        <v>35</v>
      </c>
    </row>
    <row r="6" spans="2:6" x14ac:dyDescent="0.25">
      <c r="B6" s="84" t="s">
        <v>142</v>
      </c>
      <c r="C6" s="87">
        <v>15</v>
      </c>
      <c r="D6" s="87">
        <v>25</v>
      </c>
      <c r="E6" s="87">
        <v>20</v>
      </c>
    </row>
    <row r="7" spans="2:6" x14ac:dyDescent="0.25">
      <c r="B7" s="84" t="s">
        <v>143</v>
      </c>
      <c r="C7" s="458">
        <v>0.4</v>
      </c>
      <c r="D7" s="458"/>
      <c r="E7" s="458"/>
    </row>
    <row r="8" spans="2:6" x14ac:dyDescent="0.25">
      <c r="B8" s="84" t="s">
        <v>144</v>
      </c>
      <c r="C8" s="459">
        <v>1080000</v>
      </c>
      <c r="D8" s="459"/>
      <c r="E8" s="459"/>
    </row>
    <row r="10" spans="2:6" x14ac:dyDescent="0.25">
      <c r="B10" s="84" t="s">
        <v>146</v>
      </c>
      <c r="C10" s="86">
        <v>800000</v>
      </c>
    </row>
    <row r="12" spans="2:6" x14ac:dyDescent="0.25">
      <c r="C12" s="85" t="s">
        <v>147</v>
      </c>
    </row>
    <row r="13" spans="2:6" x14ac:dyDescent="0.25">
      <c r="B13" s="84" t="s">
        <v>165</v>
      </c>
      <c r="C13" s="86">
        <f>1080000/12</f>
        <v>90000</v>
      </c>
    </row>
    <row r="14" spans="2:6" x14ac:dyDescent="0.25">
      <c r="B14" s="84" t="s">
        <v>148</v>
      </c>
      <c r="C14" s="86">
        <f>72000/12</f>
        <v>6000</v>
      </c>
    </row>
    <row r="15" spans="2:6" x14ac:dyDescent="0.25">
      <c r="B15" s="84" t="s">
        <v>149</v>
      </c>
      <c r="C15" s="86">
        <f>+C10*21.6%/12</f>
        <v>14400.000000000002</v>
      </c>
    </row>
    <row r="17" spans="2:7" x14ac:dyDescent="0.25">
      <c r="B17" s="85"/>
      <c r="C17" s="85" t="s">
        <v>137</v>
      </c>
      <c r="D17" s="85" t="s">
        <v>138</v>
      </c>
      <c r="E17" s="85" t="s">
        <v>139</v>
      </c>
      <c r="F17" s="85" t="s">
        <v>10</v>
      </c>
    </row>
    <row r="18" spans="2:7" x14ac:dyDescent="0.25">
      <c r="B18" s="84" t="s">
        <v>150</v>
      </c>
      <c r="C18" s="93">
        <f>+C5*C4</f>
        <v>10</v>
      </c>
      <c r="D18" s="93">
        <f t="shared" ref="D18:E18" si="1">+D5*D4</f>
        <v>10</v>
      </c>
      <c r="E18" s="93">
        <f t="shared" si="1"/>
        <v>10.5</v>
      </c>
      <c r="F18" s="94">
        <f>SUM(C18:E18)</f>
        <v>30.5</v>
      </c>
    </row>
    <row r="19" spans="2:7" x14ac:dyDescent="0.25">
      <c r="B19" s="84" t="s">
        <v>151</v>
      </c>
      <c r="C19" s="93">
        <f>-C6*C4</f>
        <v>-7.5</v>
      </c>
      <c r="D19" s="93">
        <f t="shared" ref="D19:E19" si="2">-D6*D4</f>
        <v>-5</v>
      </c>
      <c r="E19" s="93">
        <f t="shared" si="2"/>
        <v>-6</v>
      </c>
      <c r="F19" s="94">
        <f>SUM(C19:E19)</f>
        <v>-18.5</v>
      </c>
    </row>
    <row r="20" spans="2:7" x14ac:dyDescent="0.25">
      <c r="B20" s="95" t="s">
        <v>152</v>
      </c>
      <c r="C20" s="96"/>
      <c r="D20" s="96"/>
      <c r="E20" s="96"/>
      <c r="F20" s="94">
        <f>SUM(F18:F19)</f>
        <v>12</v>
      </c>
    </row>
    <row r="21" spans="2:7" x14ac:dyDescent="0.25">
      <c r="B21" s="84" t="s">
        <v>153</v>
      </c>
      <c r="C21" s="93"/>
      <c r="D21" s="93"/>
      <c r="E21" s="93"/>
      <c r="F21" s="94">
        <f>-F20*40%</f>
        <v>-4.8000000000000007</v>
      </c>
      <c r="G21" s="34">
        <f>+F21+F19</f>
        <v>-23.3</v>
      </c>
    </row>
    <row r="22" spans="2:7" x14ac:dyDescent="0.25">
      <c r="B22" s="95" t="s">
        <v>154</v>
      </c>
      <c r="C22" s="96"/>
      <c r="D22" s="96"/>
      <c r="E22" s="96"/>
      <c r="F22" s="94">
        <f>SUM(F20:F21)</f>
        <v>7.1999999999999993</v>
      </c>
    </row>
    <row r="24" spans="2:7" x14ac:dyDescent="0.25">
      <c r="B24" s="97" t="s">
        <v>159</v>
      </c>
      <c r="C24" s="97" t="s">
        <v>155</v>
      </c>
    </row>
    <row r="25" spans="2:7" ht="15" customHeight="1" x14ac:dyDescent="0.25">
      <c r="B25" s="98" t="s">
        <v>156</v>
      </c>
      <c r="C25" s="99">
        <f>+C13/F20</f>
        <v>7500</v>
      </c>
      <c r="D25" s="452" t="s">
        <v>160</v>
      </c>
      <c r="E25" s="452"/>
      <c r="F25" s="453"/>
    </row>
    <row r="26" spans="2:7" x14ac:dyDescent="0.25">
      <c r="B26" s="100" t="s">
        <v>157</v>
      </c>
      <c r="C26" s="101">
        <f>+C15/F22+C25</f>
        <v>9500</v>
      </c>
      <c r="D26" s="454"/>
      <c r="E26" s="454"/>
      <c r="F26" s="455"/>
    </row>
    <row r="27" spans="2:7" x14ac:dyDescent="0.25">
      <c r="B27" s="102" t="s">
        <v>158</v>
      </c>
      <c r="C27" s="103">
        <f>+(C13-C14)/F20</f>
        <v>7000</v>
      </c>
      <c r="D27" s="460" t="s">
        <v>161</v>
      </c>
      <c r="E27" s="460"/>
      <c r="F27" s="461"/>
    </row>
    <row r="29" spans="2:7" x14ac:dyDescent="0.25">
      <c r="B29" s="97"/>
      <c r="C29" s="97" t="s">
        <v>155</v>
      </c>
      <c r="D29" s="97" t="s">
        <v>147</v>
      </c>
    </row>
    <row r="30" spans="2:7" x14ac:dyDescent="0.25">
      <c r="B30" s="98" t="s">
        <v>162</v>
      </c>
      <c r="C30" s="99">
        <f>+F3-C25</f>
        <v>2500</v>
      </c>
      <c r="D30" s="106">
        <f>+C30*F22</f>
        <v>18000</v>
      </c>
      <c r="E30" s="452" t="s">
        <v>160</v>
      </c>
      <c r="F30" s="452"/>
      <c r="G30" s="453"/>
    </row>
    <row r="31" spans="2:7" x14ac:dyDescent="0.25">
      <c r="B31" s="100" t="s">
        <v>163</v>
      </c>
      <c r="C31" s="101">
        <f>+F3-C26</f>
        <v>500</v>
      </c>
      <c r="D31" s="110">
        <f>+C31*F22</f>
        <v>3599.9999999999995</v>
      </c>
      <c r="E31" s="454"/>
      <c r="F31" s="454"/>
      <c r="G31" s="455"/>
    </row>
    <row r="32" spans="2:7" ht="15" customHeight="1" x14ac:dyDescent="0.25">
      <c r="B32" s="98" t="s">
        <v>162</v>
      </c>
      <c r="C32" s="99">
        <f>+F3-C25</f>
        <v>2500</v>
      </c>
      <c r="D32" s="106">
        <f>+C32*F22</f>
        <v>18000</v>
      </c>
      <c r="E32" s="452" t="s">
        <v>161</v>
      </c>
      <c r="F32" s="452"/>
      <c r="G32" s="453"/>
    </row>
    <row r="33" spans="2:7" x14ac:dyDescent="0.25">
      <c r="B33" s="107" t="s">
        <v>148</v>
      </c>
      <c r="C33" s="112">
        <f>+C25-C27</f>
        <v>500</v>
      </c>
      <c r="D33" s="111">
        <f>+C33*F20</f>
        <v>6000</v>
      </c>
      <c r="E33" s="456"/>
      <c r="F33" s="456"/>
      <c r="G33" s="457"/>
    </row>
    <row r="34" spans="2:7" x14ac:dyDescent="0.25">
      <c r="B34" s="109" t="s">
        <v>164</v>
      </c>
      <c r="C34" s="101"/>
      <c r="D34" s="110">
        <f>+SUM(D32:D33)</f>
        <v>24000</v>
      </c>
      <c r="E34" s="454"/>
      <c r="F34" s="454"/>
      <c r="G34" s="455"/>
    </row>
  </sheetData>
  <mergeCells count="6">
    <mergeCell ref="E30:G31"/>
    <mergeCell ref="E32:G34"/>
    <mergeCell ref="C7:E7"/>
    <mergeCell ref="C8:E8"/>
    <mergeCell ref="D25:F26"/>
    <mergeCell ref="D27:F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EXEMPLO DEPRECIAÇÃO</vt:lpstr>
      <vt:lpstr>EXEMPLO COMÉRCIO DE LIVROS</vt:lpstr>
      <vt:lpstr>Aerotreiteur</vt:lpstr>
      <vt:lpstr>Gallatin</vt:lpstr>
      <vt:lpstr>DENTON COMPANY</vt:lpstr>
      <vt:lpstr>STARFAX</vt:lpstr>
      <vt:lpstr>OKI PRODUCTS</vt:lpstr>
      <vt:lpstr>MILDEN CONPANY</vt:lpstr>
      <vt:lpstr>CONFECÇÕES ANDRADE</vt:lpstr>
      <vt:lpstr>EXERCÍCIO 18.5 - MARTINS</vt:lpstr>
      <vt:lpstr>MOVELAR</vt:lpstr>
      <vt:lpstr>TURIASSU - PARTE 1</vt:lpstr>
      <vt:lpstr>TURIASSU - PARTE 2</vt:lpstr>
      <vt:lpstr>BENDIX</vt:lpstr>
      <vt:lpstr>DITKA</vt:lpstr>
      <vt:lpstr>POLASKY</vt:lpstr>
      <vt:lpstr>WALTON TOY</vt:lpstr>
      <vt:lpstr>MARIA LORENZI</vt:lpstr>
      <vt:lpstr>SOFTWARE SOLUTION</vt:lpstr>
      <vt:lpstr>UBERIN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Roni Cleber Bonizio</cp:lastModifiedBy>
  <dcterms:created xsi:type="dcterms:W3CDTF">2018-02-28T22:13:52Z</dcterms:created>
  <dcterms:modified xsi:type="dcterms:W3CDTF">2018-06-20T23:17:10Z</dcterms:modified>
</cp:coreProperties>
</file>