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las PHA 3411\2018\"/>
    </mc:Choice>
  </mc:AlternateContent>
  <xr:revisionPtr revIDLastSave="0" documentId="13_ncr:1_{201966B3-2486-4812-AAD5-C976FFB2981E}" xr6:coauthVersionLast="32" xr6:coauthVersionMax="32" xr10:uidLastSave="{00000000-0000-0000-0000-000000000000}"/>
  <bookViews>
    <workbookView xWindow="360" yWindow="30" windowWidth="19440" windowHeight="10155" xr2:uid="{00000000-000D-0000-FFFF-FFFF00000000}"/>
  </bookViews>
  <sheets>
    <sheet name="Cálculos" sheetId="1" r:id="rId1"/>
    <sheet name="Gráficos distribuição" sheetId="2" r:id="rId2"/>
    <sheet name="Plan3" sheetId="3" r:id="rId3"/>
  </sheets>
  <definedNames>
    <definedName name="solver_adj" localSheetId="0" hidden="1">Cálculos!$D$54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Cálculos!$D$54</definedName>
    <definedName name="solver_lhs2" localSheetId="0" hidden="1">Cálculos!$D$54</definedName>
    <definedName name="solver_lhs3" localSheetId="0" hidden="1">Cálculos!$F$54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Cálculos!$F$54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hs1" localSheetId="0" hidden="1">1</definedName>
    <definedName name="solver_rhs2" localSheetId="0" hidden="1">0</definedName>
    <definedName name="solver_rhs3" localSheetId="0" hidden="1">Cálculos!$H$54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9017"/>
</workbook>
</file>

<file path=xl/calcChain.xml><?xml version="1.0" encoding="utf-8"?>
<calcChain xmlns="http://schemas.openxmlformats.org/spreadsheetml/2006/main">
  <c r="C14" i="1" l="1"/>
  <c r="C25" i="1"/>
  <c r="C26" i="1"/>
  <c r="C15" i="1"/>
  <c r="I70" i="1" l="1"/>
  <c r="J66" i="1" l="1"/>
  <c r="J67" i="1"/>
  <c r="J68" i="1"/>
  <c r="J69" i="1"/>
  <c r="J70" i="1"/>
  <c r="I66" i="1"/>
  <c r="J55" i="1"/>
  <c r="J56" i="1"/>
  <c r="J57" i="1"/>
  <c r="J58" i="1"/>
  <c r="J54" i="1"/>
  <c r="C36" i="1"/>
  <c r="C67" i="1"/>
  <c r="I67" i="1" s="1"/>
  <c r="C68" i="1"/>
  <c r="I68" i="1" s="1"/>
  <c r="C69" i="1"/>
  <c r="I69" i="1" s="1"/>
  <c r="C66" i="1"/>
  <c r="C55" i="1"/>
  <c r="I55" i="1" s="1"/>
  <c r="C56" i="1"/>
  <c r="I56" i="1" s="1"/>
  <c r="C57" i="1"/>
  <c r="I57" i="1" s="1"/>
  <c r="C58" i="1"/>
  <c r="I58" i="1" s="1"/>
  <c r="C54" i="1"/>
  <c r="I54" i="1" s="1"/>
  <c r="A26" i="2"/>
  <c r="A27" i="2"/>
  <c r="A7" i="2"/>
  <c r="A8" i="2"/>
  <c r="A6" i="2"/>
  <c r="C35" i="1"/>
  <c r="E54" i="1" l="1"/>
  <c r="F54" i="1" s="1"/>
  <c r="E66" i="1"/>
  <c r="F66" i="1" s="1"/>
  <c r="E67" i="1"/>
  <c r="B42" i="1"/>
  <c r="B43" i="1"/>
  <c r="C43" i="1" s="1"/>
  <c r="D43" i="1" s="1"/>
  <c r="C42" i="1"/>
  <c r="D42" i="1" s="1"/>
  <c r="E70" i="1"/>
  <c r="F70" i="1" s="1"/>
  <c r="E57" i="1"/>
  <c r="F57" i="1" s="1"/>
  <c r="E55" i="1"/>
  <c r="F55" i="1" s="1"/>
  <c r="E69" i="1"/>
  <c r="F69" i="1" s="1"/>
  <c r="F67" i="1"/>
  <c r="E58" i="1"/>
  <c r="F58" i="1" s="1"/>
  <c r="E56" i="1"/>
  <c r="F56" i="1" s="1"/>
  <c r="E68" i="1"/>
  <c r="F68" i="1" s="1"/>
  <c r="I71" i="1"/>
  <c r="J71" i="1" s="1"/>
  <c r="I59" i="1"/>
  <c r="J59" i="1" s="1"/>
  <c r="A28" i="2"/>
  <c r="E45" i="1" l="1"/>
  <c r="G66" i="1" s="1"/>
  <c r="H66" i="1" l="1"/>
  <c r="G54" i="1"/>
  <c r="H54" i="1" s="1"/>
  <c r="G57" i="1"/>
  <c r="H57" i="1" s="1"/>
  <c r="G69" i="1"/>
  <c r="H69" i="1" s="1"/>
  <c r="G55" i="1"/>
  <c r="H55" i="1" s="1"/>
  <c r="G67" i="1"/>
  <c r="H67" i="1" s="1"/>
  <c r="G58" i="1"/>
  <c r="H58" i="1" s="1"/>
  <c r="G56" i="1"/>
  <c r="H56" i="1" s="1"/>
  <c r="G70" i="1"/>
  <c r="H70" i="1" s="1"/>
  <c r="G68" i="1"/>
  <c r="H68" i="1" s="1"/>
</calcChain>
</file>

<file path=xl/sharedStrings.xml><?xml version="1.0" encoding="utf-8"?>
<sst xmlns="http://schemas.openxmlformats.org/spreadsheetml/2006/main" count="87" uniqueCount="52">
  <si>
    <t>Cálculo de lavagem de filtros de meio granular</t>
  </si>
  <si>
    <t>Dados de entrada:</t>
  </si>
  <si>
    <t>Areia:</t>
  </si>
  <si>
    <t>mm</t>
  </si>
  <si>
    <t>Uniformidade</t>
  </si>
  <si>
    <r>
      <t>Esfericidade (</t>
    </r>
    <r>
      <rPr>
        <sz val="11"/>
        <color theme="1"/>
        <rFont val="Symbol"/>
        <family val="1"/>
        <charset val="2"/>
      </rPr>
      <t>y</t>
    </r>
    <r>
      <rPr>
        <sz val="11"/>
        <color theme="1"/>
        <rFont val="Calibri"/>
        <family val="2"/>
        <scheme val="minor"/>
      </rPr>
      <t>)</t>
    </r>
  </si>
  <si>
    <r>
      <t>Massa específica (</t>
    </r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s)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</si>
  <si>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</si>
  <si>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Porosidade (e)</t>
  </si>
  <si>
    <t>Antracito:</t>
  </si>
  <si>
    <t>Água:</t>
  </si>
  <si>
    <t>Temperatura</t>
  </si>
  <si>
    <t>°C</t>
  </si>
  <si>
    <r>
      <t>Massa específica (</t>
    </r>
    <r>
      <rPr>
        <sz val="11"/>
        <color theme="1"/>
        <rFont val="Symbol"/>
        <family val="1"/>
        <charset val="2"/>
      </rPr>
      <t>r</t>
    </r>
    <r>
      <rPr>
        <sz val="11"/>
        <color theme="1"/>
        <rFont val="Calibri"/>
        <family val="2"/>
        <scheme val="minor"/>
      </rPr>
      <t>)</t>
    </r>
  </si>
  <si>
    <t>Pa.s</t>
  </si>
  <si>
    <r>
      <t>Viscosidade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)</t>
    </r>
  </si>
  <si>
    <r>
      <t>d</t>
    </r>
    <r>
      <rPr>
        <vertAlign val="subscript"/>
        <sz val="11"/>
        <color theme="1"/>
        <rFont val="Calibri"/>
        <family val="2"/>
        <scheme val="minor"/>
      </rPr>
      <t>60</t>
    </r>
  </si>
  <si>
    <r>
      <t>d</t>
    </r>
    <r>
      <rPr>
        <vertAlign val="subscript"/>
        <sz val="11"/>
        <color theme="1"/>
        <rFont val="Calibri"/>
        <family val="2"/>
        <scheme val="minor"/>
      </rPr>
      <t>90</t>
    </r>
  </si>
  <si>
    <t>Fração</t>
  </si>
  <si>
    <t>Diâmetro (mm)</t>
  </si>
  <si>
    <t>Distribuição Granulométrica</t>
  </si>
  <si>
    <t>Antracito</t>
  </si>
  <si>
    <t>Equações</t>
  </si>
  <si>
    <t>Espessura do leito</t>
  </si>
  <si>
    <t>m</t>
  </si>
  <si>
    <t>Areia</t>
  </si>
  <si>
    <t>m/h</t>
  </si>
  <si>
    <t>Meio filtrante</t>
  </si>
  <si>
    <t>Ga</t>
  </si>
  <si>
    <t>Velocidade de lavagem a ser adotada</t>
  </si>
  <si>
    <t>Cálculo da expansão do leito:</t>
  </si>
  <si>
    <t>Diâmetro médio (mm)</t>
  </si>
  <si>
    <t>Espessura (m)</t>
  </si>
  <si>
    <t>Porosidade expandida</t>
  </si>
  <si>
    <t>Expansão</t>
  </si>
  <si>
    <t>%</t>
  </si>
  <si>
    <t>Fração (%)</t>
  </si>
  <si>
    <t>Total</t>
  </si>
  <si>
    <t>Professor José Carlos Mierzwa</t>
  </si>
  <si>
    <t>Departamento de Engenharia Hidráulica e Ambiental</t>
  </si>
  <si>
    <t>Escola Politécnica da USP</t>
  </si>
  <si>
    <r>
      <t>Para Re</t>
    </r>
    <r>
      <rPr>
        <vertAlign val="subscript"/>
        <sz val="11"/>
        <color theme="1"/>
        <rFont val="Cambria"/>
        <family val="1"/>
        <scheme val="major"/>
      </rPr>
      <t>f</t>
    </r>
    <r>
      <rPr>
        <sz val="11"/>
        <color theme="1"/>
        <rFont val="Calibri"/>
        <family val="2"/>
        <scheme val="minor"/>
      </rPr>
      <t xml:space="preserve"> &lt; 0,2:</t>
    </r>
  </si>
  <si>
    <r>
      <t>Para Re</t>
    </r>
    <r>
      <rPr>
        <vertAlign val="subscript"/>
        <sz val="11"/>
        <color theme="1"/>
        <rFont val="Cambria"/>
        <family val="1"/>
        <scheme val="major"/>
      </rPr>
      <t>f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0,2:</t>
    </r>
  </si>
  <si>
    <r>
      <t>Cálculo da velocidade mínima de fluidização e de lavagem (d</t>
    </r>
    <r>
      <rPr>
        <vertAlign val="subscript"/>
        <sz val="11"/>
        <color theme="1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>):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</si>
  <si>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mf </t>
    </r>
    <r>
      <rPr>
        <sz val="11"/>
        <color theme="1"/>
        <rFont val="Calibri"/>
        <family val="2"/>
        <scheme val="minor"/>
      </rPr>
      <t>(m/h)</t>
    </r>
  </si>
  <si>
    <r>
      <t>v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(m/h)</t>
    </r>
  </si>
  <si>
    <r>
      <t>Re</t>
    </r>
    <r>
      <rPr>
        <vertAlign val="subscript"/>
        <sz val="11"/>
        <color theme="1"/>
        <rFont val="Calibri"/>
        <family val="2"/>
        <scheme val="minor"/>
      </rPr>
      <t>f</t>
    </r>
  </si>
  <si>
    <r>
      <t>Tamanho efetivo (d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</si>
  <si>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t>f</t>
  </si>
  <si>
    <r>
      <t xml:space="preserve">Verificação de </t>
    </r>
    <r>
      <rPr>
        <sz val="11"/>
        <color theme="1"/>
        <rFont val="Symbol"/>
        <family val="1"/>
        <charset val="2"/>
      </rPr>
      <t>f</t>
    </r>
  </si>
  <si>
    <t>Observação: Para solucionar as equações utilizar o solver, para cada uma das células (Se não estiver habilitado, habilitar). As células destino são F54 a F58 e F66 a F70 e as células variáveis são as D54 a D58 e D66 a D70. Sujeitas às seguintes restrições $D54 a $D58 e $D66 a $D70 entre 0 e 1 e $F54 a $F58 igual a $H54 a $H58 e $F66 a $F70 igual a $H$66 a $H$70.</t>
  </si>
  <si>
    <r>
      <t>l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</si>
</sst>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mbria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1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/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/>
    <xf numFmtId="0" fontId="9" fillId="2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Protection="1"/>
    <xf numFmtId="2" fontId="9" fillId="3" borderId="1" xfId="0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166" fontId="9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Protection="1"/>
    <xf numFmtId="4" fontId="9" fillId="0" borderId="1" xfId="0" applyNumberFormat="1" applyFont="1" applyBorder="1" applyAlignment="1" applyProtection="1">
      <alignment horizontal="center"/>
    </xf>
    <xf numFmtId="166" fontId="9" fillId="0" borderId="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0" xfId="0" applyFont="1"/>
    <xf numFmtId="2" fontId="9" fillId="0" borderId="1" xfId="0" applyNumberFormat="1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2" fontId="9" fillId="2" borderId="2" xfId="0" applyNumberFormat="1" applyFont="1" applyFill="1" applyBorder="1" applyAlignment="1" applyProtection="1">
      <alignment horizontal="center"/>
      <protection locked="0"/>
    </xf>
    <xf numFmtId="2" fontId="9" fillId="2" borderId="3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'Gráficos distribuição'!$B$5</c:f>
              <c:strCache>
                <c:ptCount val="1"/>
                <c:pt idx="0">
                  <c:v>Fração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33994466316710409"/>
                  <c:y val="-4.7462817147856518E-4"/>
                </c:manualLayout>
              </c:layout>
              <c:numFmt formatCode="General" sourceLinked="0"/>
            </c:trendlineLbl>
          </c:trendline>
          <c:xVal>
            <c:numRef>
              <c:f>'Gráficos distribuição'!$A$6:$A$8</c:f>
              <c:numCache>
                <c:formatCode>0.000</c:formatCode>
                <c:ptCount val="3"/>
                <c:pt idx="0">
                  <c:v>0.5</c:v>
                </c:pt>
                <c:pt idx="1">
                  <c:v>0.6</c:v>
                </c:pt>
                <c:pt idx="2">
                  <c:v>0.67795783671325494</c:v>
                </c:pt>
              </c:numCache>
            </c:numRef>
          </c:xVal>
          <c:yVal>
            <c:numRef>
              <c:f>'Gráficos distribuição'!$B$6:$B$8</c:f>
              <c:numCache>
                <c:formatCode>General</c:formatCode>
                <c:ptCount val="3"/>
                <c:pt idx="0">
                  <c:v>0.1</c:v>
                </c:pt>
                <c:pt idx="1">
                  <c:v>0.6</c:v>
                </c:pt>
                <c:pt idx="2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61-454C-A76C-AD4A123D8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26848"/>
        <c:axId val="108928384"/>
      </c:scatterChart>
      <c:valAx>
        <c:axId val="108926848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diâmetro do material (mm)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108928384"/>
        <c:crossesAt val="0"/>
        <c:crossBetween val="midCat"/>
        <c:majorUnit val="2.0000000000000004E-2"/>
      </c:valAx>
      <c:valAx>
        <c:axId val="10892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Fração em massa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926848"/>
        <c:crossesAt val="0.1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'Gráficos distribuição'!$B$25</c:f>
              <c:strCache>
                <c:ptCount val="1"/>
                <c:pt idx="0">
                  <c:v>Fração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3071434820647419"/>
                  <c:y val="8.79629629629629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'Gráficos distribuição'!$A$26:$A$28</c:f>
              <c:numCache>
                <c:formatCode>0.00</c:formatCode>
                <c:ptCount val="3"/>
                <c:pt idx="0">
                  <c:v>0.85</c:v>
                </c:pt>
                <c:pt idx="1">
                  <c:v>1.19</c:v>
                </c:pt>
                <c:pt idx="2">
                  <c:v>1.4909145232369003</c:v>
                </c:pt>
              </c:numCache>
            </c:numRef>
          </c:xVal>
          <c:yVal>
            <c:numRef>
              <c:f>'Gráficos distribuição'!$B$26:$B$28</c:f>
              <c:numCache>
                <c:formatCode>General</c:formatCode>
                <c:ptCount val="3"/>
                <c:pt idx="0">
                  <c:v>0.1</c:v>
                </c:pt>
                <c:pt idx="1">
                  <c:v>0.6</c:v>
                </c:pt>
                <c:pt idx="2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61-4458-8C0D-35D0D80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346456"/>
        <c:axId val="489347112"/>
      </c:scatterChart>
      <c:valAx>
        <c:axId val="489346456"/>
        <c:scaling>
          <c:orientation val="minMax"/>
          <c:min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diâmetro do material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347112"/>
        <c:crosses val="autoZero"/>
        <c:crossBetween val="midCat"/>
        <c:majorUnit val="5.000000000000001E-2"/>
      </c:valAx>
      <c:valAx>
        <c:axId val="48934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Fração em massa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346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171450</xdr:rowOff>
        </xdr:from>
        <xdr:to>
          <xdr:col>12</xdr:col>
          <xdr:colOff>276225</xdr:colOff>
          <xdr:row>13</xdr:row>
          <xdr:rowOff>219075</xdr:rowOff>
        </xdr:to>
        <xdr:sp macro="" textlink="">
          <xdr:nvSpPr>
            <xdr:cNvPr id="1025" name="Objeto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209550</xdr:rowOff>
        </xdr:from>
        <xdr:to>
          <xdr:col>8</xdr:col>
          <xdr:colOff>514350</xdr:colOff>
          <xdr:row>18</xdr:row>
          <xdr:rowOff>0</xdr:rowOff>
        </xdr:to>
        <xdr:sp macro="" textlink="">
          <xdr:nvSpPr>
            <xdr:cNvPr id="1026" name="Objeto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133350</xdr:rowOff>
        </xdr:from>
        <xdr:to>
          <xdr:col>8</xdr:col>
          <xdr:colOff>123825</xdr:colOff>
          <xdr:row>22</xdr:row>
          <xdr:rowOff>123825</xdr:rowOff>
        </xdr:to>
        <xdr:sp macro="" textlink="">
          <xdr:nvSpPr>
            <xdr:cNvPr id="1027" name="Objeto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104775</xdr:rowOff>
        </xdr:from>
        <xdr:to>
          <xdr:col>9</xdr:col>
          <xdr:colOff>581025</xdr:colOff>
          <xdr:row>26</xdr:row>
          <xdr:rowOff>142875</xdr:rowOff>
        </xdr:to>
        <xdr:sp macro="" textlink="">
          <xdr:nvSpPr>
            <xdr:cNvPr id="1028" name="Objeto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28575</xdr:rowOff>
        </xdr:from>
        <xdr:to>
          <xdr:col>8</xdr:col>
          <xdr:colOff>171450</xdr:colOff>
          <xdr:row>31</xdr:row>
          <xdr:rowOff>38100</xdr:rowOff>
        </xdr:to>
        <xdr:sp macro="" textlink="">
          <xdr:nvSpPr>
            <xdr:cNvPr id="1029" name="Objeto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152400</xdr:rowOff>
        </xdr:from>
        <xdr:to>
          <xdr:col>20</xdr:col>
          <xdr:colOff>476250</xdr:colOff>
          <xdr:row>37</xdr:row>
          <xdr:rowOff>57150</xdr:rowOff>
        </xdr:to>
        <xdr:sp macro="" textlink="">
          <xdr:nvSpPr>
            <xdr:cNvPr id="1030" name="Objeto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57150</xdr:rowOff>
        </xdr:from>
        <xdr:to>
          <xdr:col>8</xdr:col>
          <xdr:colOff>171450</xdr:colOff>
          <xdr:row>40</xdr:row>
          <xdr:rowOff>304800</xdr:rowOff>
        </xdr:to>
        <xdr:sp macro="" textlink="">
          <xdr:nvSpPr>
            <xdr:cNvPr id="1031" name="Objeto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19050</xdr:rowOff>
    </xdr:from>
    <xdr:to>
      <xdr:col>10</xdr:col>
      <xdr:colOff>314325</xdr:colOff>
      <xdr:row>18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21</xdr:row>
      <xdr:rowOff>95250</xdr:rowOff>
    </xdr:from>
    <xdr:to>
      <xdr:col>10</xdr:col>
      <xdr:colOff>342900</xdr:colOff>
      <xdr:row>35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topLeftCell="A44" workbookViewId="0">
      <selection activeCell="M63" sqref="M63"/>
    </sheetView>
  </sheetViews>
  <sheetFormatPr defaultRowHeight="15" x14ac:dyDescent="0.25"/>
  <cols>
    <col min="1" max="1" width="10.5703125" style="10" customWidth="1"/>
    <col min="2" max="2" width="11.85546875" style="10" customWidth="1"/>
    <col min="3" max="3" width="10.28515625" style="10" customWidth="1"/>
    <col min="4" max="4" width="11.7109375" style="10" customWidth="1"/>
    <col min="5" max="5" width="9.140625" style="10"/>
    <col min="6" max="6" width="9.28515625" style="10" customWidth="1"/>
    <col min="7" max="7" width="7.85546875" style="10" customWidth="1"/>
    <col min="8" max="8" width="12.7109375" style="10" customWidth="1"/>
    <col min="9" max="9" width="9" style="10" customWidth="1"/>
    <col min="10" max="10" width="9.85546875" style="10" customWidth="1"/>
    <col min="11" max="16384" width="9.140625" style="10"/>
  </cols>
  <sheetData>
    <row r="1" spans="1:18" x14ac:dyDescent="0.25">
      <c r="A1" s="8" t="s">
        <v>0</v>
      </c>
      <c r="B1" s="9"/>
      <c r="C1" s="9"/>
      <c r="D1" s="9"/>
      <c r="E1" s="9"/>
      <c r="F1" s="9"/>
    </row>
    <row r="2" spans="1:18" ht="15.75" thickBot="1" x14ac:dyDescent="0.3">
      <c r="A2" s="8"/>
      <c r="B2" s="9"/>
      <c r="C2" s="9"/>
      <c r="D2" s="9"/>
      <c r="E2" s="9"/>
      <c r="F2" s="9"/>
    </row>
    <row r="3" spans="1:18" x14ac:dyDescent="0.25">
      <c r="A3" s="11" t="s">
        <v>38</v>
      </c>
      <c r="B3" s="12"/>
      <c r="C3" s="12"/>
      <c r="D3" s="12"/>
      <c r="E3" s="13"/>
      <c r="F3" s="9"/>
    </row>
    <row r="4" spans="1:18" x14ac:dyDescent="0.25">
      <c r="A4" s="14" t="s">
        <v>39</v>
      </c>
      <c r="B4" s="15"/>
      <c r="C4" s="15"/>
      <c r="D4" s="15"/>
      <c r="E4" s="16"/>
      <c r="F4" s="9"/>
    </row>
    <row r="5" spans="1:18" ht="15.75" thickBot="1" x14ac:dyDescent="0.3">
      <c r="A5" s="17" t="s">
        <v>40</v>
      </c>
      <c r="B5" s="18"/>
      <c r="C5" s="18"/>
      <c r="D5" s="18"/>
      <c r="E5" s="19"/>
      <c r="F5" s="9"/>
    </row>
    <row r="6" spans="1:18" x14ac:dyDescent="0.25">
      <c r="A6" s="9"/>
      <c r="B6" s="9"/>
      <c r="C6" s="9"/>
      <c r="D6" s="9"/>
      <c r="E6" s="9"/>
      <c r="F6" s="9"/>
    </row>
    <row r="7" spans="1:18" x14ac:dyDescent="0.25">
      <c r="A7" s="9"/>
      <c r="B7" s="9"/>
      <c r="C7" s="9"/>
      <c r="D7" s="9"/>
      <c r="E7" s="9"/>
      <c r="F7" s="9"/>
    </row>
    <row r="8" spans="1:18" x14ac:dyDescent="0.25">
      <c r="A8" s="8" t="s">
        <v>1</v>
      </c>
      <c r="B8" s="9"/>
      <c r="C8" s="9"/>
      <c r="D8" s="9"/>
      <c r="E8" s="9"/>
      <c r="F8" s="9"/>
      <c r="G8" s="8" t="s">
        <v>22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20" t="s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2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48" t="s">
        <v>4</v>
      </c>
      <c r="B12" s="48"/>
      <c r="C12" s="59">
        <v>1.2</v>
      </c>
      <c r="D12" s="6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8" x14ac:dyDescent="0.35">
      <c r="A13" s="48" t="s">
        <v>47</v>
      </c>
      <c r="B13" s="48"/>
      <c r="C13" s="22">
        <v>0.5</v>
      </c>
      <c r="D13" s="23" t="s">
        <v>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8" x14ac:dyDescent="0.35">
      <c r="A14" s="48" t="s">
        <v>16</v>
      </c>
      <c r="B14" s="48"/>
      <c r="C14" s="24">
        <f>$C$13*$C$12</f>
        <v>0.6</v>
      </c>
      <c r="D14" s="23" t="s">
        <v>3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8" x14ac:dyDescent="0.35">
      <c r="A15" s="48" t="s">
        <v>17</v>
      </c>
      <c r="B15" s="48"/>
      <c r="C15" s="24">
        <f>$C$13*$C$12^1.67</f>
        <v>0.67795783671325494</v>
      </c>
      <c r="D15" s="23" t="s">
        <v>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A16" s="48" t="s">
        <v>5</v>
      </c>
      <c r="B16" s="48"/>
      <c r="C16" s="61">
        <v>0.73</v>
      </c>
      <c r="D16" s="62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7.25" x14ac:dyDescent="0.25">
      <c r="A17" s="48" t="s">
        <v>6</v>
      </c>
      <c r="B17" s="48"/>
      <c r="C17" s="22">
        <v>2650</v>
      </c>
      <c r="D17" s="23" t="s">
        <v>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A18" s="25" t="s">
        <v>8</v>
      </c>
      <c r="B18" s="25"/>
      <c r="C18" s="61">
        <v>0.53</v>
      </c>
      <c r="D18" s="6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5">
      <c r="A19" s="48" t="s">
        <v>23</v>
      </c>
      <c r="B19" s="48"/>
      <c r="C19" s="24">
        <v>0.3</v>
      </c>
      <c r="D19" s="26" t="s">
        <v>24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5"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s="20" t="s">
        <v>9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25">
      <c r="A22" s="2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5">
      <c r="A23" s="48" t="s">
        <v>4</v>
      </c>
      <c r="B23" s="48"/>
      <c r="C23" s="59">
        <v>1.4</v>
      </c>
      <c r="D23" s="6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8" x14ac:dyDescent="0.35">
      <c r="A24" s="48" t="s">
        <v>47</v>
      </c>
      <c r="B24" s="48"/>
      <c r="C24" s="22">
        <v>0.85</v>
      </c>
      <c r="D24" s="23" t="s">
        <v>3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8" x14ac:dyDescent="0.35">
      <c r="A25" s="48" t="s">
        <v>16</v>
      </c>
      <c r="B25" s="48"/>
      <c r="C25" s="24">
        <f>$C$24*$C$23</f>
        <v>1.19</v>
      </c>
      <c r="D25" s="23" t="s">
        <v>3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8" x14ac:dyDescent="0.35">
      <c r="A26" s="48" t="s">
        <v>17</v>
      </c>
      <c r="B26" s="48"/>
      <c r="C26" s="24">
        <f>$C$24*$C$23^1.67</f>
        <v>1.4909145232369003</v>
      </c>
      <c r="D26" s="23" t="s">
        <v>3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5">
      <c r="A27" s="48" t="s">
        <v>5</v>
      </c>
      <c r="B27" s="48"/>
      <c r="C27" s="59">
        <v>0.72</v>
      </c>
      <c r="D27" s="6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8" x14ac:dyDescent="0.3">
      <c r="A28" s="48" t="s">
        <v>6</v>
      </c>
      <c r="B28" s="48"/>
      <c r="C28" s="22">
        <v>1500</v>
      </c>
      <c r="D28" s="23" t="s">
        <v>7</v>
      </c>
      <c r="G28" s="8" t="s">
        <v>41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5">
      <c r="A29" s="25" t="s">
        <v>8</v>
      </c>
      <c r="B29" s="25"/>
      <c r="C29" s="59">
        <v>0.55000000000000004</v>
      </c>
      <c r="D29" s="6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5">
      <c r="A30" s="48" t="s">
        <v>23</v>
      </c>
      <c r="B30" s="48"/>
      <c r="C30" s="24">
        <v>0.5</v>
      </c>
      <c r="D30" s="26" t="s">
        <v>24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5"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5">
      <c r="A32" s="21" t="s">
        <v>10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7.25" x14ac:dyDescent="0.3">
      <c r="G33" s="8" t="s">
        <v>42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5">
      <c r="A34" s="49" t="s">
        <v>11</v>
      </c>
      <c r="B34" s="49"/>
      <c r="C34" s="22">
        <v>25</v>
      </c>
      <c r="D34" s="27" t="s">
        <v>12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7.25" x14ac:dyDescent="0.25">
      <c r="A35" s="49" t="s">
        <v>13</v>
      </c>
      <c r="B35" s="49"/>
      <c r="C35" s="28">
        <f>-0.0073*$C$34^2+0.0594*$C$34+999.85</f>
        <v>996.77250000000004</v>
      </c>
      <c r="D35" s="27" t="s">
        <v>7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49" t="s">
        <v>15</v>
      </c>
      <c r="B36" s="49"/>
      <c r="C36" s="29">
        <f>0.00000000003041*$C$34^4-0.000000008677*$C$34^3+0.0000009658*$C$34^2-0.00005532*$C$34+0.001793</f>
        <v>8.899257812500002E-4</v>
      </c>
      <c r="D36" s="27" t="s">
        <v>14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5"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9" spans="1:18" ht="18" x14ac:dyDescent="0.35">
      <c r="A39" s="8" t="s">
        <v>43</v>
      </c>
      <c r="B39" s="9"/>
      <c r="C39" s="9"/>
      <c r="D39" s="9"/>
    </row>
    <row r="40" spans="1:18" x14ac:dyDescent="0.25">
      <c r="A40" s="9"/>
      <c r="B40" s="9"/>
      <c r="C40" s="9"/>
      <c r="D40" s="9"/>
    </row>
    <row r="41" spans="1:18" ht="30" x14ac:dyDescent="0.25">
      <c r="A41" s="30" t="s">
        <v>27</v>
      </c>
      <c r="B41" s="31" t="s">
        <v>28</v>
      </c>
      <c r="C41" s="31" t="s">
        <v>44</v>
      </c>
      <c r="D41" s="31" t="s">
        <v>45</v>
      </c>
    </row>
    <row r="42" spans="1:18" x14ac:dyDescent="0.25">
      <c r="A42" s="32" t="s">
        <v>25</v>
      </c>
      <c r="B42" s="33">
        <f>(($C$15/1000)^3*$C$35*($C$17-$C$35)*9.81)/$C$36^2</f>
        <v>6360.6010202123935</v>
      </c>
      <c r="C42" s="34">
        <f>3600*($C$36*((1133.9+0.0408*$B42)^(1/2)-33.7)/($C$35*($C$15/1000)))</f>
        <v>17.201948560766333</v>
      </c>
      <c r="D42" s="34">
        <f>2*C42</f>
        <v>34.403897121532665</v>
      </c>
    </row>
    <row r="43" spans="1:18" x14ac:dyDescent="0.25">
      <c r="A43" s="32" t="s">
        <v>21</v>
      </c>
      <c r="B43" s="33">
        <f>(($C$26/1000)^3*$C$35*($C$28-$C$35)*9.81)/$C$36^2</f>
        <v>20591.12523776371</v>
      </c>
      <c r="C43" s="34">
        <f>3600*($C$36*((1133.9+0.0408*$B43)^(1/2)-33.7)/($C$35*($C$26/1000)))</f>
        <v>23.131512676185334</v>
      </c>
      <c r="D43" s="34">
        <f>2*C43</f>
        <v>46.263025352370668</v>
      </c>
    </row>
    <row r="45" spans="1:18" x14ac:dyDescent="0.25">
      <c r="A45" s="63" t="s">
        <v>29</v>
      </c>
      <c r="B45" s="63"/>
      <c r="C45" s="63"/>
      <c r="D45" s="63"/>
      <c r="E45" s="35">
        <f>MAX(D42:D43)</f>
        <v>46.263025352370668</v>
      </c>
      <c r="F45" s="36" t="s">
        <v>26</v>
      </c>
    </row>
    <row r="46" spans="1:18" ht="15.75" thickBot="1" x14ac:dyDescent="0.3"/>
    <row r="47" spans="1:18" ht="15" customHeight="1" x14ac:dyDescent="0.25">
      <c r="F47" s="50" t="s">
        <v>50</v>
      </c>
      <c r="G47" s="51"/>
      <c r="H47" s="51"/>
      <c r="I47" s="51"/>
      <c r="J47" s="51"/>
      <c r="K47" s="51"/>
      <c r="L47" s="51"/>
      <c r="M47" s="51"/>
      <c r="N47" s="52"/>
    </row>
    <row r="48" spans="1:18" ht="15" customHeight="1" x14ac:dyDescent="0.25">
      <c r="A48" s="37" t="s">
        <v>30</v>
      </c>
      <c r="F48" s="53"/>
      <c r="G48" s="54"/>
      <c r="H48" s="54"/>
      <c r="I48" s="54"/>
      <c r="J48" s="54"/>
      <c r="K48" s="54"/>
      <c r="L48" s="54"/>
      <c r="M48" s="54"/>
      <c r="N48" s="55"/>
    </row>
    <row r="49" spans="1:14" x14ac:dyDescent="0.25">
      <c r="F49" s="53"/>
      <c r="G49" s="54"/>
      <c r="H49" s="54"/>
      <c r="I49" s="54"/>
      <c r="J49" s="54"/>
      <c r="K49" s="54"/>
      <c r="L49" s="54"/>
      <c r="M49" s="54"/>
      <c r="N49" s="55"/>
    </row>
    <row r="50" spans="1:14" ht="15.75" thickBot="1" x14ac:dyDescent="0.3">
      <c r="A50" s="21" t="s">
        <v>2</v>
      </c>
      <c r="F50" s="56"/>
      <c r="G50" s="57"/>
      <c r="H50" s="57"/>
      <c r="I50" s="57"/>
      <c r="J50" s="57"/>
      <c r="K50" s="57"/>
      <c r="L50" s="57"/>
      <c r="M50" s="57"/>
      <c r="N50" s="58"/>
    </row>
    <row r="52" spans="1:14" ht="14.25" customHeight="1" x14ac:dyDescent="0.25">
      <c r="A52" s="42" t="s">
        <v>36</v>
      </c>
      <c r="B52" s="43" t="s">
        <v>31</v>
      </c>
      <c r="C52" s="44" t="s">
        <v>32</v>
      </c>
      <c r="D52" s="45" t="s">
        <v>33</v>
      </c>
      <c r="E52" s="46" t="s">
        <v>28</v>
      </c>
      <c r="F52" s="47" t="s">
        <v>48</v>
      </c>
      <c r="G52" s="46" t="s">
        <v>46</v>
      </c>
      <c r="H52" s="44" t="s">
        <v>49</v>
      </c>
      <c r="I52" s="41" t="s">
        <v>34</v>
      </c>
      <c r="J52" s="41"/>
    </row>
    <row r="53" spans="1:14" ht="18" x14ac:dyDescent="0.35">
      <c r="A53" s="42"/>
      <c r="B53" s="43"/>
      <c r="C53" s="44"/>
      <c r="D53" s="45"/>
      <c r="E53" s="46"/>
      <c r="F53" s="47"/>
      <c r="G53" s="46"/>
      <c r="H53" s="44"/>
      <c r="I53" s="36" t="s">
        <v>51</v>
      </c>
      <c r="J53" s="36" t="s">
        <v>35</v>
      </c>
    </row>
    <row r="54" spans="1:14" x14ac:dyDescent="0.25">
      <c r="A54" s="22">
        <v>20</v>
      </c>
      <c r="B54" s="24">
        <v>0.5</v>
      </c>
      <c r="C54" s="38">
        <f>$C$19*(A54/100)</f>
        <v>0.06</v>
      </c>
      <c r="D54" s="24">
        <v>0.64606789272402232</v>
      </c>
      <c r="E54" s="33">
        <f>(($B54/1000)^3*$C$35*($C$17-$C$35)*9.81)/$C$36^2</f>
        <v>2551.5266680626482</v>
      </c>
      <c r="F54" s="34">
        <f>(D54^3/(1-D54)^2)*E54*($C$16^3/36)</f>
        <v>59.355469393220723</v>
      </c>
      <c r="G54" s="38">
        <f>($C$35*($E$45/3600)*$C$16*(B54/1000))/(6*$C$36*(1-D54))</f>
        <v>2.47397576249366</v>
      </c>
      <c r="H54" s="34">
        <f>IF(G54&lt;0.2,(18.1*G54),(6*POWER(10,(0.56543+1.09348*(LOG10(G54))+0.17979*(LOG10(G54))^2-0.00392*(LOG10(G54))^4-1.5*(LOG10($C$16))^2))))</f>
        <v>59.355469526954252</v>
      </c>
      <c r="I54" s="39">
        <f>IF((((1-$C$18)/(1-D54))*C54)&lt;C54,C54,(((1-$C$18)/(1-D54))*C54))</f>
        <v>7.9676297855653763E-2</v>
      </c>
      <c r="J54" s="38">
        <f>IF((100*((D54-$C$18)/(1-D54)))&lt;0,0,(100*((D54-$C$18)/(1-D54))))</f>
        <v>32.793829759422941</v>
      </c>
    </row>
    <row r="55" spans="1:14" x14ac:dyDescent="0.25">
      <c r="A55" s="22">
        <v>20</v>
      </c>
      <c r="B55" s="24">
        <v>0.54</v>
      </c>
      <c r="C55" s="38">
        <f t="shared" ref="C55:C58" si="0">$C$19*(A55/100)</f>
        <v>0.06</v>
      </c>
      <c r="D55" s="24">
        <v>0.62615090729726119</v>
      </c>
      <c r="E55" s="33">
        <f t="shared" ref="E55:E58" si="1">(($B55/1000)^3*$C$35*($C$17-$C$35)*9.81)/$C$36^2</f>
        <v>3214.1887620785346</v>
      </c>
      <c r="F55" s="34">
        <f t="shared" ref="F55:F58" si="2">(D55^3/(1-D55)^2)*E55*($C$16^3/36)</f>
        <v>61.007304736898668</v>
      </c>
      <c r="G55" s="38">
        <f t="shared" ref="G55:G58" si="3">($C$35*($E$45/3600)*$C$16*(B55/1000))/(6*$C$36*(1-D55))</f>
        <v>2.5295474292311231</v>
      </c>
      <c r="H55" s="34">
        <f t="shared" ref="H55:H58" si="4">IF(G55&lt;0.2,(18.1*G55),(6*POWER(10,(0.56543+1.09348*(LOG10(G55))+0.17979*(LOG10(G55))^2-0.00392*(LOG10(G55))^4-1.5*(LOG10($C$16))^2))))</f>
        <v>61.007304914000173</v>
      </c>
      <c r="I55" s="39">
        <f>IF((((1-$C$18)/(1-D55))*C55)&lt;C55,C55,(((1-$C$18)/(1-D55))*C55))</f>
        <v>7.5431505787879105E-2</v>
      </c>
      <c r="J55" s="38">
        <f t="shared" ref="J55:J58" si="5">IF((100*((D55-$C$18)/(1-D55)))&lt;0,0,(100*((D55-$C$18)/(1-D55))))</f>
        <v>25.719176313131857</v>
      </c>
    </row>
    <row r="56" spans="1:14" x14ac:dyDescent="0.25">
      <c r="A56" s="22">
        <v>20</v>
      </c>
      <c r="B56" s="24">
        <v>0.57999999999999996</v>
      </c>
      <c r="C56" s="38">
        <f t="shared" si="0"/>
        <v>0.06</v>
      </c>
      <c r="D56" s="24">
        <v>0.6077808502805423</v>
      </c>
      <c r="E56" s="33">
        <f t="shared" si="1"/>
        <v>3982.6677700723153</v>
      </c>
      <c r="F56" s="34">
        <f t="shared" si="2"/>
        <v>62.809250144017575</v>
      </c>
      <c r="G56" s="38">
        <f t="shared" si="3"/>
        <v>2.5896710257279358</v>
      </c>
      <c r="H56" s="34">
        <f t="shared" si="4"/>
        <v>62.809250334121785</v>
      </c>
      <c r="I56" s="39">
        <f>IF((((1-$C$18)/(1-D56))*C56)&lt;C56,C56,(((1-$C$18)/(1-D56))*C56))</f>
        <v>7.1898580220192174E-2</v>
      </c>
      <c r="J56" s="38">
        <f t="shared" si="5"/>
        <v>19.830967033653639</v>
      </c>
    </row>
    <row r="57" spans="1:14" x14ac:dyDescent="0.25">
      <c r="A57" s="22">
        <v>20</v>
      </c>
      <c r="B57" s="24">
        <v>0.64</v>
      </c>
      <c r="C57" s="38">
        <f t="shared" si="0"/>
        <v>0.06</v>
      </c>
      <c r="D57" s="24">
        <v>0.58275984901499567</v>
      </c>
      <c r="E57" s="33">
        <f t="shared" si="1"/>
        <v>5350.9392549809199</v>
      </c>
      <c r="F57" s="34">
        <f t="shared" si="2"/>
        <v>65.734411464370069</v>
      </c>
      <c r="G57" s="38">
        <f t="shared" si="3"/>
        <v>2.6862057731368649</v>
      </c>
      <c r="H57" s="34">
        <f t="shared" si="4"/>
        <v>65.734411641906007</v>
      </c>
      <c r="I57" s="39">
        <f>IF((((1-$C$18)/(1-D57))*C57)&lt;C57,C57,(((1-$C$18)/(1-D57))*C57))</f>
        <v>6.7586975830170065E-2</v>
      </c>
      <c r="J57" s="38">
        <f t="shared" si="5"/>
        <v>12.644959716950115</v>
      </c>
    </row>
    <row r="58" spans="1:14" x14ac:dyDescent="0.25">
      <c r="A58" s="22">
        <v>20</v>
      </c>
      <c r="B58" s="24">
        <v>0.68</v>
      </c>
      <c r="C58" s="38">
        <f t="shared" si="0"/>
        <v>0.06</v>
      </c>
      <c r="D58" s="24">
        <v>0.5675586577237216</v>
      </c>
      <c r="E58" s="33">
        <f t="shared" si="1"/>
        <v>6418.2530663381976</v>
      </c>
      <c r="F58" s="34">
        <f t="shared" si="2"/>
        <v>67.804850373408442</v>
      </c>
      <c r="G58" s="38">
        <f t="shared" si="3"/>
        <v>2.753766447235602</v>
      </c>
      <c r="H58" s="34">
        <f t="shared" si="4"/>
        <v>67.804850532681385</v>
      </c>
      <c r="I58" s="39">
        <f>IF((((1-$C$18)/(1-D58))*C58)&lt;C58,C58,(((1-$C$18)/(1-D58))*C58))</f>
        <v>6.5211156388427727E-2</v>
      </c>
      <c r="J58" s="38">
        <f t="shared" si="5"/>
        <v>8.6852606473795646</v>
      </c>
    </row>
    <row r="59" spans="1:14" x14ac:dyDescent="0.25">
      <c r="A59" s="41" t="s">
        <v>37</v>
      </c>
      <c r="B59" s="41"/>
      <c r="C59" s="41"/>
      <c r="D59" s="41"/>
      <c r="E59" s="41"/>
      <c r="F59" s="41"/>
      <c r="G59" s="41"/>
      <c r="H59" s="41"/>
      <c r="I59" s="39">
        <f>SUM(I54:I58)</f>
        <v>0.35980451608232283</v>
      </c>
      <c r="J59" s="40">
        <f>100*(I59-$C$19)/$C$19</f>
        <v>19.934838694107615</v>
      </c>
    </row>
    <row r="62" spans="1:14" x14ac:dyDescent="0.25">
      <c r="A62" s="21" t="s">
        <v>9</v>
      </c>
    </row>
    <row r="64" spans="1:14" x14ac:dyDescent="0.25">
      <c r="A64" s="42" t="s">
        <v>36</v>
      </c>
      <c r="B64" s="43" t="s">
        <v>31</v>
      </c>
      <c r="C64" s="44" t="s">
        <v>32</v>
      </c>
      <c r="D64" s="45" t="s">
        <v>33</v>
      </c>
      <c r="E64" s="46" t="s">
        <v>28</v>
      </c>
      <c r="F64" s="47" t="s">
        <v>48</v>
      </c>
      <c r="G64" s="46" t="s">
        <v>46</v>
      </c>
      <c r="H64" s="44" t="s">
        <v>49</v>
      </c>
      <c r="I64" s="41" t="s">
        <v>34</v>
      </c>
      <c r="J64" s="41"/>
    </row>
    <row r="65" spans="1:10" ht="18" x14ac:dyDescent="0.35">
      <c r="A65" s="42"/>
      <c r="B65" s="43"/>
      <c r="C65" s="44"/>
      <c r="D65" s="45"/>
      <c r="E65" s="46"/>
      <c r="F65" s="47"/>
      <c r="G65" s="46"/>
      <c r="H65" s="44"/>
      <c r="I65" s="36" t="s">
        <v>51</v>
      </c>
      <c r="J65" s="36" t="s">
        <v>35</v>
      </c>
    </row>
    <row r="66" spans="1:10" x14ac:dyDescent="0.25">
      <c r="A66" s="22">
        <v>20</v>
      </c>
      <c r="B66" s="24">
        <v>0.85</v>
      </c>
      <c r="C66" s="38">
        <f>$C$30*(A66/100)</f>
        <v>0.1</v>
      </c>
      <c r="D66" s="24">
        <v>0.69060315222987001</v>
      </c>
      <c r="E66" s="33">
        <f>(($B66/1000)^3*$C$35*($C$28-$C$35)*9.81)/$C$36^2</f>
        <v>3815.7386519095608</v>
      </c>
      <c r="F66" s="38">
        <f>(D66^3/(1-D66)^2)*E66*($C$27^3/36)</f>
        <v>136.12174551851302</v>
      </c>
      <c r="G66" s="38">
        <f>($C$35*($E$45/3600)*$C$27*(B66/1000))/(6*$C$36*(1-D66))</f>
        <v>4.7452388285021723</v>
      </c>
      <c r="H66" s="38">
        <f>IF(G66&lt;0.2,(18.1*G66),(6*POWER(10,(0.56543+1.09348*(LOG10(G66))+0.17979*(LOG10(G66))^2-0.00392*(LOG10(G66))^4-1.5*(LOG10($C$27))^2))))</f>
        <v>136.12174627452299</v>
      </c>
      <c r="I66" s="39">
        <f>IF((((1-$C$29)/(1-D66))*C66)&lt;C66,C66,(((1-$C$29)/(1-D66))*C66))</f>
        <v>0.145444274317343</v>
      </c>
      <c r="J66" s="38">
        <f>IF((100*((D66-$C$29)/(1-D66)))&lt;0,0,(100*((D66-$C$29)/(1-D66))))</f>
        <v>45.444274317342988</v>
      </c>
    </row>
    <row r="67" spans="1:10" x14ac:dyDescent="0.25">
      <c r="A67" s="22">
        <v>20</v>
      </c>
      <c r="B67" s="24">
        <v>0.97499999999999998</v>
      </c>
      <c r="C67" s="38">
        <f t="shared" ref="C67:C69" si="6">$C$30*(A67/100)</f>
        <v>0.1</v>
      </c>
      <c r="D67" s="24">
        <v>0.65542282466874591</v>
      </c>
      <c r="E67" s="33">
        <f>(($B67/1000)^3*$C$35*($C$28-$C$35)*9.81)/$C$36^2</f>
        <v>5758.8489999140866</v>
      </c>
      <c r="F67" s="38">
        <f t="shared" ref="F67:F70" si="7">(D67^3/(1-D67)^2)*E67*($C$27^3/36)</f>
        <v>141.58666446430644</v>
      </c>
      <c r="G67" s="38">
        <f t="shared" ref="G67:G70" si="8">($C$35*($E$45/3600)*$C$27*(B67/1000))/(6*$C$36*(1-D67))</f>
        <v>4.8873466468425226</v>
      </c>
      <c r="H67" s="38">
        <f t="shared" ref="H67:H69" si="9">IF(G67&lt;0.2,(18.1*G67),(6*POWER(10,(0.56543+1.09348*(LOG10(G67))+0.17979*(LOG10(G67))^2-0.00392*(LOG10(G67))^4-1.5*(LOG10($C$27))^2))))</f>
        <v>141.58666453920054</v>
      </c>
      <c r="I67" s="39">
        <f t="shared" ref="I67:I69" si="10">IF((((1-$C$29)/(1-D67))*C67)&lt;C67,C67,(((1-$C$29)/(1-D67))*C67))</f>
        <v>0.13059483686561632</v>
      </c>
      <c r="J67" s="38">
        <f t="shared" ref="J67:J70" si="11">IF((100*((D67-$C$29)/(1-D67)))&lt;0,0,(100*((D67-$C$29)/(1-D67))))</f>
        <v>30.594836865616305</v>
      </c>
    </row>
    <row r="68" spans="1:10" x14ac:dyDescent="0.25">
      <c r="A68" s="22">
        <v>20</v>
      </c>
      <c r="B68" s="24">
        <v>1.1200000000000001</v>
      </c>
      <c r="C68" s="38">
        <f t="shared" si="6"/>
        <v>0.1</v>
      </c>
      <c r="D68" s="24">
        <v>0.62016391591107056</v>
      </c>
      <c r="E68" s="33">
        <f t="shared" ref="E68:E70" si="12">(($B68/1000)^3*$C$35*($C$28-$C$35)*9.81)/$C$36^2</f>
        <v>8729.2295098717641</v>
      </c>
      <c r="F68" s="38">
        <f t="shared" si="7"/>
        <v>149.62285615223556</v>
      </c>
      <c r="G68" s="38">
        <f t="shared" si="8"/>
        <v>5.0930370682634134</v>
      </c>
      <c r="H68" s="38">
        <f t="shared" si="9"/>
        <v>149.62285616147503</v>
      </c>
      <c r="I68" s="39">
        <f t="shared" si="10"/>
        <v>0.11847215650386796</v>
      </c>
      <c r="J68" s="38">
        <f t="shared" si="11"/>
        <v>18.47215650386795</v>
      </c>
    </row>
    <row r="69" spans="1:10" x14ac:dyDescent="0.25">
      <c r="A69" s="22">
        <v>20</v>
      </c>
      <c r="B69" s="24">
        <v>1.28</v>
      </c>
      <c r="C69" s="38">
        <f t="shared" si="6"/>
        <v>0.1</v>
      </c>
      <c r="D69" s="24">
        <v>0.58681309561775952</v>
      </c>
      <c r="E69" s="33">
        <f t="shared" si="12"/>
        <v>13030.220143015578</v>
      </c>
      <c r="F69" s="38">
        <f t="shared" si="7"/>
        <v>159.90168356317076</v>
      </c>
      <c r="G69" s="38">
        <f t="shared" si="8"/>
        <v>5.3507967614974339</v>
      </c>
      <c r="H69" s="38">
        <f t="shared" si="9"/>
        <v>159.90168444839472</v>
      </c>
      <c r="I69" s="39">
        <f t="shared" si="10"/>
        <v>0.10890955043040368</v>
      </c>
      <c r="J69" s="38">
        <f t="shared" si="11"/>
        <v>8.9095504304036623</v>
      </c>
    </row>
    <row r="70" spans="1:10" x14ac:dyDescent="0.25">
      <c r="A70" s="22">
        <v>20</v>
      </c>
      <c r="B70" s="24">
        <v>1.49</v>
      </c>
      <c r="C70" s="38">
        <v>0.1</v>
      </c>
      <c r="D70" s="24">
        <v>0.54992098098745767</v>
      </c>
      <c r="E70" s="33">
        <f t="shared" si="12"/>
        <v>20553.256841596714</v>
      </c>
      <c r="F70" s="38">
        <f t="shared" si="7"/>
        <v>174.94396688066331</v>
      </c>
      <c r="G70" s="38">
        <f t="shared" si="8"/>
        <v>5.7181103798888682</v>
      </c>
      <c r="H70" s="38">
        <f>IF(G70&lt;0.2,(18.1*G70),(6*POWER(10,(0.56543+1.09348*(LOG10(G70))+0.17979*(LOG10(G70))^2-0.00392*(LOG10(G70))^4-1.5*(LOG10($C$27))^2))))</f>
        <v>174.94396695473046</v>
      </c>
      <c r="I70" s="39">
        <f>IF((((1-$C$29)/(1-D70))*C70)&lt;C70,C70,(((1-$C$29)/(1-D70))*C70))</f>
        <v>0.1</v>
      </c>
      <c r="J70" s="38">
        <f t="shared" si="11"/>
        <v>0</v>
      </c>
    </row>
    <row r="71" spans="1:10" x14ac:dyDescent="0.25">
      <c r="A71" s="41" t="s">
        <v>37</v>
      </c>
      <c r="B71" s="41"/>
      <c r="C71" s="41"/>
      <c r="D71" s="41"/>
      <c r="E71" s="41"/>
      <c r="F71" s="41"/>
      <c r="G71" s="41"/>
      <c r="H71" s="41"/>
      <c r="I71" s="39">
        <f>SUM(I66:I70)</f>
        <v>0.60342081811723092</v>
      </c>
      <c r="J71" s="40">
        <f>100*(I71-$C$30)/$C$30</f>
        <v>20.684163623446182</v>
      </c>
    </row>
  </sheetData>
  <sheetProtection selectLockedCells="1" autoFilter="0" pivotTables="0"/>
  <mergeCells count="45">
    <mergeCell ref="A34:B34"/>
    <mergeCell ref="A35:B35"/>
    <mergeCell ref="A36:B36"/>
    <mergeCell ref="F47:N50"/>
    <mergeCell ref="C12:D12"/>
    <mergeCell ref="C16:D16"/>
    <mergeCell ref="C18:D18"/>
    <mergeCell ref="C23:D23"/>
    <mergeCell ref="C27:D27"/>
    <mergeCell ref="C29:D29"/>
    <mergeCell ref="A45:D45"/>
    <mergeCell ref="A25:B25"/>
    <mergeCell ref="A26:B26"/>
    <mergeCell ref="A30:B30"/>
    <mergeCell ref="A27:B27"/>
    <mergeCell ref="A28:B28"/>
    <mergeCell ref="A13:B13"/>
    <mergeCell ref="A12:B12"/>
    <mergeCell ref="A16:B16"/>
    <mergeCell ref="A17:B17"/>
    <mergeCell ref="A24:B24"/>
    <mergeCell ref="A23:B23"/>
    <mergeCell ref="A19:B19"/>
    <mergeCell ref="A14:B14"/>
    <mergeCell ref="A15:B15"/>
    <mergeCell ref="A52:A53"/>
    <mergeCell ref="B52:B53"/>
    <mergeCell ref="C52:C53"/>
    <mergeCell ref="D52:D53"/>
    <mergeCell ref="E52:E53"/>
    <mergeCell ref="F52:F53"/>
    <mergeCell ref="G52:G53"/>
    <mergeCell ref="H52:H53"/>
    <mergeCell ref="I52:J52"/>
    <mergeCell ref="I64:J64"/>
    <mergeCell ref="A71:H71"/>
    <mergeCell ref="A59:H59"/>
    <mergeCell ref="A64:A65"/>
    <mergeCell ref="B64:B65"/>
    <mergeCell ref="C64:C65"/>
    <mergeCell ref="D64:D65"/>
    <mergeCell ref="E64:E65"/>
    <mergeCell ref="F64:F65"/>
    <mergeCell ref="G64:G65"/>
    <mergeCell ref="H64:H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6</xdr:col>
                <xdr:colOff>19050</xdr:colOff>
                <xdr:row>10</xdr:row>
                <xdr:rowOff>171450</xdr:rowOff>
              </from>
              <to>
                <xdr:col>12</xdr:col>
                <xdr:colOff>276225</xdr:colOff>
                <xdr:row>13</xdr:row>
                <xdr:rowOff>219075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6</xdr:col>
                <xdr:colOff>19050</xdr:colOff>
                <xdr:row>14</xdr:row>
                <xdr:rowOff>209550</xdr:rowOff>
              </from>
              <to>
                <xdr:col>8</xdr:col>
                <xdr:colOff>514350</xdr:colOff>
                <xdr:row>18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6</xdr:col>
                <xdr:colOff>28575</xdr:colOff>
                <xdr:row>19</xdr:row>
                <xdr:rowOff>133350</xdr:rowOff>
              </from>
              <to>
                <xdr:col>8</xdr:col>
                <xdr:colOff>123825</xdr:colOff>
                <xdr:row>22</xdr:row>
                <xdr:rowOff>123825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6</xdr:col>
                <xdr:colOff>0</xdr:colOff>
                <xdr:row>23</xdr:row>
                <xdr:rowOff>104775</xdr:rowOff>
              </from>
              <to>
                <xdr:col>9</xdr:col>
                <xdr:colOff>581025</xdr:colOff>
                <xdr:row>26</xdr:row>
                <xdr:rowOff>142875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6</xdr:col>
                <xdr:colOff>28575</xdr:colOff>
                <xdr:row>29</xdr:row>
                <xdr:rowOff>28575</xdr:rowOff>
              </from>
              <to>
                <xdr:col>8</xdr:col>
                <xdr:colOff>171450</xdr:colOff>
                <xdr:row>31</xdr:row>
                <xdr:rowOff>38100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6</xdr:col>
                <xdr:colOff>19050</xdr:colOff>
                <xdr:row>33</xdr:row>
                <xdr:rowOff>152400</xdr:rowOff>
              </from>
              <to>
                <xdr:col>20</xdr:col>
                <xdr:colOff>476250</xdr:colOff>
                <xdr:row>37</xdr:row>
                <xdr:rowOff>57150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>
              <from>
                <xdr:col>6</xdr:col>
                <xdr:colOff>28575</xdr:colOff>
                <xdr:row>38</xdr:row>
                <xdr:rowOff>57150</xdr:rowOff>
              </from>
              <to>
                <xdr:col>8</xdr:col>
                <xdr:colOff>171450</xdr:colOff>
                <xdr:row>40</xdr:row>
                <xdr:rowOff>304800</xdr:rowOff>
              </to>
            </anchor>
          </objectPr>
        </oleObject>
      </mc:Choice>
      <mc:Fallback>
        <oleObject progId="Equation.3" shapeId="1031" r:id="rId1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topLeftCell="A6" workbookViewId="0">
      <selection activeCell="B26" sqref="B26"/>
    </sheetView>
  </sheetViews>
  <sheetFormatPr defaultRowHeight="15" x14ac:dyDescent="0.25"/>
  <cols>
    <col min="1" max="1" width="16.140625" customWidth="1"/>
    <col min="2" max="2" width="10.7109375" customWidth="1"/>
  </cols>
  <sheetData>
    <row r="1" spans="1:2" x14ac:dyDescent="0.25">
      <c r="A1" s="3" t="s">
        <v>20</v>
      </c>
      <c r="B1" s="4"/>
    </row>
    <row r="2" spans="1:2" x14ac:dyDescent="0.25">
      <c r="A2" s="4"/>
      <c r="B2" s="4"/>
    </row>
    <row r="3" spans="1:2" x14ac:dyDescent="0.25">
      <c r="A3" s="5" t="s">
        <v>2</v>
      </c>
      <c r="B3" s="4"/>
    </row>
    <row r="4" spans="1:2" x14ac:dyDescent="0.25">
      <c r="A4" s="4"/>
      <c r="B4" s="4"/>
    </row>
    <row r="5" spans="1:2" x14ac:dyDescent="0.25">
      <c r="A5" s="7" t="s">
        <v>19</v>
      </c>
      <c r="B5" s="6" t="s">
        <v>18</v>
      </c>
    </row>
    <row r="6" spans="1:2" x14ac:dyDescent="0.25">
      <c r="A6" s="2">
        <f>Cálculos!$C$13</f>
        <v>0.5</v>
      </c>
      <c r="B6" s="6">
        <v>0.1</v>
      </c>
    </row>
    <row r="7" spans="1:2" x14ac:dyDescent="0.25">
      <c r="A7" s="2">
        <f>Cálculos!$C$14</f>
        <v>0.6</v>
      </c>
      <c r="B7" s="6">
        <v>0.6</v>
      </c>
    </row>
    <row r="8" spans="1:2" x14ac:dyDescent="0.25">
      <c r="A8" s="2">
        <f>Cálculos!$C$15</f>
        <v>0.67795783671325494</v>
      </c>
      <c r="B8" s="6">
        <v>0.9</v>
      </c>
    </row>
    <row r="23" spans="1:2" x14ac:dyDescent="0.25">
      <c r="A23" s="5" t="s">
        <v>21</v>
      </c>
      <c r="B23" s="4"/>
    </row>
    <row r="24" spans="1:2" x14ac:dyDescent="0.25">
      <c r="A24" s="4"/>
      <c r="B24" s="4"/>
    </row>
    <row r="25" spans="1:2" x14ac:dyDescent="0.25">
      <c r="A25" s="7" t="s">
        <v>19</v>
      </c>
      <c r="B25" s="7" t="s">
        <v>18</v>
      </c>
    </row>
    <row r="26" spans="1:2" x14ac:dyDescent="0.25">
      <c r="A26" s="1">
        <f>Cálculos!$C$24</f>
        <v>0.85</v>
      </c>
      <c r="B26" s="6">
        <v>0.1</v>
      </c>
    </row>
    <row r="27" spans="1:2" x14ac:dyDescent="0.25">
      <c r="A27" s="1">
        <f>Cálculos!$C$25</f>
        <v>1.19</v>
      </c>
      <c r="B27" s="6">
        <v>0.6</v>
      </c>
    </row>
    <row r="28" spans="1:2" x14ac:dyDescent="0.25">
      <c r="A28" s="1">
        <f>Cálculos!$C$26</f>
        <v>1.4909145232369003</v>
      </c>
      <c r="B28" s="6">
        <v>0.9</v>
      </c>
    </row>
  </sheetData>
  <sheetProtection algorithmName="SHA-512" hashValue="75tHISmnTP5dOB1let6ppwoSndMe9WsUgmxRKYKEZNoHWpPpWiWms9jIB2/m7qPRX8UfMarL6QCdekguPsBt2w==" saltValue="PPqA4VEJIzkfmSxwwMJ00g==" spinCount="100000" sheet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Cálculos</vt:lpstr>
      <vt:lpstr>Gráficos distribuição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Mierzwa PHD</dc:creator>
  <cp:lastModifiedBy>Revisor</cp:lastModifiedBy>
  <dcterms:created xsi:type="dcterms:W3CDTF">2009-06-17T18:20:07Z</dcterms:created>
  <dcterms:modified xsi:type="dcterms:W3CDTF">2018-05-11T11:04:07Z</dcterms:modified>
</cp:coreProperties>
</file>