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0_ncr:8100000_{2CAFCBB2-183B-4CEC-81D6-2946C90562C5}" xr6:coauthVersionLast="33" xr6:coauthVersionMax="33" xr10:uidLastSave="{00000000-0000-0000-0000-000000000000}"/>
  <bookViews>
    <workbookView xWindow="0" yWindow="0" windowWidth="24000" windowHeight="8925" activeTab="2" xr2:uid="{00000000-000D-0000-FFFF-FFFF00000000}"/>
  </bookViews>
  <sheets>
    <sheet name="CIA DAS ALMOFADAS" sheetId="1" r:id="rId1"/>
    <sheet name="CIA DOS TAPETES" sheetId="2" r:id="rId2"/>
    <sheet name="Resolução CIA DOS TAPET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H6" i="3"/>
  <c r="C10" i="3"/>
  <c r="S28" i="3"/>
  <c r="AG17" i="3"/>
  <c r="X26" i="3"/>
  <c r="I46" i="3"/>
  <c r="H45" i="3"/>
  <c r="C38" i="3"/>
  <c r="I45" i="3"/>
  <c r="H44" i="3"/>
  <c r="H43" i="3"/>
  <c r="H42" i="3"/>
  <c r="H41" i="3"/>
  <c r="H40" i="3"/>
  <c r="H39" i="3"/>
  <c r="H38" i="3"/>
  <c r="I44" i="3"/>
  <c r="I38" i="3"/>
  <c r="AC9" i="3"/>
  <c r="AB9" i="3"/>
  <c r="AA9" i="3"/>
  <c r="AB6" i="3"/>
  <c r="AG12" i="3" l="1"/>
  <c r="AG5" i="3"/>
  <c r="X22" i="3"/>
  <c r="AG11" i="3"/>
  <c r="D16" i="3"/>
  <c r="M32" i="3"/>
  <c r="AF30" i="3" s="1"/>
  <c r="AF31" i="3" s="1"/>
  <c r="C6" i="3"/>
  <c r="AG6" i="3" s="1"/>
  <c r="H5" i="3"/>
  <c r="AG21" i="3"/>
  <c r="AG19" i="3" s="1"/>
  <c r="AF32" i="3"/>
  <c r="AC7" i="3"/>
  <c r="AC5" i="3"/>
  <c r="AG20" i="3"/>
  <c r="AG16" i="3"/>
  <c r="AG13" i="3"/>
  <c r="AG10" i="3"/>
  <c r="W27" i="3"/>
  <c r="W26" i="3"/>
  <c r="AA8" i="3"/>
  <c r="AG22" i="3" l="1"/>
  <c r="AG7" i="3"/>
  <c r="AF33" i="3"/>
  <c r="AF37" i="3" s="1"/>
  <c r="D36" i="2"/>
  <c r="E33" i="2"/>
  <c r="E36" i="2" s="1"/>
  <c r="E27" i="2"/>
  <c r="E21" i="2"/>
  <c r="AF38" i="3" l="1"/>
  <c r="AF39" i="3" s="1"/>
  <c r="AC8" i="3"/>
</calcChain>
</file>

<file path=xl/sharedStrings.xml><?xml version="1.0" encoding="utf-8"?>
<sst xmlns="http://schemas.openxmlformats.org/spreadsheetml/2006/main" count="137" uniqueCount="88">
  <si>
    <t>1 - compra de mercadorias (100.000 almofadas) por $150.000, a prazo (FOB). O frete, de $2.000, foi pago a vista e o preço do produto tem embutido um ICMS recuperável de 20% do valor da compra</t>
  </si>
  <si>
    <t>2 - Venda de 130.000 almofadas por $200.000, a receber, com ICMS embutido no preço de 20%. A venda foi feita CIF e o valor do frete foi de $1.000, a pagar.</t>
  </si>
  <si>
    <t>3 - Apuração do ICMS a pagar, sabendo-se que os saldos iniciais de ICMS a pagar, no passivo; e ICMS a recuperar, no ativo; eram zero.</t>
  </si>
  <si>
    <t>PEDE-SE:</t>
  </si>
  <si>
    <t>Fazer os lançamentos e apurar o lucro bruto do período e os saldos finais das contas. O Controle de de estoques deve ser feita pelo método PEPS.</t>
  </si>
  <si>
    <t>*- Estoques inicias de tapetes: 250 unidades adquiridas por $80,00 cada (valor líquido dos impostos recuperáveis)</t>
  </si>
  <si>
    <t>Recebimento de 70 % do saldo inicial de contas a receber</t>
  </si>
  <si>
    <t>ATIVO</t>
  </si>
  <si>
    <t>Pagamento do saldo inicial de contas a pagar e do saldo de fornecedores a pagar e IR a pagar</t>
  </si>
  <si>
    <t>Banco</t>
  </si>
  <si>
    <t>Clientes</t>
  </si>
  <si>
    <t>Estoque</t>
  </si>
  <si>
    <t>Vida util de veículos = 5 anos; Vida util de Máq e equipamentos = 10 anos.</t>
  </si>
  <si>
    <t>Máquinas e Equip.</t>
  </si>
  <si>
    <t>Pagamento do saldo inicial de ICMS a recolher</t>
  </si>
  <si>
    <t>Veículos</t>
  </si>
  <si>
    <t>Pagamento do saldo inicial de Dividendos a pagar</t>
  </si>
  <si>
    <t>PASSIVO</t>
  </si>
  <si>
    <t>Gastos comerciais de 3.000 a vista</t>
  </si>
  <si>
    <t>Fornecedores</t>
  </si>
  <si>
    <t>Apuração do ICMS a pagar, confrontação do ICMS a recuperar com o a pagar</t>
  </si>
  <si>
    <t>Contas a pg</t>
  </si>
  <si>
    <t>IR s/ Lucro de 40%</t>
  </si>
  <si>
    <t>IR a pg</t>
  </si>
  <si>
    <t>Distribuição de dividendos aos sócios de 20% do Lucro Líquido - a pagar</t>
  </si>
  <si>
    <t>ICMS a Recolher</t>
  </si>
  <si>
    <t>Dividendos a pg</t>
  </si>
  <si>
    <t>PL</t>
  </si>
  <si>
    <t>Capital</t>
  </si>
  <si>
    <t>Reserva de Lucros</t>
  </si>
  <si>
    <t>P + PL</t>
  </si>
  <si>
    <t>Fazer os lançamentos e apurar o lucro do período e os saldos finais das contas. O Controle de de estoques deve ser feita pelo método PEPS.</t>
  </si>
  <si>
    <t>*- Estoques inicias de almofadas: 50.000 almofadas adquiridas por $1,10 cada (valor líquido dos impostos recuperáveis). Saldo inicial de caixa de $3.500. Saldo inicial do PL de $58.500.</t>
  </si>
  <si>
    <t>COMÉRCIO DE ALMOFADAS - EVENTOS OCORRIDOS NO MÊS DE MARÇO</t>
  </si>
  <si>
    <t>Respostas:</t>
  </si>
  <si>
    <t>Lucro do período = $6.400</t>
  </si>
  <si>
    <t>Estoque final = $24.400</t>
  </si>
  <si>
    <t>Saldo final de ICMS a pagar = $10.000</t>
  </si>
  <si>
    <t>COMÉRCIO DE TAPETES - EVENTOS OCORRIDOS NO MÊS DE AGOSTO</t>
  </si>
  <si>
    <t xml:space="preserve">Compra de mercadorias (600 unidades) por $75.000, sendo 50% a vista e 50% a prazo. O preço tem embutido um ICMS recuperável de 20% do valor da compra. O frete da compra (FOB), de $1.000, foi pago a vista. </t>
  </si>
  <si>
    <t>BALANÇOS PATRIMONIAIS</t>
  </si>
  <si>
    <t>Saldo final do Ativo = $225.900</t>
  </si>
  <si>
    <t>Maq. e Equip</t>
  </si>
  <si>
    <t>Contas a Pagar</t>
  </si>
  <si>
    <t>IR a Pagar</t>
  </si>
  <si>
    <t>Dividendos a Pagar</t>
  </si>
  <si>
    <t>Capital Social</t>
  </si>
  <si>
    <t>Qtd</t>
  </si>
  <si>
    <t>$/Total</t>
  </si>
  <si>
    <t>$/Unid</t>
  </si>
  <si>
    <t>Controle de Estoque</t>
  </si>
  <si>
    <t>ICMS a Recuperar</t>
  </si>
  <si>
    <t>3a</t>
  </si>
  <si>
    <t>3b</t>
  </si>
  <si>
    <t>Si</t>
  </si>
  <si>
    <t>Receita</t>
  </si>
  <si>
    <t>CMV</t>
  </si>
  <si>
    <t>4a</t>
  </si>
  <si>
    <t>4b</t>
  </si>
  <si>
    <t>Despesa de Frete</t>
  </si>
  <si>
    <t>4d</t>
  </si>
  <si>
    <t>Frete a Pagar</t>
  </si>
  <si>
    <t>Despesa de Deprec</t>
  </si>
  <si>
    <t>(-) Deprec Acum</t>
  </si>
  <si>
    <t>Despesa Comercial</t>
  </si>
  <si>
    <t>9a</t>
  </si>
  <si>
    <t>DRE</t>
  </si>
  <si>
    <t>(-) CMV</t>
  </si>
  <si>
    <t>(=) Lucro Bruto</t>
  </si>
  <si>
    <t>ReceitaBruta</t>
  </si>
  <si>
    <t>(=) Receita Líquida</t>
  </si>
  <si>
    <t>(-) Despesa Comercial</t>
  </si>
  <si>
    <t>(-) Despesa de Deprec</t>
  </si>
  <si>
    <t>(-) Despesa de Frete</t>
  </si>
  <si>
    <t>(-) ICMS</t>
  </si>
  <si>
    <t>(=)LAIR</t>
  </si>
  <si>
    <t>(-) IR</t>
  </si>
  <si>
    <t>(=) Lucro Liquido</t>
  </si>
  <si>
    <t>xxx</t>
  </si>
  <si>
    <t>11a</t>
  </si>
  <si>
    <t>11b</t>
  </si>
  <si>
    <t>(-) Dep. Acumulada</t>
  </si>
  <si>
    <t>-</t>
  </si>
  <si>
    <t>ICMS s/ Venda</t>
  </si>
  <si>
    <t>4c</t>
  </si>
  <si>
    <t>Despesa de IR</t>
  </si>
  <si>
    <t>Venda (CIF) de 700 unidades por $150.000, sendo 30% a receber, com ICMS embutido no preço de 20%.  O valor do frete foi de $800, a pagar.</t>
  </si>
  <si>
    <t>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</si>
</sst>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#,##0_ ;[Red]\-#,##0\ "/>
    <numFmt numFmtId="165" formatCode="[$-416]d\-mmm;@"/>
    <numFmt numFmtId="166" formatCode="_-[$R$-416]\ * #,##0.00_-;\-[$R$-416]\ * #,##0.00_-;_-[$R$-416]\ * &quot;-&quot;??_-;_-@_-"/>
    <numFmt numFmtId="167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0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166" fontId="2" fillId="0" borderId="3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166" fontId="2" fillId="0" borderId="12" xfId="0" applyNumberFormat="1" applyFont="1" applyFill="1" applyBorder="1"/>
    <xf numFmtId="166" fontId="2" fillId="0" borderId="28" xfId="0" applyNumberFormat="1" applyFont="1" applyFill="1" applyBorder="1"/>
    <xf numFmtId="166" fontId="2" fillId="0" borderId="31" xfId="0" applyNumberFormat="1" applyFont="1" applyFill="1" applyBorder="1"/>
    <xf numFmtId="164" fontId="2" fillId="0" borderId="38" xfId="0" applyNumberFormat="1" applyFont="1" applyFill="1" applyBorder="1" applyAlignment="1">
      <alignment horizontal="center" vertical="center" wrapText="1"/>
    </xf>
    <xf numFmtId="166" fontId="2" fillId="0" borderId="39" xfId="0" applyNumberFormat="1" applyFont="1" applyFill="1" applyBorder="1" applyAlignment="1">
      <alignment horizontal="center" vertical="center" wrapText="1"/>
    </xf>
    <xf numFmtId="166" fontId="2" fillId="0" borderId="40" xfId="0" applyNumberFormat="1" applyFont="1" applyFill="1" applyBorder="1"/>
    <xf numFmtId="166" fontId="2" fillId="0" borderId="28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44" xfId="1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164" fontId="3" fillId="3" borderId="14" xfId="0" applyNumberFormat="1" applyFont="1" applyFill="1" applyBorder="1" applyAlignment="1">
      <alignment horizontal="left" vertical="center" wrapText="1"/>
    </xf>
    <xf numFmtId="164" fontId="3" fillId="3" borderId="5" xfId="0" applyNumberFormat="1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left" vertical="center" wrapText="1"/>
    </xf>
    <xf numFmtId="164" fontId="4" fillId="3" borderId="9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14" fontId="2" fillId="0" borderId="34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41" xfId="0" applyFont="1" applyFill="1" applyBorder="1" applyAlignment="1">
      <alignment horizontal="left" vertical="center"/>
    </xf>
    <xf numFmtId="164" fontId="2" fillId="0" borderId="42" xfId="1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167" fontId="2" fillId="0" borderId="0" xfId="0" applyNumberFormat="1" applyFont="1"/>
    <xf numFmtId="0" fontId="2" fillId="0" borderId="3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167" fontId="2" fillId="0" borderId="0" xfId="0" applyNumberFormat="1" applyFont="1" applyBorder="1"/>
    <xf numFmtId="0" fontId="1" fillId="0" borderId="45" xfId="0" applyFont="1" applyFill="1" applyBorder="1" applyAlignment="1">
      <alignment horizontal="left" vertical="center"/>
    </xf>
    <xf numFmtId="164" fontId="2" fillId="0" borderId="44" xfId="1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3" fontId="2" fillId="0" borderId="1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6" xfId="2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1" fillId="0" borderId="47" xfId="0" applyFont="1" applyFill="1" applyBorder="1" applyAlignment="1">
      <alignment horizontal="left" vertical="center"/>
    </xf>
    <xf numFmtId="164" fontId="2" fillId="0" borderId="48" xfId="1" applyNumberFormat="1" applyFont="1" applyFill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44" fontId="2" fillId="0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44" fontId="2" fillId="0" borderId="7" xfId="1" applyFont="1" applyBorder="1"/>
    <xf numFmtId="166" fontId="2" fillId="0" borderId="6" xfId="0" applyNumberFormat="1" applyFont="1" applyBorder="1" applyAlignment="1">
      <alignment horizontal="left"/>
    </xf>
    <xf numFmtId="44" fontId="2" fillId="0" borderId="6" xfId="1" applyFont="1" applyBorder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44" fontId="2" fillId="0" borderId="9" xfId="1" applyFont="1" applyBorder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/>
    <xf numFmtId="3" fontId="2" fillId="0" borderId="7" xfId="0" applyNumberFormat="1" applyFont="1" applyBorder="1" applyAlignment="1"/>
    <xf numFmtId="3" fontId="2" fillId="0" borderId="9" xfId="0" applyNumberFormat="1" applyFont="1" applyBorder="1" applyAlignment="1"/>
    <xf numFmtId="0" fontId="2" fillId="0" borderId="15" xfId="0" applyFont="1" applyBorder="1" applyAlignment="1"/>
    <xf numFmtId="164" fontId="2" fillId="0" borderId="0" xfId="0" applyNumberFormat="1" applyFont="1"/>
    <xf numFmtId="3" fontId="2" fillId="0" borderId="5" xfId="0" applyNumberFormat="1" applyFont="1" applyBorder="1" applyAlignment="1"/>
    <xf numFmtId="3" fontId="2" fillId="0" borderId="14" xfId="0" applyNumberFormat="1" applyFont="1" applyBorder="1" applyAlignment="1"/>
    <xf numFmtId="3" fontId="2" fillId="0" borderId="50" xfId="0" applyNumberFormat="1" applyFont="1" applyBorder="1" applyAlignment="1"/>
    <xf numFmtId="3" fontId="2" fillId="0" borderId="51" xfId="0" applyNumberFormat="1" applyFont="1" applyBorder="1" applyAlignment="1"/>
    <xf numFmtId="3" fontId="2" fillId="0" borderId="6" xfId="0" applyNumberFormat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7"/>
  <sheetViews>
    <sheetView zoomScale="120" zoomScaleNormal="120" workbookViewId="0">
      <selection activeCell="B3" sqref="B3"/>
    </sheetView>
  </sheetViews>
  <sheetFormatPr defaultRowHeight="12.75" x14ac:dyDescent="0.25"/>
  <cols>
    <col min="1" max="1" width="2.28515625" style="1" customWidth="1"/>
    <col min="2" max="2" width="64.140625" style="1" customWidth="1"/>
    <col min="3" max="16384" width="9.140625" style="1"/>
  </cols>
  <sheetData>
    <row r="2" spans="2:2" x14ac:dyDescent="0.25">
      <c r="B2" s="12" t="s">
        <v>33</v>
      </c>
    </row>
    <row r="3" spans="2:2" ht="38.25" x14ac:dyDescent="0.25">
      <c r="B3" s="2" t="s">
        <v>32</v>
      </c>
    </row>
    <row r="4" spans="2:2" ht="38.25" x14ac:dyDescent="0.25">
      <c r="B4" s="2" t="s">
        <v>0</v>
      </c>
    </row>
    <row r="5" spans="2:2" ht="25.5" x14ac:dyDescent="0.25">
      <c r="B5" s="2" t="s">
        <v>1</v>
      </c>
    </row>
    <row r="6" spans="2:2" ht="25.5" x14ac:dyDescent="0.25">
      <c r="B6" s="2" t="s">
        <v>2</v>
      </c>
    </row>
    <row r="8" spans="2:2" x14ac:dyDescent="0.25">
      <c r="B8" s="3" t="s">
        <v>3</v>
      </c>
    </row>
    <row r="9" spans="2:2" ht="25.5" x14ac:dyDescent="0.25">
      <c r="B9" s="4" t="s">
        <v>31</v>
      </c>
    </row>
    <row r="11" spans="2:2" x14ac:dyDescent="0.25">
      <c r="B11" s="14" t="s">
        <v>34</v>
      </c>
    </row>
    <row r="12" spans="2:2" x14ac:dyDescent="0.25">
      <c r="B12" s="15" t="s">
        <v>36</v>
      </c>
    </row>
    <row r="13" spans="2:2" x14ac:dyDescent="0.25">
      <c r="B13" s="15" t="s">
        <v>37</v>
      </c>
    </row>
    <row r="14" spans="2:2" x14ac:dyDescent="0.25">
      <c r="B14" s="15" t="s">
        <v>41</v>
      </c>
    </row>
    <row r="15" spans="2:2" x14ac:dyDescent="0.25">
      <c r="B15" s="16" t="s">
        <v>35</v>
      </c>
    </row>
    <row r="16" spans="2:2" x14ac:dyDescent="0.25">
      <c r="B16" s="13"/>
    </row>
    <row r="17" spans="2:2" x14ac:dyDescent="0.25">
      <c r="B17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FD36"/>
  <sheetViews>
    <sheetView zoomScaleNormal="100" workbookViewId="0">
      <selection activeCell="A13" sqref="A13:XFD13"/>
    </sheetView>
  </sheetViews>
  <sheetFormatPr defaultRowHeight="12.75" x14ac:dyDescent="0.25"/>
  <cols>
    <col min="1" max="1" width="2.5703125" style="1" customWidth="1"/>
    <col min="2" max="2" width="3.42578125" style="1" bestFit="1" customWidth="1"/>
    <col min="3" max="3" width="20.140625" style="1" customWidth="1"/>
    <col min="4" max="4" width="9.140625" style="1"/>
    <col min="5" max="5" width="7.85546875" style="1" bestFit="1" customWidth="1"/>
    <col min="6" max="6" width="9.140625" style="1"/>
    <col min="7" max="7" width="76.5703125" style="1" customWidth="1"/>
    <col min="8" max="16384" width="9.140625" style="1"/>
  </cols>
  <sheetData>
    <row r="2" spans="1:16384" x14ac:dyDescent="0.25">
      <c r="B2" s="5"/>
      <c r="C2" s="53" t="s">
        <v>38</v>
      </c>
      <c r="D2" s="54"/>
      <c r="E2" s="54"/>
      <c r="F2" s="54"/>
      <c r="G2" s="55"/>
    </row>
    <row r="3" spans="1:16384" ht="15" x14ac:dyDescent="0.25">
      <c r="B3" s="5"/>
      <c r="C3" s="50" t="s">
        <v>5</v>
      </c>
      <c r="D3" s="51"/>
      <c r="E3" s="51"/>
      <c r="F3" s="51"/>
      <c r="G3" s="52"/>
    </row>
    <row r="4" spans="1:16384" ht="15" x14ac:dyDescent="0.25">
      <c r="B4" s="5">
        <v>1</v>
      </c>
      <c r="C4" s="50" t="s">
        <v>6</v>
      </c>
      <c r="D4" s="51"/>
      <c r="E4" s="51"/>
      <c r="F4" s="51"/>
      <c r="G4" s="52"/>
    </row>
    <row r="5" spans="1:16384" ht="15" x14ac:dyDescent="0.25">
      <c r="B5" s="5">
        <v>2</v>
      </c>
      <c r="C5" s="50" t="s">
        <v>8</v>
      </c>
      <c r="D5" s="51"/>
      <c r="E5" s="51"/>
      <c r="F5" s="51"/>
      <c r="G5" s="52"/>
    </row>
    <row r="6" spans="1:16384" ht="30.75" customHeight="1" x14ac:dyDescent="0.25">
      <c r="B6" s="5">
        <v>3</v>
      </c>
      <c r="C6" s="50" t="s">
        <v>39</v>
      </c>
      <c r="D6" s="51"/>
      <c r="E6" s="51"/>
      <c r="F6" s="51"/>
      <c r="G6" s="52"/>
    </row>
    <row r="7" spans="1:16384" ht="15" x14ac:dyDescent="0.25">
      <c r="B7" s="5">
        <v>4</v>
      </c>
      <c r="C7" s="50" t="s">
        <v>86</v>
      </c>
      <c r="D7" s="51"/>
      <c r="E7" s="51"/>
      <c r="F7" s="51"/>
      <c r="G7" s="52"/>
    </row>
    <row r="8" spans="1:16384" ht="15" x14ac:dyDescent="0.25">
      <c r="B8" s="5">
        <v>5</v>
      </c>
      <c r="C8" s="50" t="s">
        <v>12</v>
      </c>
      <c r="D8" s="51"/>
      <c r="E8" s="51"/>
      <c r="F8" s="51"/>
      <c r="G8" s="52"/>
    </row>
    <row r="9" spans="1:16384" ht="15" x14ac:dyDescent="0.25">
      <c r="B9" s="5">
        <v>6</v>
      </c>
      <c r="C9" s="50" t="s">
        <v>14</v>
      </c>
      <c r="D9" s="51"/>
      <c r="E9" s="51"/>
      <c r="F9" s="51"/>
      <c r="G9" s="52"/>
    </row>
    <row r="10" spans="1:16384" ht="15" x14ac:dyDescent="0.25">
      <c r="B10" s="5">
        <v>7</v>
      </c>
      <c r="C10" s="50" t="s">
        <v>16</v>
      </c>
      <c r="D10" s="51"/>
      <c r="E10" s="51"/>
      <c r="F10" s="51"/>
      <c r="G10" s="52"/>
    </row>
    <row r="11" spans="1:16384" ht="15" x14ac:dyDescent="0.25">
      <c r="A11"/>
      <c r="B11" s="5">
        <v>8</v>
      </c>
      <c r="C11" s="50" t="s">
        <v>18</v>
      </c>
      <c r="D11" s="51"/>
      <c r="E11" s="51"/>
      <c r="F11" s="51"/>
      <c r="G11" s="5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ht="15" x14ac:dyDescent="0.25">
      <c r="B12" s="5">
        <v>9</v>
      </c>
      <c r="C12" s="50" t="s">
        <v>20</v>
      </c>
      <c r="D12" s="51"/>
      <c r="E12" s="51"/>
      <c r="F12" s="51"/>
      <c r="G12" s="52"/>
    </row>
    <row r="13" spans="1:16384" ht="15" x14ac:dyDescent="0.25">
      <c r="B13" s="5">
        <v>10</v>
      </c>
      <c r="C13" s="50" t="s">
        <v>22</v>
      </c>
      <c r="D13" s="51"/>
      <c r="E13" s="51"/>
      <c r="F13" s="51"/>
      <c r="G13" s="52"/>
      <c r="H13" s="8"/>
    </row>
    <row r="14" spans="1:16384" ht="15" x14ac:dyDescent="0.25">
      <c r="B14" s="5">
        <v>11</v>
      </c>
      <c r="C14" s="56" t="s">
        <v>24</v>
      </c>
      <c r="D14" s="57"/>
      <c r="E14" s="57"/>
      <c r="F14" s="57"/>
      <c r="G14" s="58"/>
    </row>
    <row r="15" spans="1:16384" x14ac:dyDescent="0.25">
      <c r="C15" s="9"/>
    </row>
    <row r="16" spans="1:16384" x14ac:dyDescent="0.25">
      <c r="C16" s="59" t="s">
        <v>3</v>
      </c>
      <c r="D16" s="60"/>
      <c r="E16" s="60"/>
      <c r="F16" s="60"/>
      <c r="G16" s="61"/>
    </row>
    <row r="17" spans="3:7" x14ac:dyDescent="0.25">
      <c r="C17" s="62" t="s">
        <v>4</v>
      </c>
      <c r="D17" s="63"/>
      <c r="E17" s="63"/>
      <c r="F17" s="63"/>
      <c r="G17" s="64"/>
    </row>
    <row r="18" spans="3:7" x14ac:dyDescent="0.25">
      <c r="C18" s="9"/>
    </row>
    <row r="19" spans="3:7" x14ac:dyDescent="0.25">
      <c r="C19" s="9"/>
    </row>
    <row r="20" spans="3:7" ht="25.5" x14ac:dyDescent="0.25">
      <c r="C20" s="22" t="s">
        <v>40</v>
      </c>
      <c r="D20" s="23">
        <v>43312</v>
      </c>
      <c r="E20" s="24">
        <v>43343</v>
      </c>
    </row>
    <row r="21" spans="3:7" x14ac:dyDescent="0.25">
      <c r="C21" s="19" t="s">
        <v>7</v>
      </c>
      <c r="D21" s="20">
        <v>320000</v>
      </c>
      <c r="E21" s="21">
        <f>SUM(E22:E26)</f>
        <v>0</v>
      </c>
    </row>
    <row r="22" spans="3:7" x14ac:dyDescent="0.25">
      <c r="C22" s="6" t="s">
        <v>9</v>
      </c>
      <c r="D22" s="17">
        <v>70000</v>
      </c>
      <c r="E22" s="7"/>
    </row>
    <row r="23" spans="3:7" x14ac:dyDescent="0.25">
      <c r="C23" s="6" t="s">
        <v>10</v>
      </c>
      <c r="D23" s="17">
        <v>100000</v>
      </c>
      <c r="E23" s="7"/>
    </row>
    <row r="24" spans="3:7" x14ac:dyDescent="0.25">
      <c r="C24" s="6" t="s">
        <v>11</v>
      </c>
      <c r="D24" s="17">
        <v>20000</v>
      </c>
      <c r="E24" s="7"/>
    </row>
    <row r="25" spans="3:7" x14ac:dyDescent="0.25">
      <c r="C25" s="6" t="s">
        <v>13</v>
      </c>
      <c r="D25" s="17">
        <v>100000</v>
      </c>
      <c r="E25" s="7"/>
    </row>
    <row r="26" spans="3:7" x14ac:dyDescent="0.25">
      <c r="C26" s="6" t="s">
        <v>15</v>
      </c>
      <c r="D26" s="17">
        <v>30000</v>
      </c>
      <c r="E26" s="7"/>
    </row>
    <row r="27" spans="3:7" x14ac:dyDescent="0.25">
      <c r="C27" s="19" t="s">
        <v>17</v>
      </c>
      <c r="D27" s="20">
        <v>98750</v>
      </c>
      <c r="E27" s="21">
        <f>SUM(E28:E32)</f>
        <v>0</v>
      </c>
    </row>
    <row r="28" spans="3:7" x14ac:dyDescent="0.25">
      <c r="C28" s="6" t="s">
        <v>19</v>
      </c>
      <c r="D28" s="17">
        <v>50000</v>
      </c>
      <c r="E28" s="7"/>
    </row>
    <row r="29" spans="3:7" x14ac:dyDescent="0.25">
      <c r="C29" s="6" t="s">
        <v>21</v>
      </c>
      <c r="D29" s="17">
        <v>5000</v>
      </c>
      <c r="E29" s="7"/>
    </row>
    <row r="30" spans="3:7" x14ac:dyDescent="0.25">
      <c r="C30" s="6" t="s">
        <v>23</v>
      </c>
      <c r="D30" s="17">
        <v>13750</v>
      </c>
      <c r="E30" s="7"/>
    </row>
    <row r="31" spans="3:7" x14ac:dyDescent="0.25">
      <c r="C31" s="6" t="s">
        <v>25</v>
      </c>
      <c r="D31" s="17">
        <v>10000</v>
      </c>
      <c r="E31" s="7"/>
    </row>
    <row r="32" spans="3:7" x14ac:dyDescent="0.25">
      <c r="C32" s="10" t="s">
        <v>26</v>
      </c>
      <c r="D32" s="18">
        <v>20000</v>
      </c>
      <c r="E32" s="11"/>
    </row>
    <row r="33" spans="3:5" x14ac:dyDescent="0.25">
      <c r="C33" s="25" t="s">
        <v>27</v>
      </c>
      <c r="D33" s="26">
        <v>221250</v>
      </c>
      <c r="E33" s="27">
        <f>SUM(E34:E35)</f>
        <v>0</v>
      </c>
    </row>
    <row r="34" spans="3:5" x14ac:dyDescent="0.25">
      <c r="C34" s="6" t="s">
        <v>28</v>
      </c>
      <c r="D34" s="17">
        <v>200000</v>
      </c>
      <c r="E34" s="7"/>
    </row>
    <row r="35" spans="3:5" x14ac:dyDescent="0.25">
      <c r="C35" s="6" t="s">
        <v>29</v>
      </c>
      <c r="D35" s="17">
        <v>21250</v>
      </c>
      <c r="E35" s="7"/>
    </row>
    <row r="36" spans="3:5" x14ac:dyDescent="0.25">
      <c r="C36" s="28" t="s">
        <v>30</v>
      </c>
      <c r="D36" s="29">
        <f>D33+D27</f>
        <v>320000</v>
      </c>
      <c r="E36" s="29">
        <f>E33+E27</f>
        <v>0</v>
      </c>
    </row>
  </sheetData>
  <mergeCells count="15">
    <mergeCell ref="C14:G14"/>
    <mergeCell ref="C16:G16"/>
    <mergeCell ref="C17:G17"/>
    <mergeCell ref="C8:G8"/>
    <mergeCell ref="C9:G9"/>
    <mergeCell ref="C10:G10"/>
    <mergeCell ref="C11:G11"/>
    <mergeCell ref="C12:G12"/>
    <mergeCell ref="C13:G13"/>
    <mergeCell ref="C7:G7"/>
    <mergeCell ref="C2:G2"/>
    <mergeCell ref="C3:G3"/>
    <mergeCell ref="C4:G4"/>
    <mergeCell ref="C5:G5"/>
    <mergeCell ref="C6:G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CC6D-8649-41CA-BD21-E58A8DD73A50}">
  <dimension ref="A1:AI47"/>
  <sheetViews>
    <sheetView showGridLines="0" tabSelected="1" workbookViewId="0">
      <selection activeCell="AC9" sqref="AC9"/>
    </sheetView>
  </sheetViews>
  <sheetFormatPr defaultRowHeight="16.5" customHeight="1" x14ac:dyDescent="0.2"/>
  <cols>
    <col min="1" max="1" width="2.5703125" style="71" customWidth="1"/>
    <col min="2" max="2" width="3.5703125" style="72" customWidth="1"/>
    <col min="3" max="3" width="8.42578125" style="71" bestFit="1" customWidth="1"/>
    <col min="4" max="4" width="7.5703125" style="71" bestFit="1" customWidth="1"/>
    <col min="5" max="5" width="2.85546875" style="73" customWidth="1"/>
    <col min="6" max="6" width="1.7109375" style="73" customWidth="1"/>
    <col min="7" max="7" width="2.7109375" style="72" customWidth="1"/>
    <col min="8" max="8" width="7.5703125" style="71" bestFit="1" customWidth="1"/>
    <col min="9" max="9" width="7.42578125" style="71" bestFit="1" customWidth="1"/>
    <col min="10" max="10" width="3" style="73" customWidth="1"/>
    <col min="11" max="11" width="1.28515625" style="73" customWidth="1"/>
    <col min="12" max="12" width="3.7109375" style="72" bestFit="1" customWidth="1"/>
    <col min="13" max="13" width="7.85546875" style="71" customWidth="1"/>
    <col min="14" max="14" width="8.140625" style="71" customWidth="1"/>
    <col min="15" max="15" width="3" style="73" bestFit="1" customWidth="1"/>
    <col min="16" max="16" width="1.28515625" style="73" customWidth="1"/>
    <col min="17" max="17" width="2.85546875" style="72" customWidth="1"/>
    <col min="18" max="18" width="8.7109375" style="71" customWidth="1"/>
    <col min="19" max="19" width="7.7109375" style="71" customWidth="1"/>
    <col min="20" max="20" width="3" style="73" customWidth="1"/>
    <col min="21" max="21" width="1.7109375" style="73" customWidth="1"/>
    <col min="22" max="22" width="2.85546875" style="72" customWidth="1"/>
    <col min="23" max="23" width="8.140625" style="71" customWidth="1"/>
    <col min="24" max="24" width="7.85546875" style="71" customWidth="1"/>
    <col min="25" max="25" width="2.85546875" style="73" customWidth="1"/>
    <col min="26" max="26" width="3.28515625" style="72" customWidth="1"/>
    <col min="27" max="27" width="9.140625" style="71"/>
    <col min="28" max="28" width="9.5703125" style="71" customWidth="1"/>
    <col min="29" max="29" width="13.28515625" style="73" bestFit="1" customWidth="1"/>
    <col min="30" max="30" width="7.5703125" style="71" customWidth="1"/>
    <col min="31" max="31" width="24.5703125" style="71" bestFit="1" customWidth="1"/>
    <col min="32" max="32" width="14.28515625" style="71" bestFit="1" customWidth="1"/>
    <col min="33" max="33" width="13.28515625" style="71" bestFit="1" customWidth="1"/>
    <col min="34" max="34" width="9.5703125" style="71" bestFit="1" customWidth="1"/>
    <col min="35" max="16384" width="9.140625" style="71"/>
  </cols>
  <sheetData>
    <row r="1" spans="1:35" ht="9" customHeight="1" thickBot="1" x14ac:dyDescent="0.25"/>
    <row r="2" spans="1:35" ht="16.5" customHeight="1" x14ac:dyDescent="0.2">
      <c r="A2" s="74"/>
      <c r="B2" s="75"/>
      <c r="AA2" s="65" t="s">
        <v>50</v>
      </c>
      <c r="AB2" s="66"/>
      <c r="AC2" s="67"/>
      <c r="AE2" s="76"/>
      <c r="AF2" s="76"/>
      <c r="AG2" s="76"/>
    </row>
    <row r="3" spans="1:35" ht="16.5" customHeight="1" thickBot="1" x14ac:dyDescent="0.25">
      <c r="A3" s="74"/>
      <c r="B3" s="75"/>
      <c r="C3" s="77" t="s">
        <v>9</v>
      </c>
      <c r="D3" s="77"/>
      <c r="E3" s="78"/>
      <c r="F3" s="78"/>
      <c r="H3" s="77" t="s">
        <v>10</v>
      </c>
      <c r="I3" s="77"/>
      <c r="J3" s="78"/>
      <c r="K3" s="78"/>
      <c r="M3" s="77" t="s">
        <v>11</v>
      </c>
      <c r="N3" s="77"/>
      <c r="O3" s="78"/>
      <c r="P3" s="78"/>
      <c r="R3" s="77" t="s">
        <v>42</v>
      </c>
      <c r="S3" s="77"/>
      <c r="T3" s="78"/>
      <c r="U3" s="78"/>
      <c r="V3" s="79"/>
      <c r="W3" s="77" t="s">
        <v>15</v>
      </c>
      <c r="X3" s="77"/>
      <c r="AA3" s="68"/>
      <c r="AB3" s="69"/>
      <c r="AC3" s="70"/>
      <c r="AE3" s="76"/>
      <c r="AF3" s="76"/>
      <c r="AG3" s="76"/>
    </row>
    <row r="4" spans="1:35" ht="16.5" customHeight="1" thickBot="1" x14ac:dyDescent="0.25">
      <c r="A4" s="74"/>
      <c r="B4" s="75" t="s">
        <v>54</v>
      </c>
      <c r="C4" s="80">
        <v>70000</v>
      </c>
      <c r="D4" s="81">
        <v>68750</v>
      </c>
      <c r="E4" s="78">
        <v>2</v>
      </c>
      <c r="F4" s="78"/>
      <c r="G4" s="72" t="s">
        <v>54</v>
      </c>
      <c r="H4" s="80">
        <v>100000</v>
      </c>
      <c r="I4" s="81">
        <v>70000</v>
      </c>
      <c r="J4" s="78">
        <v>1</v>
      </c>
      <c r="K4" s="78"/>
      <c r="L4" s="72" t="s">
        <v>54</v>
      </c>
      <c r="M4" s="80">
        <v>20000</v>
      </c>
      <c r="N4" s="81">
        <v>65750</v>
      </c>
      <c r="O4" s="78" t="s">
        <v>58</v>
      </c>
      <c r="P4" s="78"/>
      <c r="Q4" s="72" t="s">
        <v>54</v>
      </c>
      <c r="R4" s="82">
        <v>100000</v>
      </c>
      <c r="S4" s="83"/>
      <c r="T4" s="78"/>
      <c r="U4" s="78"/>
      <c r="V4" s="79" t="s">
        <v>54</v>
      </c>
      <c r="W4" s="82">
        <v>30000</v>
      </c>
      <c r="X4" s="83"/>
      <c r="AA4" s="37" t="s">
        <v>47</v>
      </c>
      <c r="AB4" s="33" t="s">
        <v>49</v>
      </c>
      <c r="AC4" s="40" t="s">
        <v>48</v>
      </c>
      <c r="AE4" s="84" t="s">
        <v>40</v>
      </c>
      <c r="AF4" s="85">
        <v>43312</v>
      </c>
      <c r="AG4" s="86">
        <v>43343</v>
      </c>
    </row>
    <row r="5" spans="1:35" ht="16.5" customHeight="1" thickTop="1" thickBot="1" x14ac:dyDescent="0.25">
      <c r="A5" s="74"/>
      <c r="B5" s="75">
        <v>1</v>
      </c>
      <c r="C5" s="80">
        <v>70000</v>
      </c>
      <c r="D5" s="87">
        <v>37500</v>
      </c>
      <c r="E5" s="78" t="s">
        <v>53</v>
      </c>
      <c r="F5" s="78"/>
      <c r="G5" s="72" t="s">
        <v>57</v>
      </c>
      <c r="H5" s="88">
        <f>150000*0.3</f>
        <v>45000</v>
      </c>
      <c r="I5" s="89"/>
      <c r="J5" s="78"/>
      <c r="K5" s="78"/>
      <c r="L5" s="90" t="s">
        <v>53</v>
      </c>
      <c r="M5" s="80">
        <v>60000</v>
      </c>
      <c r="N5" s="91"/>
      <c r="O5" s="78"/>
      <c r="P5" s="78"/>
      <c r="R5" s="80">
        <v>100000</v>
      </c>
      <c r="S5" s="91"/>
      <c r="T5" s="78"/>
      <c r="U5" s="78"/>
      <c r="V5" s="79"/>
      <c r="W5" s="80">
        <v>30000</v>
      </c>
      <c r="X5" s="91"/>
      <c r="AA5" s="37">
        <v>250</v>
      </c>
      <c r="AB5" s="41">
        <v>80</v>
      </c>
      <c r="AC5" s="42">
        <f>AB5*AA5</f>
        <v>20000</v>
      </c>
      <c r="AE5" s="92" t="s">
        <v>7</v>
      </c>
      <c r="AF5" s="93">
        <v>320000</v>
      </c>
      <c r="AG5" s="94">
        <f>AG6+AG7+AG8+AG9+AG10+AG11</f>
        <v>323666.66666666669</v>
      </c>
    </row>
    <row r="6" spans="1:35" ht="16.5" customHeight="1" thickTop="1" thickBot="1" x14ac:dyDescent="0.25">
      <c r="A6" s="74"/>
      <c r="B6" s="75" t="s">
        <v>57</v>
      </c>
      <c r="C6" s="80">
        <f>150000*0.7</f>
        <v>105000</v>
      </c>
      <c r="D6" s="87">
        <v>1000</v>
      </c>
      <c r="E6" s="78" t="s">
        <v>52</v>
      </c>
      <c r="F6" s="78"/>
      <c r="H6" s="80">
        <f>H5+H4-I4</f>
        <v>75000</v>
      </c>
      <c r="I6" s="91"/>
      <c r="J6" s="78"/>
      <c r="K6" s="78"/>
      <c r="L6" s="72" t="s">
        <v>52</v>
      </c>
      <c r="M6" s="95">
        <v>1000</v>
      </c>
      <c r="N6" s="89"/>
      <c r="O6" s="78"/>
      <c r="P6" s="78"/>
      <c r="R6" s="96"/>
      <c r="S6" s="91"/>
      <c r="T6" s="78"/>
      <c r="U6" s="78"/>
      <c r="V6" s="79"/>
      <c r="W6" s="96"/>
      <c r="X6" s="91"/>
      <c r="AA6" s="37">
        <v>600</v>
      </c>
      <c r="AB6" s="34">
        <f>AC6/AA6</f>
        <v>101.66666666666667</v>
      </c>
      <c r="AC6" s="42">
        <v>61000</v>
      </c>
      <c r="AE6" s="97" t="s">
        <v>9</v>
      </c>
      <c r="AF6" s="98">
        <v>70000</v>
      </c>
      <c r="AG6" s="99">
        <f>C4+C5+C6-D4-D5-D6-D7-D8-D9</f>
        <v>104750</v>
      </c>
    </row>
    <row r="7" spans="1:35" ht="16.5" customHeight="1" thickTop="1" x14ac:dyDescent="0.2">
      <c r="C7" s="96"/>
      <c r="D7" s="87">
        <v>10000</v>
      </c>
      <c r="E7" s="78">
        <v>6</v>
      </c>
      <c r="F7" s="78"/>
      <c r="H7" s="96"/>
      <c r="I7" s="91"/>
      <c r="J7" s="78"/>
      <c r="K7" s="78"/>
      <c r="M7" s="80">
        <f>M6+M5+M4-N4</f>
        <v>15250</v>
      </c>
      <c r="N7" s="91"/>
      <c r="O7" s="78"/>
      <c r="P7" s="78"/>
      <c r="R7" s="96"/>
      <c r="S7" s="91"/>
      <c r="T7" s="78"/>
      <c r="U7" s="78"/>
      <c r="V7" s="79"/>
      <c r="W7" s="96"/>
      <c r="X7" s="91"/>
      <c r="AA7" s="37">
        <v>-250</v>
      </c>
      <c r="AB7" s="41">
        <v>80</v>
      </c>
      <c r="AC7" s="42">
        <f>AB7*AA7</f>
        <v>-20000</v>
      </c>
      <c r="AE7" s="97" t="s">
        <v>10</v>
      </c>
      <c r="AF7" s="98">
        <v>100000</v>
      </c>
      <c r="AG7" s="99">
        <f>H4+H5-I4</f>
        <v>75000</v>
      </c>
    </row>
    <row r="8" spans="1:35" ht="16.5" customHeight="1" thickBot="1" x14ac:dyDescent="0.25">
      <c r="C8" s="96"/>
      <c r="D8" s="87">
        <v>20000</v>
      </c>
      <c r="E8" s="73">
        <v>7</v>
      </c>
      <c r="Z8" s="79"/>
      <c r="AA8" s="44">
        <f>250-700</f>
        <v>-450</v>
      </c>
      <c r="AB8" s="45">
        <v>101.666666666667</v>
      </c>
      <c r="AC8" s="46">
        <f>AB8*AA8</f>
        <v>-45750.000000000153</v>
      </c>
      <c r="AE8" s="97" t="s">
        <v>11</v>
      </c>
      <c r="AF8" s="98">
        <v>20000</v>
      </c>
      <c r="AG8" s="99">
        <v>15250</v>
      </c>
      <c r="AH8" s="100"/>
    </row>
    <row r="9" spans="1:35" ht="16.5" customHeight="1" thickTop="1" thickBot="1" x14ac:dyDescent="0.25">
      <c r="C9" s="101"/>
      <c r="D9" s="102">
        <v>3000</v>
      </c>
      <c r="E9" s="73">
        <v>8</v>
      </c>
      <c r="Z9" s="79"/>
      <c r="AA9" s="37">
        <f>AA6+AA8</f>
        <v>150</v>
      </c>
      <c r="AB9" s="34">
        <f>AB8</f>
        <v>101.666666666667</v>
      </c>
      <c r="AC9" s="47">
        <f>AB9*AA9</f>
        <v>15250.000000000049</v>
      </c>
      <c r="AE9" s="97" t="s">
        <v>13</v>
      </c>
      <c r="AF9" s="98">
        <v>100000</v>
      </c>
      <c r="AG9" s="99">
        <v>100000</v>
      </c>
    </row>
    <row r="10" spans="1:35" ht="16.5" customHeight="1" thickTop="1" thickBot="1" x14ac:dyDescent="0.25">
      <c r="C10" s="103">
        <f>SUM(C4:C6)-SUM(D4:D9)</f>
        <v>104750</v>
      </c>
      <c r="D10" s="104"/>
      <c r="Z10" s="79"/>
      <c r="AA10" s="38"/>
      <c r="AB10" s="39"/>
      <c r="AC10" s="43"/>
      <c r="AE10" s="97" t="s">
        <v>15</v>
      </c>
      <c r="AF10" s="98">
        <v>30000</v>
      </c>
      <c r="AG10" s="99">
        <f>W4</f>
        <v>30000</v>
      </c>
      <c r="AH10" s="100"/>
    </row>
    <row r="11" spans="1:35" ht="16.5" customHeight="1" x14ac:dyDescent="0.2">
      <c r="C11" s="96"/>
      <c r="D11" s="103"/>
      <c r="Z11" s="79"/>
      <c r="AE11" s="97" t="s">
        <v>81</v>
      </c>
      <c r="AF11" s="98" t="s">
        <v>82</v>
      </c>
      <c r="AG11" s="99">
        <f>-(D14+D15)</f>
        <v>-1333.333333333333</v>
      </c>
      <c r="AH11" s="105"/>
      <c r="AI11" s="74"/>
    </row>
    <row r="12" spans="1:35" ht="16.5" customHeight="1" x14ac:dyDescent="0.2">
      <c r="Z12" s="79"/>
      <c r="AE12" s="106" t="s">
        <v>17</v>
      </c>
      <c r="AF12" s="107">
        <v>98750</v>
      </c>
      <c r="AG12" s="108">
        <f>AG13+AG14+AG15+AG16+AG17+AG18</f>
        <v>78841</v>
      </c>
      <c r="AH12" s="74"/>
      <c r="AI12" s="74"/>
    </row>
    <row r="13" spans="1:35" ht="16.5" customHeight="1" x14ac:dyDescent="0.2">
      <c r="B13" s="75"/>
      <c r="C13" s="77" t="s">
        <v>63</v>
      </c>
      <c r="D13" s="77"/>
      <c r="H13" s="77" t="s">
        <v>51</v>
      </c>
      <c r="I13" s="77"/>
      <c r="Z13" s="79"/>
      <c r="AE13" s="97" t="s">
        <v>19</v>
      </c>
      <c r="AF13" s="98">
        <v>50000</v>
      </c>
      <c r="AG13" s="99">
        <f>D21</f>
        <v>37500</v>
      </c>
      <c r="AH13" s="74"/>
      <c r="AI13" s="74"/>
    </row>
    <row r="14" spans="1:35" ht="16.5" customHeight="1" thickBot="1" x14ac:dyDescent="0.25">
      <c r="B14" s="75"/>
      <c r="C14" s="80"/>
      <c r="D14" s="81">
        <v>833.33333333333303</v>
      </c>
      <c r="E14" s="73">
        <v>5</v>
      </c>
      <c r="G14" s="90" t="s">
        <v>53</v>
      </c>
      <c r="H14" s="82">
        <v>15000</v>
      </c>
      <c r="I14" s="83"/>
      <c r="Z14" s="79"/>
      <c r="AE14" s="97" t="s">
        <v>21</v>
      </c>
      <c r="AF14" s="98">
        <v>5000</v>
      </c>
      <c r="AG14" s="99">
        <v>0</v>
      </c>
      <c r="AH14" s="74"/>
      <c r="AI14" s="74"/>
    </row>
    <row r="15" spans="1:35" ht="16.5" customHeight="1" thickTop="1" thickBot="1" x14ac:dyDescent="0.25">
      <c r="B15" s="75"/>
      <c r="C15" s="88"/>
      <c r="D15" s="102">
        <v>500</v>
      </c>
      <c r="E15" s="73">
        <v>5</v>
      </c>
      <c r="H15" s="80">
        <v>15000</v>
      </c>
      <c r="I15" s="87">
        <v>15000</v>
      </c>
      <c r="J15" s="73" t="s">
        <v>65</v>
      </c>
      <c r="Z15" s="79"/>
      <c r="AE15" s="97" t="s">
        <v>23</v>
      </c>
      <c r="AF15" s="98">
        <v>13750</v>
      </c>
      <c r="AG15" s="99">
        <v>19647</v>
      </c>
      <c r="AH15" s="74"/>
      <c r="AI15" s="74"/>
    </row>
    <row r="16" spans="1:35" ht="16.5" customHeight="1" thickTop="1" x14ac:dyDescent="0.2">
      <c r="B16" s="75"/>
      <c r="C16" s="80"/>
      <c r="D16" s="87">
        <f>D15+D14</f>
        <v>1333.333333333333</v>
      </c>
      <c r="H16" s="96"/>
      <c r="I16" s="91">
        <v>0</v>
      </c>
      <c r="Z16" s="79"/>
      <c r="AE16" s="97" t="s">
        <v>25</v>
      </c>
      <c r="AF16" s="98">
        <v>10000</v>
      </c>
      <c r="AG16" s="99">
        <f>S23</f>
        <v>15000</v>
      </c>
    </row>
    <row r="17" spans="2:34" ht="16.5" customHeight="1" x14ac:dyDescent="0.2">
      <c r="C17" s="96"/>
      <c r="D17" s="91"/>
      <c r="H17" s="96"/>
      <c r="I17" s="91"/>
      <c r="Z17" s="79"/>
      <c r="AA17" s="109"/>
      <c r="AB17" s="109"/>
      <c r="AC17" s="78"/>
      <c r="AE17" s="97" t="s">
        <v>26</v>
      </c>
      <c r="AF17" s="98">
        <v>20000</v>
      </c>
      <c r="AG17" s="99">
        <f>X21</f>
        <v>5894</v>
      </c>
    </row>
    <row r="18" spans="2:34" ht="16.5" customHeight="1" x14ac:dyDescent="0.2">
      <c r="C18" s="96"/>
      <c r="D18" s="110"/>
      <c r="Z18" s="79"/>
      <c r="AA18" s="110"/>
      <c r="AB18" s="103"/>
      <c r="AC18" s="78"/>
      <c r="AD18" s="111"/>
      <c r="AE18" s="97" t="s">
        <v>61</v>
      </c>
      <c r="AF18" s="98">
        <v>0</v>
      </c>
      <c r="AG18" s="99">
        <v>800</v>
      </c>
    </row>
    <row r="19" spans="2:34" ht="16.5" customHeight="1" x14ac:dyDescent="0.2">
      <c r="B19" s="75"/>
      <c r="C19" s="77" t="s">
        <v>19</v>
      </c>
      <c r="D19" s="77"/>
      <c r="E19" s="78"/>
      <c r="F19" s="78"/>
      <c r="H19" s="77" t="s">
        <v>43</v>
      </c>
      <c r="I19" s="77"/>
      <c r="J19" s="78"/>
      <c r="K19" s="78"/>
      <c r="M19" s="77" t="s">
        <v>44</v>
      </c>
      <c r="N19" s="77"/>
      <c r="O19" s="78"/>
      <c r="P19" s="78"/>
      <c r="R19" s="77" t="s">
        <v>25</v>
      </c>
      <c r="S19" s="77"/>
      <c r="T19" s="78"/>
      <c r="U19" s="78"/>
      <c r="W19" s="77" t="s">
        <v>45</v>
      </c>
      <c r="X19" s="77"/>
      <c r="Z19" s="79"/>
      <c r="AA19" s="110"/>
      <c r="AB19" s="110"/>
      <c r="AC19" s="78"/>
      <c r="AD19" s="111"/>
      <c r="AE19" s="106" t="s">
        <v>27</v>
      </c>
      <c r="AF19" s="49">
        <v>221250</v>
      </c>
      <c r="AG19" s="108">
        <f>AG20+AG21</f>
        <v>244826</v>
      </c>
    </row>
    <row r="20" spans="2:34" ht="16.5" customHeight="1" thickBot="1" x14ac:dyDescent="0.25">
      <c r="B20" s="75">
        <v>2</v>
      </c>
      <c r="C20" s="80">
        <v>50000</v>
      </c>
      <c r="D20" s="81">
        <v>50000</v>
      </c>
      <c r="E20" s="78" t="s">
        <v>54</v>
      </c>
      <c r="F20" s="78"/>
      <c r="G20" s="72">
        <v>2</v>
      </c>
      <c r="H20" s="82">
        <v>5000</v>
      </c>
      <c r="I20" s="112">
        <v>5000</v>
      </c>
      <c r="J20" s="78" t="s">
        <v>54</v>
      </c>
      <c r="K20" s="78"/>
      <c r="L20" s="72">
        <v>2</v>
      </c>
      <c r="M20" s="113">
        <v>13750</v>
      </c>
      <c r="N20" s="81">
        <v>13750</v>
      </c>
      <c r="O20" s="78" t="s">
        <v>54</v>
      </c>
      <c r="P20" s="78"/>
      <c r="Q20" s="72">
        <v>6</v>
      </c>
      <c r="R20" s="80">
        <v>10000</v>
      </c>
      <c r="S20" s="81">
        <v>10000</v>
      </c>
      <c r="T20" s="78" t="s">
        <v>54</v>
      </c>
      <c r="U20" s="78"/>
      <c r="V20" s="72">
        <v>7</v>
      </c>
      <c r="W20" s="80">
        <v>20000</v>
      </c>
      <c r="X20" s="81">
        <v>20000</v>
      </c>
      <c r="Y20" s="73" t="s">
        <v>54</v>
      </c>
      <c r="Z20" s="79"/>
      <c r="AA20" s="110"/>
      <c r="AB20" s="110"/>
      <c r="AC20" s="78"/>
      <c r="AD20" s="111"/>
      <c r="AE20" s="97" t="s">
        <v>28</v>
      </c>
      <c r="AF20" s="114">
        <v>200000</v>
      </c>
      <c r="AG20" s="115">
        <f>N26</f>
        <v>200000</v>
      </c>
    </row>
    <row r="21" spans="2:34" ht="16.5" customHeight="1" thickTop="1" thickBot="1" x14ac:dyDescent="0.25">
      <c r="B21" s="75"/>
      <c r="C21" s="95"/>
      <c r="D21" s="102">
        <v>37500</v>
      </c>
      <c r="E21" s="78" t="s">
        <v>53</v>
      </c>
      <c r="F21" s="78"/>
      <c r="H21" s="96"/>
      <c r="I21" s="91">
        <v>0</v>
      </c>
      <c r="J21" s="78"/>
      <c r="K21" s="78"/>
      <c r="M21" s="110"/>
      <c r="N21" s="116">
        <v>19647</v>
      </c>
      <c r="O21" s="78">
        <v>10</v>
      </c>
      <c r="P21" s="78"/>
      <c r="R21" s="95"/>
      <c r="S21" s="102">
        <v>30000</v>
      </c>
      <c r="T21" s="78" t="s">
        <v>84</v>
      </c>
      <c r="U21" s="78"/>
      <c r="W21" s="95"/>
      <c r="X21" s="89">
        <v>5894</v>
      </c>
      <c r="Y21" s="73" t="s">
        <v>79</v>
      </c>
      <c r="Z21" s="79"/>
      <c r="AA21" s="110"/>
      <c r="AB21" s="110"/>
      <c r="AC21" s="78"/>
      <c r="AD21" s="111"/>
      <c r="AE21" s="97" t="s">
        <v>29</v>
      </c>
      <c r="AF21" s="48">
        <v>21250</v>
      </c>
      <c r="AG21" s="115">
        <f>S26+S27</f>
        <v>44826</v>
      </c>
      <c r="AH21" s="144"/>
    </row>
    <row r="22" spans="2:34" ht="16.5" customHeight="1" thickTop="1" thickBot="1" x14ac:dyDescent="0.25">
      <c r="B22" s="75"/>
      <c r="C22" s="96"/>
      <c r="D22" s="91">
        <v>37500</v>
      </c>
      <c r="E22" s="78"/>
      <c r="F22" s="78"/>
      <c r="H22" s="96"/>
      <c r="I22" s="91"/>
      <c r="J22" s="78"/>
      <c r="K22" s="78"/>
      <c r="M22" s="96"/>
      <c r="N22" s="91"/>
      <c r="O22" s="78"/>
      <c r="P22" s="78"/>
      <c r="Q22" s="72" t="s">
        <v>65</v>
      </c>
      <c r="R22" s="117">
        <v>15000</v>
      </c>
      <c r="S22" s="118">
        <v>30000</v>
      </c>
      <c r="T22" s="78"/>
      <c r="U22" s="78"/>
      <c r="W22" s="96"/>
      <c r="X22" s="91">
        <f>X21</f>
        <v>5894</v>
      </c>
      <c r="Z22" s="79"/>
      <c r="AA22" s="32"/>
      <c r="AB22" s="32"/>
      <c r="AC22" s="36"/>
      <c r="AD22" s="111"/>
      <c r="AE22" s="119" t="s">
        <v>30</v>
      </c>
      <c r="AF22" s="120">
        <v>320000</v>
      </c>
      <c r="AG22" s="121">
        <f>AG21+AG20+AG18+AG17+AG16+AG13+AG15+AG14</f>
        <v>323667</v>
      </c>
    </row>
    <row r="23" spans="2:34" ht="16.5" customHeight="1" x14ac:dyDescent="0.2">
      <c r="C23" s="96"/>
      <c r="D23" s="91"/>
      <c r="E23" s="78"/>
      <c r="F23" s="78"/>
      <c r="H23" s="96"/>
      <c r="I23" s="91"/>
      <c r="J23" s="78"/>
      <c r="K23" s="78"/>
      <c r="M23" s="96"/>
      <c r="N23" s="91"/>
      <c r="O23" s="78"/>
      <c r="P23" s="78"/>
      <c r="R23" s="96"/>
      <c r="S23" s="87">
        <v>15000</v>
      </c>
      <c r="T23" s="78"/>
      <c r="U23" s="78"/>
      <c r="W23" s="96"/>
      <c r="X23" s="91"/>
      <c r="Z23" s="79"/>
      <c r="AA23" s="30"/>
      <c r="AB23" s="31"/>
      <c r="AC23" s="30"/>
      <c r="AD23" s="111"/>
      <c r="AE23" s="30"/>
      <c r="AF23" s="35"/>
      <c r="AG23" s="96"/>
    </row>
    <row r="24" spans="2:34" ht="16.5" customHeight="1" x14ac:dyDescent="0.2">
      <c r="Z24" s="79"/>
      <c r="AA24" s="30"/>
      <c r="AB24" s="31"/>
      <c r="AC24" s="30"/>
      <c r="AD24" s="111"/>
      <c r="AE24" s="30"/>
      <c r="AF24" s="35"/>
    </row>
    <row r="25" spans="2:34" ht="16.5" customHeight="1" x14ac:dyDescent="0.2">
      <c r="B25" s="75"/>
      <c r="C25" s="77" t="s">
        <v>61</v>
      </c>
      <c r="D25" s="77"/>
      <c r="H25" s="109"/>
      <c r="I25" s="109"/>
      <c r="J25" s="78"/>
      <c r="K25" s="78"/>
      <c r="M25" s="77" t="s">
        <v>46</v>
      </c>
      <c r="N25" s="77"/>
      <c r="O25" s="78"/>
      <c r="P25" s="78"/>
      <c r="R25" s="77" t="s">
        <v>29</v>
      </c>
      <c r="S25" s="77"/>
      <c r="T25" s="78"/>
      <c r="U25" s="78"/>
      <c r="W25" s="122" t="s">
        <v>78</v>
      </c>
      <c r="X25" s="122"/>
      <c r="Z25" s="79"/>
      <c r="AA25" s="111"/>
      <c r="AB25" s="111"/>
      <c r="AC25" s="123"/>
      <c r="AD25" s="111"/>
      <c r="AE25" s="30"/>
      <c r="AF25" s="35"/>
    </row>
    <row r="26" spans="2:34" ht="16.5" customHeight="1" thickBot="1" x14ac:dyDescent="0.25">
      <c r="B26" s="75"/>
      <c r="C26" s="124"/>
      <c r="D26" s="112">
        <v>800</v>
      </c>
      <c r="E26" s="73" t="s">
        <v>60</v>
      </c>
      <c r="H26" s="110"/>
      <c r="I26" s="103"/>
      <c r="J26" s="78"/>
      <c r="K26" s="78"/>
      <c r="M26" s="124"/>
      <c r="N26" s="112">
        <v>200000</v>
      </c>
      <c r="O26" s="78" t="s">
        <v>54</v>
      </c>
      <c r="P26" s="78"/>
      <c r="R26" s="96"/>
      <c r="S26" s="81">
        <v>21250</v>
      </c>
      <c r="T26" s="78" t="s">
        <v>54</v>
      </c>
      <c r="U26" s="78"/>
      <c r="V26" s="72" t="s">
        <v>79</v>
      </c>
      <c r="W26" s="125">
        <f>0.2*X26</f>
        <v>5894</v>
      </c>
      <c r="X26" s="80">
        <f>I46</f>
        <v>29470</v>
      </c>
      <c r="Z26" s="79"/>
      <c r="AA26" s="111"/>
      <c r="AB26" s="111"/>
      <c r="AC26" s="123"/>
      <c r="AD26" s="111"/>
      <c r="AE26" s="30"/>
      <c r="AF26" s="35"/>
    </row>
    <row r="27" spans="2:34" ht="16.5" customHeight="1" thickTop="1" thickBot="1" x14ac:dyDescent="0.25">
      <c r="B27" s="75"/>
      <c r="C27" s="96"/>
      <c r="D27" s="91">
        <v>800</v>
      </c>
      <c r="H27" s="110"/>
      <c r="I27" s="110"/>
      <c r="J27" s="78"/>
      <c r="K27" s="78"/>
      <c r="M27" s="96"/>
      <c r="N27" s="87">
        <v>200000</v>
      </c>
      <c r="O27" s="78"/>
      <c r="P27" s="78"/>
      <c r="R27" s="95"/>
      <c r="S27" s="89">
        <v>23576</v>
      </c>
      <c r="T27" s="78" t="s">
        <v>80</v>
      </c>
      <c r="U27" s="78"/>
      <c r="V27" s="72" t="s">
        <v>80</v>
      </c>
      <c r="W27" s="88">
        <f>0.8*X26</f>
        <v>23576</v>
      </c>
      <c r="X27" s="89"/>
      <c r="AE27" s="30"/>
      <c r="AF27" s="35"/>
    </row>
    <row r="28" spans="2:34" ht="16.5" customHeight="1" thickTop="1" thickBot="1" x14ac:dyDescent="0.25">
      <c r="B28" s="75"/>
      <c r="C28" s="96"/>
      <c r="D28" s="91"/>
      <c r="H28" s="110"/>
      <c r="I28" s="110"/>
      <c r="J28" s="78"/>
      <c r="K28" s="78"/>
      <c r="M28" s="96"/>
      <c r="N28" s="91"/>
      <c r="O28" s="78"/>
      <c r="P28" s="78"/>
      <c r="R28" s="96"/>
      <c r="S28" s="87">
        <f>S27+S26</f>
        <v>44826</v>
      </c>
      <c r="T28" s="78"/>
      <c r="U28" s="78"/>
      <c r="W28" s="96"/>
      <c r="X28" s="91">
        <v>0</v>
      </c>
      <c r="AE28" s="126" t="s">
        <v>66</v>
      </c>
      <c r="AF28" s="127"/>
    </row>
    <row r="29" spans="2:34" ht="16.5" customHeight="1" x14ac:dyDescent="0.2">
      <c r="C29" s="96"/>
      <c r="D29" s="91"/>
      <c r="H29" s="110"/>
      <c r="I29" s="110"/>
      <c r="J29" s="78"/>
      <c r="K29" s="78"/>
      <c r="L29" s="90"/>
      <c r="M29" s="96"/>
      <c r="N29" s="91"/>
      <c r="O29" s="78"/>
      <c r="P29" s="78"/>
      <c r="R29" s="96"/>
      <c r="S29" s="91"/>
      <c r="T29" s="78"/>
      <c r="U29" s="78"/>
      <c r="V29" s="90"/>
      <c r="W29" s="96"/>
      <c r="X29" s="91"/>
      <c r="AE29" s="128" t="s">
        <v>69</v>
      </c>
      <c r="AF29" s="129">
        <v>150000</v>
      </c>
    </row>
    <row r="30" spans="2:34" ht="16.5" customHeight="1" x14ac:dyDescent="0.2">
      <c r="C30" s="96"/>
      <c r="D30" s="96"/>
      <c r="H30" s="96"/>
      <c r="I30" s="96"/>
      <c r="L30" s="90"/>
      <c r="M30" s="74"/>
      <c r="N30" s="74"/>
      <c r="AE30" s="130" t="s">
        <v>74</v>
      </c>
      <c r="AF30" s="129">
        <f>-M32</f>
        <v>-30000</v>
      </c>
    </row>
    <row r="31" spans="2:34" ht="16.5" customHeight="1" x14ac:dyDescent="0.2">
      <c r="C31" s="77" t="s">
        <v>55</v>
      </c>
      <c r="D31" s="77"/>
      <c r="E31" s="78"/>
      <c r="F31" s="78"/>
      <c r="H31" s="77" t="s">
        <v>56</v>
      </c>
      <c r="I31" s="77"/>
      <c r="J31" s="78"/>
      <c r="K31" s="78"/>
      <c r="M31" s="77" t="s">
        <v>83</v>
      </c>
      <c r="N31" s="77"/>
      <c r="O31" s="78"/>
      <c r="P31" s="78"/>
      <c r="R31" s="77" t="s">
        <v>59</v>
      </c>
      <c r="S31" s="77"/>
      <c r="W31" s="77" t="s">
        <v>62</v>
      </c>
      <c r="X31" s="77"/>
      <c r="AA31" s="77" t="s">
        <v>64</v>
      </c>
      <c r="AB31" s="77"/>
      <c r="AE31" s="130" t="s">
        <v>70</v>
      </c>
      <c r="AF31" s="129">
        <f>AF29+AF30</f>
        <v>120000</v>
      </c>
    </row>
    <row r="32" spans="2:34" ht="16.5" customHeight="1" x14ac:dyDescent="0.2">
      <c r="C32" s="80"/>
      <c r="D32" s="81">
        <v>150000</v>
      </c>
      <c r="E32" s="78" t="s">
        <v>57</v>
      </c>
      <c r="F32" s="78"/>
      <c r="G32" s="72" t="s">
        <v>58</v>
      </c>
      <c r="H32" s="80">
        <v>65750</v>
      </c>
      <c r="I32" s="81"/>
      <c r="J32" s="78"/>
      <c r="K32" s="78"/>
      <c r="L32" s="72" t="s">
        <v>84</v>
      </c>
      <c r="M32" s="80">
        <f>D32*0.2</f>
        <v>30000</v>
      </c>
      <c r="N32" s="81"/>
      <c r="O32" s="78"/>
      <c r="P32" s="78"/>
      <c r="Q32" s="72" t="s">
        <v>60</v>
      </c>
      <c r="R32" s="96">
        <v>800</v>
      </c>
      <c r="S32" s="81"/>
      <c r="V32" s="72">
        <v>5</v>
      </c>
      <c r="W32" s="80">
        <v>833.33333333333337</v>
      </c>
      <c r="X32" s="81"/>
      <c r="Z32" s="72">
        <v>8</v>
      </c>
      <c r="AA32" s="80">
        <v>3000</v>
      </c>
      <c r="AB32" s="81"/>
      <c r="AE32" s="128" t="s">
        <v>67</v>
      </c>
      <c r="AF32" s="129">
        <f>-H32</f>
        <v>-65750</v>
      </c>
    </row>
    <row r="33" spans="2:32" ht="16.5" customHeight="1" x14ac:dyDescent="0.2">
      <c r="C33" s="96"/>
      <c r="D33" s="91"/>
      <c r="E33" s="78"/>
      <c r="F33" s="78"/>
      <c r="H33" s="96"/>
      <c r="I33" s="91"/>
      <c r="J33" s="78"/>
      <c r="K33" s="78"/>
      <c r="M33" s="96"/>
      <c r="N33" s="91"/>
      <c r="O33" s="78"/>
      <c r="P33" s="78"/>
      <c r="R33" s="96"/>
      <c r="S33" s="91"/>
      <c r="V33" s="72">
        <v>5</v>
      </c>
      <c r="W33" s="80">
        <v>500</v>
      </c>
      <c r="X33" s="91"/>
      <c r="AA33" s="80"/>
      <c r="AB33" s="91"/>
      <c r="AE33" s="128" t="s">
        <v>68</v>
      </c>
      <c r="AF33" s="131">
        <f>AF31+AF32</f>
        <v>54250</v>
      </c>
    </row>
    <row r="34" spans="2:32" ht="16.5" customHeight="1" x14ac:dyDescent="0.2">
      <c r="C34" s="96"/>
      <c r="D34" s="91"/>
      <c r="E34" s="78"/>
      <c r="F34" s="78"/>
      <c r="H34" s="96"/>
      <c r="I34" s="91"/>
      <c r="J34" s="78"/>
      <c r="K34" s="78"/>
      <c r="M34" s="96"/>
      <c r="N34" s="91"/>
      <c r="O34" s="78"/>
      <c r="P34" s="78"/>
      <c r="R34" s="96"/>
      <c r="S34" s="91"/>
      <c r="W34" s="96"/>
      <c r="X34" s="91"/>
      <c r="AA34" s="96"/>
      <c r="AB34" s="91"/>
      <c r="AE34" s="132" t="s">
        <v>71</v>
      </c>
      <c r="AF34" s="131">
        <v>-3000</v>
      </c>
    </row>
    <row r="35" spans="2:32" ht="16.5" customHeight="1" x14ac:dyDescent="0.2">
      <c r="C35" s="96"/>
      <c r="D35" s="91"/>
      <c r="E35" s="78"/>
      <c r="F35" s="78"/>
      <c r="H35" s="96"/>
      <c r="I35" s="91"/>
      <c r="J35" s="78"/>
      <c r="K35" s="78"/>
      <c r="M35" s="96"/>
      <c r="N35" s="91"/>
      <c r="O35" s="78"/>
      <c r="P35" s="78"/>
      <c r="R35" s="96"/>
      <c r="S35" s="91"/>
      <c r="W35" s="96"/>
      <c r="X35" s="91"/>
      <c r="AA35" s="96"/>
      <c r="AB35" s="91"/>
      <c r="AE35" s="130" t="s">
        <v>72</v>
      </c>
      <c r="AF35" s="131">
        <v>-1333</v>
      </c>
    </row>
    <row r="36" spans="2:32" ht="16.5" customHeight="1" x14ac:dyDescent="0.2">
      <c r="G36" s="90"/>
      <c r="H36" s="74"/>
      <c r="I36" s="74"/>
      <c r="AE36" s="133" t="s">
        <v>73</v>
      </c>
      <c r="AF36" s="131">
        <v>-800</v>
      </c>
    </row>
    <row r="37" spans="2:32" ht="16.5" customHeight="1" x14ac:dyDescent="0.2">
      <c r="C37" s="77" t="s">
        <v>85</v>
      </c>
      <c r="D37" s="77"/>
      <c r="E37" s="78"/>
      <c r="H37" s="77" t="s">
        <v>87</v>
      </c>
      <c r="I37" s="77"/>
      <c r="L37" s="90"/>
      <c r="M37" s="74"/>
      <c r="N37" s="74"/>
      <c r="AE37" s="134" t="s">
        <v>75</v>
      </c>
      <c r="AF37" s="131">
        <f>AF33+AF34+AF35+AF36</f>
        <v>49117</v>
      </c>
    </row>
    <row r="38" spans="2:32" ht="16.5" customHeight="1" x14ac:dyDescent="0.2">
      <c r="B38" s="72">
        <v>10</v>
      </c>
      <c r="C38" s="80">
        <f>0.4*I45</f>
        <v>19646.666666666672</v>
      </c>
      <c r="D38" s="81"/>
      <c r="E38" s="78"/>
      <c r="H38" s="137">
        <f>H32</f>
        <v>65750</v>
      </c>
      <c r="I38" s="138">
        <f>D32</f>
        <v>150000</v>
      </c>
      <c r="L38" s="90"/>
      <c r="M38" s="74"/>
      <c r="N38" s="74"/>
      <c r="AE38" s="134" t="s">
        <v>76</v>
      </c>
      <c r="AF38" s="131">
        <f>-0.4*AF37</f>
        <v>-19646.800000000003</v>
      </c>
    </row>
    <row r="39" spans="2:32" ht="16.5" customHeight="1" x14ac:dyDescent="0.2">
      <c r="C39" s="96"/>
      <c r="D39" s="91"/>
      <c r="E39" s="78"/>
      <c r="H39" s="137">
        <f>M32</f>
        <v>30000</v>
      </c>
      <c r="I39" s="139"/>
      <c r="L39" s="90"/>
      <c r="M39" s="74"/>
      <c r="N39" s="74"/>
      <c r="AE39" s="135" t="s">
        <v>77</v>
      </c>
      <c r="AF39" s="136">
        <f>AF37+AF38</f>
        <v>29470.199999999997</v>
      </c>
    </row>
    <row r="40" spans="2:32" ht="16.5" customHeight="1" x14ac:dyDescent="0.2">
      <c r="C40" s="96"/>
      <c r="D40" s="91"/>
      <c r="E40" s="78"/>
      <c r="H40" s="137">
        <f>R32</f>
        <v>800</v>
      </c>
      <c r="I40" s="139"/>
    </row>
    <row r="41" spans="2:32" ht="16.5" customHeight="1" x14ac:dyDescent="0.2">
      <c r="C41" s="96"/>
      <c r="D41" s="91"/>
      <c r="E41" s="78"/>
      <c r="H41" s="137">
        <f>W32</f>
        <v>833.33333333333337</v>
      </c>
      <c r="I41" s="139"/>
    </row>
    <row r="42" spans="2:32" ht="16.5" customHeight="1" x14ac:dyDescent="0.2">
      <c r="H42" s="141">
        <f>W33</f>
        <v>500</v>
      </c>
      <c r="I42" s="140"/>
    </row>
    <row r="43" spans="2:32" ht="16.5" customHeight="1" x14ac:dyDescent="0.2">
      <c r="H43" s="142">
        <f>AA32</f>
        <v>3000</v>
      </c>
      <c r="I43" s="143"/>
    </row>
    <row r="44" spans="2:32" ht="16.5" customHeight="1" x14ac:dyDescent="0.2">
      <c r="H44" s="145">
        <f>SUM(H38:H43)</f>
        <v>100883.33333333333</v>
      </c>
      <c r="I44" s="146">
        <f>SUM(I38:I43)</f>
        <v>150000</v>
      </c>
      <c r="J44" s="78"/>
    </row>
    <row r="45" spans="2:32" ht="16.5" customHeight="1" thickBot="1" x14ac:dyDescent="0.25">
      <c r="H45" s="148">
        <f>C38</f>
        <v>19646.666666666672</v>
      </c>
      <c r="I45" s="147">
        <f>I44-H44</f>
        <v>49116.666666666672</v>
      </c>
    </row>
    <row r="46" spans="2:32" ht="16.5" customHeight="1" x14ac:dyDescent="0.2">
      <c r="I46" s="149">
        <f>I45-H45</f>
        <v>29470</v>
      </c>
    </row>
    <row r="47" spans="2:32" ht="16.5" customHeight="1" x14ac:dyDescent="0.2">
      <c r="I47" s="134"/>
    </row>
  </sheetData>
  <mergeCells count="28">
    <mergeCell ref="AA2:AC3"/>
    <mergeCell ref="C37:D37"/>
    <mergeCell ref="AA17:AB17"/>
    <mergeCell ref="W31:X31"/>
    <mergeCell ref="C13:D13"/>
    <mergeCell ref="AA31:AB31"/>
    <mergeCell ref="H37:I37"/>
    <mergeCell ref="M25:N25"/>
    <mergeCell ref="H13:I13"/>
    <mergeCell ref="R25:S25"/>
    <mergeCell ref="C25:D25"/>
    <mergeCell ref="H25:I25"/>
    <mergeCell ref="AE2:AG3"/>
    <mergeCell ref="C31:D31"/>
    <mergeCell ref="H31:I31"/>
    <mergeCell ref="M31:N31"/>
    <mergeCell ref="R31:S31"/>
    <mergeCell ref="C3:D3"/>
    <mergeCell ref="H3:I3"/>
    <mergeCell ref="M3:N3"/>
    <mergeCell ref="R3:S3"/>
    <mergeCell ref="W3:X3"/>
    <mergeCell ref="C19:D19"/>
    <mergeCell ref="H19:I19"/>
    <mergeCell ref="M19:N19"/>
    <mergeCell ref="R19:S19"/>
    <mergeCell ref="W19:X19"/>
    <mergeCell ref="AE28:AF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CIA DAS ALMOFADAS</vt:lpstr>
      <vt:lpstr>CIA DOS TAPETES</vt:lpstr>
      <vt:lpstr>Resolução CIA DOS TAPETES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Usuario</cp:lastModifiedBy>
  <cp:lastPrinted>2018-06-14T12:02:39Z</cp:lastPrinted>
  <dcterms:created xsi:type="dcterms:W3CDTF">2018-04-19T21:14:17Z</dcterms:created>
  <dcterms:modified xsi:type="dcterms:W3CDTF">2018-06-14T12:32:09Z</dcterms:modified>
</cp:coreProperties>
</file>