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340" windowHeight="7545"/>
  </bookViews>
  <sheets>
    <sheet name="Imoveis" sheetId="5" r:id="rId1"/>
  </sheets>
  <calcPr calcId="171027"/>
</workbook>
</file>

<file path=xl/calcChain.xml><?xml version="1.0" encoding="utf-8"?>
<calcChain xmlns="http://schemas.openxmlformats.org/spreadsheetml/2006/main">
  <c r="K14" i="5" l="1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AC18" i="5" l="1"/>
  <c r="AB18" i="5"/>
  <c r="AC17" i="5"/>
  <c r="AB17" i="5"/>
  <c r="AC16" i="5"/>
  <c r="AB16" i="5"/>
  <c r="AC15" i="5"/>
  <c r="AB15" i="5"/>
  <c r="AC14" i="5"/>
  <c r="AB14" i="5"/>
  <c r="AC13" i="5"/>
  <c r="AB13" i="5"/>
  <c r="AC12" i="5"/>
  <c r="AB12" i="5"/>
  <c r="AC11" i="5"/>
  <c r="AB11" i="5"/>
  <c r="AC10" i="5"/>
  <c r="AB10" i="5"/>
  <c r="AC9" i="5"/>
  <c r="AB9" i="5"/>
  <c r="AC8" i="5"/>
  <c r="AB8" i="5"/>
  <c r="AC7" i="5"/>
  <c r="AB7" i="5"/>
  <c r="AC6" i="5"/>
  <c r="AB6" i="5"/>
  <c r="AC5" i="5"/>
  <c r="AB5" i="5"/>
  <c r="AC4" i="5"/>
  <c r="AB4" i="5"/>
  <c r="AC3" i="5"/>
  <c r="AB3" i="5"/>
  <c r="Z18" i="5"/>
  <c r="Y18" i="5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5" i="5"/>
  <c r="Y5" i="5"/>
  <c r="Z4" i="5"/>
  <c r="Y4" i="5"/>
  <c r="Z3" i="5"/>
  <c r="Y3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3" i="5"/>
  <c r="G14" i="5"/>
  <c r="G13" i="5"/>
  <c r="G12" i="5"/>
  <c r="G11" i="5"/>
  <c r="G10" i="5"/>
  <c r="G9" i="5"/>
  <c r="G8" i="5"/>
  <c r="G7" i="5"/>
  <c r="G6" i="5"/>
  <c r="G5" i="5"/>
  <c r="F15" i="5"/>
  <c r="F14" i="5"/>
  <c r="F13" i="5"/>
  <c r="F12" i="5"/>
  <c r="F11" i="5"/>
  <c r="F10" i="5"/>
  <c r="F9" i="5"/>
  <c r="F8" i="5"/>
  <c r="F7" i="5"/>
  <c r="F6" i="5"/>
  <c r="F5" i="5"/>
  <c r="C15" i="5"/>
  <c r="D14" i="5"/>
  <c r="D13" i="5"/>
  <c r="D12" i="5"/>
  <c r="D11" i="5"/>
  <c r="D10" i="5"/>
  <c r="D9" i="5"/>
  <c r="D8" i="5"/>
  <c r="D7" i="5"/>
  <c r="D6" i="5"/>
  <c r="D5" i="5"/>
  <c r="F17" i="5"/>
  <c r="H38" i="5"/>
  <c r="E15" i="5"/>
  <c r="E14" i="5"/>
  <c r="E13" i="5"/>
  <c r="E12" i="5"/>
  <c r="E11" i="5"/>
  <c r="E10" i="5"/>
  <c r="E9" i="5"/>
  <c r="E8" i="5"/>
  <c r="E7" i="5"/>
  <c r="E6" i="5"/>
  <c r="E5" i="5"/>
  <c r="B17" i="5"/>
  <c r="B16" i="5"/>
  <c r="I2" i="5"/>
  <c r="I14" i="5" s="1"/>
  <c r="E39" i="5"/>
  <c r="E38" i="5"/>
  <c r="H5" i="5" l="1"/>
  <c r="H7" i="5"/>
  <c r="H9" i="5"/>
  <c r="H11" i="5"/>
  <c r="H13" i="5"/>
  <c r="I5" i="5"/>
  <c r="I7" i="5"/>
  <c r="I9" i="5"/>
  <c r="I11" i="5"/>
  <c r="I13" i="5"/>
  <c r="H6" i="5"/>
  <c r="H8" i="5"/>
  <c r="H10" i="5"/>
  <c r="H12" i="5"/>
  <c r="H14" i="5"/>
  <c r="I6" i="5"/>
  <c r="I8" i="5"/>
  <c r="I10" i="5"/>
  <c r="I12" i="5"/>
  <c r="G1" i="5" l="1"/>
</calcChain>
</file>

<file path=xl/sharedStrings.xml><?xml version="1.0" encoding="utf-8"?>
<sst xmlns="http://schemas.openxmlformats.org/spreadsheetml/2006/main" count="39" uniqueCount="34">
  <si>
    <t>US$ Milhares</t>
  </si>
  <si>
    <t>Pés Quadrados</t>
  </si>
  <si>
    <t>Área</t>
  </si>
  <si>
    <t>Preço</t>
  </si>
  <si>
    <t>Y</t>
  </si>
  <si>
    <t>X</t>
  </si>
  <si>
    <t>Intervalo de confiança para a média de Y dado X</t>
  </si>
  <si>
    <t>XY</t>
  </si>
  <si>
    <t>Soma:</t>
  </si>
  <si>
    <t>Média</t>
  </si>
  <si>
    <t>Soma</t>
  </si>
  <si>
    <r>
      <t>(x_i - xb)</t>
    </r>
    <r>
      <rPr>
        <vertAlign val="superscript"/>
        <sz val="11"/>
        <color theme="1"/>
        <rFont val="Calibri"/>
        <family val="2"/>
        <scheme val="minor"/>
      </rPr>
      <t>2</t>
    </r>
  </si>
  <si>
    <t>h_i</t>
  </si>
  <si>
    <t>Intervalo de confiança</t>
  </si>
  <si>
    <t>n =</t>
  </si>
  <si>
    <t>t_alfa/2</t>
  </si>
  <si>
    <t>S_YX =</t>
  </si>
  <si>
    <t>Y-</t>
  </si>
  <si>
    <t>Y+</t>
  </si>
  <si>
    <t>Intervalo para média</t>
  </si>
  <si>
    <t>Previsão</t>
  </si>
  <si>
    <t xml:space="preserve">Atenção </t>
  </si>
  <si>
    <t>S_YX aqui é o erro padrão da estimativa</t>
  </si>
  <si>
    <r>
      <t xml:space="preserve">Soma </t>
    </r>
    <r>
      <rPr>
        <vertAlign val="superscript"/>
        <sz val="11"/>
        <color theme="1"/>
        <rFont val="Calibri"/>
        <family val="2"/>
        <scheme val="minor"/>
      </rPr>
      <t>2</t>
    </r>
  </si>
  <si>
    <t>Inclinação</t>
  </si>
  <si>
    <t>Intercepto</t>
  </si>
  <si>
    <t>SQ_Erro</t>
  </si>
  <si>
    <t>Lim Inf</t>
  </si>
  <si>
    <t>Lim Sup</t>
  </si>
  <si>
    <t>x</t>
  </si>
  <si>
    <t>Prev</t>
  </si>
  <si>
    <r>
      <t>(x-xb)</t>
    </r>
    <r>
      <rPr>
        <vertAlign val="superscript"/>
        <sz val="11"/>
        <color theme="1"/>
        <rFont val="Calibri"/>
        <family val="2"/>
        <scheme val="minor"/>
      </rPr>
      <t>2</t>
    </r>
  </si>
  <si>
    <t>Intervalo para valores individuais</t>
  </si>
  <si>
    <t>Intervalo para Y x=xi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</si>
</sst>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" xfId="0" applyBorder="1"/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0" xfId="0" applyNumberFormat="1" applyFill="1"/>
    <xf numFmtId="2" fontId="0" fillId="4" borderId="0" xfId="0" applyNumberFormat="1" applyFill="1"/>
    <xf numFmtId="0" fontId="0" fillId="4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0812577519518987"/>
                  <c:y val="-0.237814190223538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Imoveis!$C$5:$C$14</c:f>
              <c:numCache>
                <c:formatCode>0</c:formatCode>
                <c:ptCount val="10"/>
                <c:pt idx="0">
                  <c:v>1400</c:v>
                </c:pt>
                <c:pt idx="1">
                  <c:v>1600</c:v>
                </c:pt>
                <c:pt idx="2">
                  <c:v>1700</c:v>
                </c:pt>
                <c:pt idx="3">
                  <c:v>1875</c:v>
                </c:pt>
                <c:pt idx="4">
                  <c:v>1100</c:v>
                </c:pt>
                <c:pt idx="5">
                  <c:v>1550</c:v>
                </c:pt>
                <c:pt idx="6">
                  <c:v>2350</c:v>
                </c:pt>
                <c:pt idx="7">
                  <c:v>2450</c:v>
                </c:pt>
                <c:pt idx="8">
                  <c:v>1425</c:v>
                </c:pt>
                <c:pt idx="9">
                  <c:v>1700</c:v>
                </c:pt>
              </c:numCache>
            </c:numRef>
          </c:xVal>
          <c:yVal>
            <c:numRef>
              <c:f>Imoveis!$B$5:$B$14</c:f>
              <c:numCache>
                <c:formatCode>0</c:formatCode>
                <c:ptCount val="10"/>
                <c:pt idx="0">
                  <c:v>245</c:v>
                </c:pt>
                <c:pt idx="1">
                  <c:v>312</c:v>
                </c:pt>
                <c:pt idx="2">
                  <c:v>279</c:v>
                </c:pt>
                <c:pt idx="3">
                  <c:v>308</c:v>
                </c:pt>
                <c:pt idx="4">
                  <c:v>199</c:v>
                </c:pt>
                <c:pt idx="5">
                  <c:v>219</c:v>
                </c:pt>
                <c:pt idx="6">
                  <c:v>405</c:v>
                </c:pt>
                <c:pt idx="7">
                  <c:v>324</c:v>
                </c:pt>
                <c:pt idx="8">
                  <c:v>319</c:v>
                </c:pt>
                <c:pt idx="9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5-44A6-87D0-1AAA03612782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Imoveis!$U$3:$U$18</c:f>
              <c:numCache>
                <c:formatCode>General</c:formatCode>
                <c:ptCount val="1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</c:numCache>
            </c:numRef>
          </c:xVal>
          <c:yVal>
            <c:numRef>
              <c:f>Imoveis!$Y$3:$Y$18</c:f>
              <c:numCache>
                <c:formatCode>0.00</c:formatCode>
                <c:ptCount val="16"/>
                <c:pt idx="0">
                  <c:v>145.86024838441463</c:v>
                </c:pt>
                <c:pt idx="1">
                  <c:v>163.36390708297662</c:v>
                </c:pt>
                <c:pt idx="2">
                  <c:v>180.55893878778241</c:v>
                </c:pt>
                <c:pt idx="3">
                  <c:v>197.31319414516219</c:v>
                </c:pt>
                <c:pt idx="4">
                  <c:v>213.42770095628543</c:v>
                </c:pt>
                <c:pt idx="5">
                  <c:v>228.61364762503402</c:v>
                </c:pt>
                <c:pt idx="6">
                  <c:v>242.49514286641175</c:v>
                </c:pt>
                <c:pt idx="7">
                  <c:v>254.69291241384849</c:v>
                </c:pt>
                <c:pt idx="8">
                  <c:v>265.00621639660176</c:v>
                </c:pt>
                <c:pt idx="9">
                  <c:v>273.54764016559591</c:v>
                </c:pt>
                <c:pt idx="10">
                  <c:v>280.66431120965183</c:v>
                </c:pt>
                <c:pt idx="11">
                  <c:v>286.74712040928711</c:v>
                </c:pt>
                <c:pt idx="12">
                  <c:v>292.11373774002215</c:v>
                </c:pt>
                <c:pt idx="13">
                  <c:v>296.98805415776383</c:v>
                </c:pt>
                <c:pt idx="14">
                  <c:v>301.51966849579031</c:v>
                </c:pt>
                <c:pt idx="15">
                  <c:v>305.80761453938834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D5-44A6-87D0-1AAA03612782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Imoveis!$U$3:$U$18</c:f>
              <c:numCache>
                <c:formatCode>General</c:formatCode>
                <c:ptCount val="1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</c:numCache>
            </c:numRef>
          </c:xVal>
          <c:yVal>
            <c:numRef>
              <c:f>Imoveis!$Z$3:$Z$18</c:f>
              <c:numCache>
                <c:formatCode>0.00</c:formatCode>
                <c:ptCount val="16"/>
                <c:pt idx="0">
                  <c:v>270.17188651854428</c:v>
                </c:pt>
                <c:pt idx="1">
                  <c:v>274.62177538600201</c:v>
                </c:pt>
                <c:pt idx="2">
                  <c:v>279.38029124721595</c:v>
                </c:pt>
                <c:pt idx="3">
                  <c:v>284.57958345585592</c:v>
                </c:pt>
                <c:pt idx="4">
                  <c:v>290.4186242107524</c:v>
                </c:pt>
                <c:pt idx="5">
                  <c:v>297.18622510802356</c:v>
                </c:pt>
                <c:pt idx="6">
                  <c:v>305.25827743266558</c:v>
                </c:pt>
                <c:pt idx="7">
                  <c:v>315.01405545124851</c:v>
                </c:pt>
                <c:pt idx="8">
                  <c:v>326.65429903451491</c:v>
                </c:pt>
                <c:pt idx="9">
                  <c:v>340.06642283154054</c:v>
                </c:pt>
                <c:pt idx="10">
                  <c:v>354.90329935350439</c:v>
                </c:pt>
                <c:pt idx="11">
                  <c:v>370.7740377198889</c:v>
                </c:pt>
                <c:pt idx="12">
                  <c:v>387.36096795517352</c:v>
                </c:pt>
                <c:pt idx="13">
                  <c:v>404.4401991034515</c:v>
                </c:pt>
                <c:pt idx="14">
                  <c:v>421.8621323314448</c:v>
                </c:pt>
                <c:pt idx="15">
                  <c:v>439.52773385386644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D5-44A6-87D0-1AAA03612782}"/>
            </c:ext>
          </c:extLst>
        </c:ser>
        <c:ser>
          <c:idx val="3"/>
          <c:order val="3"/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Imoveis!$U$3:$U$18</c:f>
              <c:numCache>
                <c:formatCode>General</c:formatCode>
                <c:ptCount val="1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</c:numCache>
            </c:numRef>
          </c:xVal>
          <c:yVal>
            <c:numRef>
              <c:f>Imoveis!$AB$3:$AB$18</c:f>
              <c:numCache>
                <c:formatCode>0.00</c:formatCode>
                <c:ptCount val="16"/>
                <c:pt idx="0">
                  <c:v>94.231441418229139</c:v>
                </c:pt>
                <c:pt idx="1">
                  <c:v>108.63807879778132</c:v>
                </c:pt>
                <c:pt idx="2">
                  <c:v>122.61501472898419</c:v>
                </c:pt>
                <c:pt idx="3">
                  <c:v>136.12534628775632</c:v>
                </c:pt>
                <c:pt idx="4">
                  <c:v>149.13456475514727</c:v>
                </c:pt>
                <c:pt idx="5">
                  <c:v>161.61249946888546</c:v>
                </c:pt>
                <c:pt idx="6">
                  <c:v>173.5353027307948</c:v>
                </c:pt>
                <c:pt idx="7">
                  <c:v>184.8872128609338</c:v>
                </c:pt>
                <c:pt idx="8">
                  <c:v>195.66181557502352</c:v>
                </c:pt>
                <c:pt idx="9">
                  <c:v>205.8625794991209</c:v>
                </c:pt>
                <c:pt idx="10">
                  <c:v>215.50256497923965</c:v>
                </c:pt>
                <c:pt idx="11">
                  <c:v>224.60336142793255</c:v>
                </c:pt>
                <c:pt idx="12">
                  <c:v>233.19344643553012</c:v>
                </c:pt>
                <c:pt idx="13">
                  <c:v>241.30623778804659</c:v>
                </c:pt>
                <c:pt idx="14">
                  <c:v>248.97811308166536</c:v>
                </c:pt>
                <c:pt idx="15">
                  <c:v>256.24661572781559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D5-44A6-87D0-1AAA03612782}"/>
            </c:ext>
          </c:extLst>
        </c:ser>
        <c:ser>
          <c:idx val="4"/>
          <c:order val="4"/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Imoveis!$U$3:$U$18</c:f>
              <c:numCache>
                <c:formatCode>General</c:formatCode>
                <c:ptCount val="1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</c:numCache>
            </c:numRef>
          </c:xVal>
          <c:yVal>
            <c:numRef>
              <c:f>Imoveis!$AC$3:$AC$18</c:f>
              <c:numCache>
                <c:formatCode>0.00</c:formatCode>
                <c:ptCount val="16"/>
                <c:pt idx="0">
                  <c:v>321.80069348472978</c:v>
                </c:pt>
                <c:pt idx="1">
                  <c:v>329.34760367119736</c:v>
                </c:pt>
                <c:pt idx="2">
                  <c:v>337.3242153060142</c:v>
                </c:pt>
                <c:pt idx="3">
                  <c:v>345.7674313132618</c:v>
                </c:pt>
                <c:pt idx="4">
                  <c:v>354.71176041189057</c:v>
                </c:pt>
                <c:pt idx="5">
                  <c:v>364.18737326417209</c:v>
                </c:pt>
                <c:pt idx="6">
                  <c:v>374.21811756828254</c:v>
                </c:pt>
                <c:pt idx="7">
                  <c:v>384.8197550041632</c:v>
                </c:pt>
                <c:pt idx="8">
                  <c:v>395.99869985609314</c:v>
                </c:pt>
                <c:pt idx="9">
                  <c:v>407.75148349801555</c:v>
                </c:pt>
                <c:pt idx="10">
                  <c:v>420.06504558391657</c:v>
                </c:pt>
                <c:pt idx="11">
                  <c:v>432.91779670124345</c:v>
                </c:pt>
                <c:pt idx="12">
                  <c:v>446.28125925966555</c:v>
                </c:pt>
                <c:pt idx="13">
                  <c:v>460.12201547316874</c:v>
                </c:pt>
                <c:pt idx="14">
                  <c:v>474.40368774556975</c:v>
                </c:pt>
                <c:pt idx="15">
                  <c:v>489.08873266543918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D5-44A6-87D0-1AAA03612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94664"/>
        <c:axId val="332294992"/>
      </c:scatterChart>
      <c:valAx>
        <c:axId val="332294664"/>
        <c:scaling>
          <c:orientation val="minMax"/>
          <c:max val="25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Área (Pés quadr)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2294992"/>
        <c:crosses val="autoZero"/>
        <c:crossBetween val="midCat"/>
      </c:valAx>
      <c:valAx>
        <c:axId val="3322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Preço (1000 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2294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190500</xdr:rowOff>
        </xdr:from>
        <xdr:to>
          <xdr:col>4</xdr:col>
          <xdr:colOff>485775</xdr:colOff>
          <xdr:row>23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25</xdr:row>
          <xdr:rowOff>47625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29</xdr:row>
          <xdr:rowOff>180975</xdr:rowOff>
        </xdr:from>
        <xdr:to>
          <xdr:col>6</xdr:col>
          <xdr:colOff>257175</xdr:colOff>
          <xdr:row>33</xdr:row>
          <xdr:rowOff>114300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32</xdr:row>
          <xdr:rowOff>180975</xdr:rowOff>
        </xdr:from>
        <xdr:to>
          <xdr:col>11</xdr:col>
          <xdr:colOff>152400</xdr:colOff>
          <xdr:row>36</xdr:row>
          <xdr:rowOff>19050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477717</xdr:colOff>
      <xdr:row>1</xdr:row>
      <xdr:rowOff>103310</xdr:rowOff>
    </xdr:from>
    <xdr:to>
      <xdr:col>19</xdr:col>
      <xdr:colOff>466725</xdr:colOff>
      <xdr:row>18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9"/>
  <sheetViews>
    <sheetView tabSelected="1" zoomScaleNormal="100" workbookViewId="0">
      <selection activeCell="K17" sqref="K17"/>
    </sheetView>
  </sheetViews>
  <sheetFormatPr defaultRowHeight="15" x14ac:dyDescent="0.25"/>
  <cols>
    <col min="1" max="1" width="7" bestFit="1" customWidth="1"/>
    <col min="2" max="2" width="13.85546875" style="18" customWidth="1"/>
    <col min="3" max="3" width="15.5703125" style="18" customWidth="1"/>
    <col min="4" max="4" width="11.5703125" bestFit="1" customWidth="1"/>
    <col min="5" max="5" width="12.5703125" bestFit="1" customWidth="1"/>
    <col min="9" max="9" width="11.5703125" bestFit="1" customWidth="1"/>
  </cols>
  <sheetData>
    <row r="1" spans="1:29" x14ac:dyDescent="0.25">
      <c r="D1" s="2"/>
      <c r="F1" s="2" t="s">
        <v>14</v>
      </c>
      <c r="G1">
        <f>COUNT(C5:C14)</f>
        <v>10</v>
      </c>
      <c r="I1" t="s">
        <v>15</v>
      </c>
      <c r="AB1" t="s">
        <v>32</v>
      </c>
    </row>
    <row r="2" spans="1:29" ht="17.25" x14ac:dyDescent="0.25">
      <c r="B2" s="18" t="s">
        <v>4</v>
      </c>
      <c r="C2" s="18" t="s">
        <v>5</v>
      </c>
      <c r="D2" s="1"/>
      <c r="E2" t="s">
        <v>13</v>
      </c>
      <c r="G2">
        <v>0.95</v>
      </c>
      <c r="I2" s="9">
        <f>_xlfn.T.INV(1-(1-G2)/2,G1-2)</f>
        <v>2.3060041352041662</v>
      </c>
      <c r="U2" t="s">
        <v>29</v>
      </c>
      <c r="V2" t="s">
        <v>30</v>
      </c>
      <c r="W2" t="s">
        <v>31</v>
      </c>
      <c r="X2" t="s">
        <v>12</v>
      </c>
      <c r="Y2" t="s">
        <v>27</v>
      </c>
      <c r="Z2" t="s">
        <v>28</v>
      </c>
      <c r="AB2" t="s">
        <v>27</v>
      </c>
      <c r="AC2" t="s">
        <v>28</v>
      </c>
    </row>
    <row r="3" spans="1:29" x14ac:dyDescent="0.25">
      <c r="B3" s="18" t="s">
        <v>0</v>
      </c>
      <c r="C3" s="18" t="s">
        <v>1</v>
      </c>
      <c r="D3" s="1"/>
      <c r="H3" s="23" t="s">
        <v>19</v>
      </c>
      <c r="I3" s="23"/>
      <c r="J3" s="23" t="s">
        <v>33</v>
      </c>
      <c r="K3" s="23"/>
      <c r="U3">
        <v>1000</v>
      </c>
      <c r="V3">
        <f>$E$38+$E$39*U3</f>
        <v>208.01606745147947</v>
      </c>
      <c r="W3">
        <f>(U3-$C$15)^2</f>
        <v>511225</v>
      </c>
      <c r="X3">
        <f>1/$G$1+W3/$F$15</f>
        <v>0.42531021317212858</v>
      </c>
      <c r="Y3" s="25">
        <f>V3-$I$2*$F$17*SQRT(X3)</f>
        <v>145.86024838441463</v>
      </c>
      <c r="Z3" s="25">
        <f>V3+$I$2*$F$17*SQRT(X3)</f>
        <v>270.17188651854428</v>
      </c>
      <c r="AA3" s="3"/>
      <c r="AB3" s="26">
        <f>V3-$I$2*$F$17*SQRT(1+X3)</f>
        <v>94.231441418229139</v>
      </c>
      <c r="AC3" s="26">
        <f>V3+$I$2*$F$17*SQRT(1+X3)</f>
        <v>321.80069348472978</v>
      </c>
    </row>
    <row r="4" spans="1:29" ht="18" thickBot="1" x14ac:dyDescent="0.3">
      <c r="B4" s="6" t="s">
        <v>3</v>
      </c>
      <c r="C4" s="6" t="s">
        <v>2</v>
      </c>
      <c r="D4" t="s">
        <v>20</v>
      </c>
      <c r="E4" s="8" t="s">
        <v>7</v>
      </c>
      <c r="F4" s="13" t="s">
        <v>11</v>
      </c>
      <c r="G4" s="16" t="s">
        <v>12</v>
      </c>
      <c r="H4" s="24" t="s">
        <v>17</v>
      </c>
      <c r="I4" s="24" t="s">
        <v>18</v>
      </c>
      <c r="J4" s="27" t="s">
        <v>17</v>
      </c>
      <c r="K4" s="27" t="s">
        <v>18</v>
      </c>
      <c r="U4">
        <v>1100</v>
      </c>
      <c r="V4">
        <f t="shared" ref="V4:V18" si="0">$E$38+$E$39*U4</f>
        <v>218.99284123448933</v>
      </c>
      <c r="W4">
        <f t="shared" ref="W4:W18" si="1">(U4-$C$15)^2</f>
        <v>378225</v>
      </c>
      <c r="X4">
        <f t="shared" ref="X4:X18" si="2">1/$G$1+W4/$F$15</f>
        <v>0.34067769646834234</v>
      </c>
      <c r="Y4" s="25">
        <f t="shared" ref="Y4:Y18" si="3">V4-$I$2*$F$17*SQRT(X4)</f>
        <v>163.36390708297662</v>
      </c>
      <c r="Z4" s="25">
        <f t="shared" ref="Z4:Z18" si="4">V4+$I$2*$F$17*SQRT(X4)</f>
        <v>274.62177538600201</v>
      </c>
      <c r="AA4" s="3"/>
      <c r="AB4" s="26">
        <f t="shared" ref="AB4:AB18" si="5">V4-$I$2*$F$17*SQRT(1+X4)</f>
        <v>108.63807879778132</v>
      </c>
      <c r="AC4" s="26">
        <f t="shared" ref="AC4:AC18" si="6">V4+$I$2*$F$17*SQRT(1+X4)</f>
        <v>329.34760367119736</v>
      </c>
    </row>
    <row r="5" spans="1:29" x14ac:dyDescent="0.25">
      <c r="B5" s="5">
        <v>245</v>
      </c>
      <c r="C5" s="5">
        <v>1400</v>
      </c>
      <c r="D5" s="10">
        <f>FORECAST(C5,$B$5:$B$14,$C$5:$C$14)</f>
        <v>251.92316258351892</v>
      </c>
      <c r="E5" s="5">
        <f>B5*C5</f>
        <v>343000</v>
      </c>
      <c r="F5" s="2">
        <f>(C5-$C$15)^2</f>
        <v>99225</v>
      </c>
      <c r="G5">
        <f>1/$G$1+F5/$F$15</f>
        <v>0.1631403118040089</v>
      </c>
      <c r="H5" s="25">
        <f>D5-$I$2*$F$17*SQRT(G5)</f>
        <v>213.42770095628543</v>
      </c>
      <c r="I5" s="25">
        <f>D5+$I$2*$F$17*SQRT(G5)</f>
        <v>290.4186242107524</v>
      </c>
      <c r="J5" s="26">
        <f>D5-$I$2*$F$17*SQRT(1+G5)</f>
        <v>149.13456475514727</v>
      </c>
      <c r="K5" s="26">
        <f>D5+$I$2*$F$17*SQRT(1+G5)</f>
        <v>354.71176041189057</v>
      </c>
      <c r="U5">
        <v>1200</v>
      </c>
      <c r="V5">
        <f t="shared" si="0"/>
        <v>229.96961501749919</v>
      </c>
      <c r="W5">
        <f t="shared" si="1"/>
        <v>265225</v>
      </c>
      <c r="X5">
        <f t="shared" si="2"/>
        <v>0.268771874005727</v>
      </c>
      <c r="Y5" s="25">
        <f t="shared" si="3"/>
        <v>180.55893878778241</v>
      </c>
      <c r="Z5" s="25">
        <f t="shared" si="4"/>
        <v>279.38029124721595</v>
      </c>
      <c r="AA5" s="3"/>
      <c r="AB5" s="26">
        <f t="shared" si="5"/>
        <v>122.61501472898419</v>
      </c>
      <c r="AC5" s="26">
        <f t="shared" si="6"/>
        <v>337.3242153060142</v>
      </c>
    </row>
    <row r="6" spans="1:29" x14ac:dyDescent="0.25">
      <c r="B6" s="5">
        <v>312</v>
      </c>
      <c r="C6" s="5">
        <v>1600</v>
      </c>
      <c r="D6" s="10">
        <f t="shared" ref="D6:D14" si="7">FORECAST(C6,$B$5:$B$14,$C$5:$C$14)</f>
        <v>273.87671014953867</v>
      </c>
      <c r="E6" s="5">
        <f t="shared" ref="E6:E14" si="8">B6*C6</f>
        <v>499200</v>
      </c>
      <c r="F6" s="2">
        <f t="shared" ref="F6:F14" si="9">(C6-$C$15)^2</f>
        <v>13225</v>
      </c>
      <c r="G6">
        <f t="shared" ref="G6:G14" si="10">1/$G$1+F6/$F$15</f>
        <v>0.10841552656697423</v>
      </c>
      <c r="H6" s="25">
        <f t="shared" ref="H6:H14" si="11">D6-$I$2*$F$17*SQRT(G6)</f>
        <v>242.49514286641175</v>
      </c>
      <c r="I6" s="25">
        <f t="shared" ref="I6:I14" si="12">D6+$I$2*$F$17*SQRT(G6)</f>
        <v>305.25827743266558</v>
      </c>
      <c r="J6" s="26">
        <f t="shared" ref="J6:J14" si="13">D6-$I$2*$F$17*SQRT(1+G6)</f>
        <v>173.5353027307948</v>
      </c>
      <c r="K6" s="26">
        <f t="shared" ref="K6:K14" si="14">D6+$I$2*$F$17*SQRT(1+G6)</f>
        <v>374.21811756828254</v>
      </c>
      <c r="U6">
        <v>1300</v>
      </c>
      <c r="V6">
        <f t="shared" si="0"/>
        <v>240.94638880050906</v>
      </c>
      <c r="W6">
        <f t="shared" si="1"/>
        <v>172225</v>
      </c>
      <c r="X6">
        <f t="shared" si="2"/>
        <v>0.20959274578428255</v>
      </c>
      <c r="Y6" s="25">
        <f t="shared" si="3"/>
        <v>197.31319414516219</v>
      </c>
      <c r="Z6" s="25">
        <f t="shared" si="4"/>
        <v>284.57958345585592</v>
      </c>
      <c r="AA6" s="3"/>
      <c r="AB6" s="26">
        <f t="shared" si="5"/>
        <v>136.12534628775632</v>
      </c>
      <c r="AC6" s="26">
        <f t="shared" si="6"/>
        <v>345.7674313132618</v>
      </c>
    </row>
    <row r="7" spans="1:29" x14ac:dyDescent="0.25">
      <c r="B7" s="5">
        <v>279</v>
      </c>
      <c r="C7" s="5">
        <v>1700</v>
      </c>
      <c r="D7" s="10">
        <f t="shared" si="7"/>
        <v>284.8534839325485</v>
      </c>
      <c r="E7" s="5">
        <f t="shared" si="8"/>
        <v>474300</v>
      </c>
      <c r="F7" s="2">
        <f t="shared" si="9"/>
        <v>225</v>
      </c>
      <c r="G7">
        <f t="shared" si="10"/>
        <v>0.10014317531021318</v>
      </c>
      <c r="H7" s="25">
        <f t="shared" si="11"/>
        <v>254.69291241384849</v>
      </c>
      <c r="I7" s="25">
        <f t="shared" si="12"/>
        <v>315.01405545124851</v>
      </c>
      <c r="J7" s="26">
        <f t="shared" si="13"/>
        <v>184.8872128609338</v>
      </c>
      <c r="K7" s="26">
        <f t="shared" si="14"/>
        <v>384.8197550041632</v>
      </c>
      <c r="U7">
        <v>1400</v>
      </c>
      <c r="V7">
        <f t="shared" si="0"/>
        <v>251.92316258351892</v>
      </c>
      <c r="W7">
        <f t="shared" si="1"/>
        <v>99225</v>
      </c>
      <c r="X7">
        <f t="shared" si="2"/>
        <v>0.1631403118040089</v>
      </c>
      <c r="Y7" s="25">
        <f t="shared" si="3"/>
        <v>213.42770095628543</v>
      </c>
      <c r="Z7" s="25">
        <f t="shared" si="4"/>
        <v>290.4186242107524</v>
      </c>
      <c r="AA7" s="3"/>
      <c r="AB7" s="26">
        <f t="shared" si="5"/>
        <v>149.13456475514727</v>
      </c>
      <c r="AC7" s="26">
        <f t="shared" si="6"/>
        <v>354.71176041189057</v>
      </c>
    </row>
    <row r="8" spans="1:29" x14ac:dyDescent="0.25">
      <c r="B8" s="5">
        <v>308</v>
      </c>
      <c r="C8" s="5">
        <v>1875</v>
      </c>
      <c r="D8" s="10">
        <f t="shared" si="7"/>
        <v>304.06283805281578</v>
      </c>
      <c r="E8" s="5">
        <f t="shared" si="8"/>
        <v>577500</v>
      </c>
      <c r="F8" s="2">
        <f t="shared" si="9"/>
        <v>25600</v>
      </c>
      <c r="G8">
        <f t="shared" si="10"/>
        <v>0.1162901686286987</v>
      </c>
      <c r="H8" s="25">
        <f t="shared" si="11"/>
        <v>271.56156382255955</v>
      </c>
      <c r="I8" s="25">
        <f t="shared" si="12"/>
        <v>336.56411228307201</v>
      </c>
      <c r="J8" s="26">
        <f t="shared" si="13"/>
        <v>203.36562804072435</v>
      </c>
      <c r="K8" s="26">
        <f t="shared" si="14"/>
        <v>404.76004806490721</v>
      </c>
      <c r="U8">
        <v>1500</v>
      </c>
      <c r="V8">
        <f t="shared" si="0"/>
        <v>262.89993636652878</v>
      </c>
      <c r="W8">
        <f t="shared" si="1"/>
        <v>46225</v>
      </c>
      <c r="X8">
        <f t="shared" si="2"/>
        <v>0.12941457206490614</v>
      </c>
      <c r="Y8" s="25">
        <f t="shared" si="3"/>
        <v>228.61364762503402</v>
      </c>
      <c r="Z8" s="25">
        <f t="shared" si="4"/>
        <v>297.18622510802356</v>
      </c>
      <c r="AA8" s="3"/>
      <c r="AB8" s="26">
        <f t="shared" si="5"/>
        <v>161.61249946888546</v>
      </c>
      <c r="AC8" s="26">
        <f t="shared" si="6"/>
        <v>364.18737326417209</v>
      </c>
    </row>
    <row r="9" spans="1:29" x14ac:dyDescent="0.25">
      <c r="B9" s="5">
        <v>199</v>
      </c>
      <c r="C9" s="5">
        <v>1100</v>
      </c>
      <c r="D9" s="10">
        <f t="shared" si="7"/>
        <v>218.99284123448933</v>
      </c>
      <c r="E9" s="5">
        <f t="shared" si="8"/>
        <v>218900</v>
      </c>
      <c r="F9" s="2">
        <f t="shared" si="9"/>
        <v>378225</v>
      </c>
      <c r="G9">
        <f t="shared" si="10"/>
        <v>0.34067769646834234</v>
      </c>
      <c r="H9" s="25">
        <f t="shared" si="11"/>
        <v>163.36390708297662</v>
      </c>
      <c r="I9" s="25">
        <f t="shared" si="12"/>
        <v>274.62177538600201</v>
      </c>
      <c r="J9" s="26">
        <f t="shared" si="13"/>
        <v>108.63807879778132</v>
      </c>
      <c r="K9" s="26">
        <f t="shared" si="14"/>
        <v>329.34760367119736</v>
      </c>
      <c r="U9">
        <v>1600</v>
      </c>
      <c r="V9">
        <f t="shared" si="0"/>
        <v>273.87671014953867</v>
      </c>
      <c r="W9">
        <f t="shared" si="1"/>
        <v>13225</v>
      </c>
      <c r="X9">
        <f t="shared" si="2"/>
        <v>0.10841552656697423</v>
      </c>
      <c r="Y9" s="25">
        <f t="shared" si="3"/>
        <v>242.49514286641175</v>
      </c>
      <c r="Z9" s="25">
        <f t="shared" si="4"/>
        <v>305.25827743266558</v>
      </c>
      <c r="AA9" s="3"/>
      <c r="AB9" s="26">
        <f t="shared" si="5"/>
        <v>173.5353027307948</v>
      </c>
      <c r="AC9" s="26">
        <f t="shared" si="6"/>
        <v>374.21811756828254</v>
      </c>
    </row>
    <row r="10" spans="1:29" x14ac:dyDescent="0.25">
      <c r="B10" s="5">
        <v>219</v>
      </c>
      <c r="C10" s="5">
        <v>1550</v>
      </c>
      <c r="D10" s="10">
        <f t="shared" si="7"/>
        <v>268.38832325803372</v>
      </c>
      <c r="E10" s="5">
        <f t="shared" si="8"/>
        <v>339450</v>
      </c>
      <c r="F10" s="2">
        <f t="shared" si="9"/>
        <v>27225</v>
      </c>
      <c r="G10">
        <f t="shared" si="10"/>
        <v>0.11732421253579384</v>
      </c>
      <c r="H10" s="25">
        <f t="shared" si="11"/>
        <v>235.74286931814081</v>
      </c>
      <c r="I10" s="25">
        <f t="shared" si="12"/>
        <v>301.03377719792661</v>
      </c>
      <c r="J10" s="26">
        <f t="shared" si="13"/>
        <v>167.64448503171536</v>
      </c>
      <c r="K10" s="26">
        <f t="shared" si="14"/>
        <v>369.13216148435208</v>
      </c>
      <c r="U10">
        <v>1700</v>
      </c>
      <c r="V10">
        <f t="shared" si="0"/>
        <v>284.8534839325485</v>
      </c>
      <c r="W10">
        <f t="shared" si="1"/>
        <v>225</v>
      </c>
      <c r="X10">
        <f t="shared" si="2"/>
        <v>0.10014317531021318</v>
      </c>
      <c r="Y10" s="25">
        <f t="shared" si="3"/>
        <v>254.69291241384849</v>
      </c>
      <c r="Z10" s="25">
        <f t="shared" si="4"/>
        <v>315.01405545124851</v>
      </c>
      <c r="AA10" s="3"/>
      <c r="AB10" s="26">
        <f t="shared" si="5"/>
        <v>184.8872128609338</v>
      </c>
      <c r="AC10" s="26">
        <f t="shared" si="6"/>
        <v>384.8197550041632</v>
      </c>
    </row>
    <row r="11" spans="1:29" x14ac:dyDescent="0.25">
      <c r="B11" s="5">
        <v>405</v>
      </c>
      <c r="C11" s="5">
        <v>2350</v>
      </c>
      <c r="D11" s="10">
        <f t="shared" si="7"/>
        <v>356.20251352211261</v>
      </c>
      <c r="E11" s="5">
        <f t="shared" si="8"/>
        <v>951750</v>
      </c>
      <c r="F11" s="2">
        <f t="shared" si="9"/>
        <v>403225</v>
      </c>
      <c r="G11">
        <f t="shared" si="10"/>
        <v>0.35658606426980588</v>
      </c>
      <c r="H11" s="25">
        <f t="shared" si="11"/>
        <v>299.28956693287427</v>
      </c>
      <c r="I11" s="25">
        <f t="shared" si="12"/>
        <v>413.11546011135096</v>
      </c>
      <c r="J11" s="26">
        <f t="shared" si="13"/>
        <v>245.19495176572406</v>
      </c>
      <c r="K11" s="26">
        <f t="shared" si="14"/>
        <v>467.21007527850117</v>
      </c>
      <c r="U11">
        <v>1800</v>
      </c>
      <c r="V11">
        <f t="shared" si="0"/>
        <v>295.83025771555833</v>
      </c>
      <c r="W11">
        <f t="shared" si="1"/>
        <v>7225</v>
      </c>
      <c r="X11">
        <f t="shared" si="2"/>
        <v>0.10459751829462298</v>
      </c>
      <c r="Y11" s="25">
        <f t="shared" si="3"/>
        <v>265.00621639660176</v>
      </c>
      <c r="Z11" s="25">
        <f t="shared" si="4"/>
        <v>326.65429903451491</v>
      </c>
      <c r="AA11" s="3"/>
      <c r="AB11" s="26">
        <f t="shared" si="5"/>
        <v>195.66181557502352</v>
      </c>
      <c r="AC11" s="26">
        <f t="shared" si="6"/>
        <v>395.99869985609314</v>
      </c>
    </row>
    <row r="12" spans="1:29" x14ac:dyDescent="0.25">
      <c r="B12" s="5">
        <v>324</v>
      </c>
      <c r="C12" s="5">
        <v>2450</v>
      </c>
      <c r="D12" s="10">
        <f t="shared" si="7"/>
        <v>367.1792873051225</v>
      </c>
      <c r="E12" s="5">
        <f t="shared" si="8"/>
        <v>793800</v>
      </c>
      <c r="F12" s="2">
        <f t="shared" si="9"/>
        <v>540225</v>
      </c>
      <c r="G12">
        <f t="shared" si="10"/>
        <v>0.44376391982182628</v>
      </c>
      <c r="H12" s="25">
        <f t="shared" si="11"/>
        <v>303.68935230377252</v>
      </c>
      <c r="I12" s="25">
        <f t="shared" si="12"/>
        <v>430.66922230647248</v>
      </c>
      <c r="J12" s="26">
        <f t="shared" si="13"/>
        <v>252.66043678650885</v>
      </c>
      <c r="K12" s="26">
        <f t="shared" si="14"/>
        <v>481.69813782373615</v>
      </c>
      <c r="U12">
        <v>1900</v>
      </c>
      <c r="V12">
        <f t="shared" si="0"/>
        <v>306.80703149856822</v>
      </c>
      <c r="W12">
        <f t="shared" si="1"/>
        <v>34225</v>
      </c>
      <c r="X12">
        <f t="shared" si="2"/>
        <v>0.12177855552020364</v>
      </c>
      <c r="Y12" s="25">
        <f t="shared" si="3"/>
        <v>273.54764016559591</v>
      </c>
      <c r="Z12" s="25">
        <f t="shared" si="4"/>
        <v>340.06642283154054</v>
      </c>
      <c r="AA12" s="3"/>
      <c r="AB12" s="26">
        <f t="shared" si="5"/>
        <v>205.8625794991209</v>
      </c>
      <c r="AC12" s="26">
        <f t="shared" si="6"/>
        <v>407.75148349801555</v>
      </c>
    </row>
    <row r="13" spans="1:29" x14ac:dyDescent="0.25">
      <c r="B13" s="5">
        <v>319</v>
      </c>
      <c r="C13" s="5">
        <v>1425</v>
      </c>
      <c r="D13" s="10">
        <f t="shared" si="7"/>
        <v>254.66735602927139</v>
      </c>
      <c r="E13" s="5">
        <f t="shared" si="8"/>
        <v>454575</v>
      </c>
      <c r="F13" s="2">
        <f t="shared" si="9"/>
        <v>84100</v>
      </c>
      <c r="G13">
        <f t="shared" si="10"/>
        <v>0.15351574928412345</v>
      </c>
      <c r="H13" s="25">
        <f t="shared" si="11"/>
        <v>217.32468693292893</v>
      </c>
      <c r="I13" s="25">
        <f t="shared" si="12"/>
        <v>292.01002512561388</v>
      </c>
      <c r="J13" s="26">
        <f t="shared" si="13"/>
        <v>152.30491070449489</v>
      </c>
      <c r="K13" s="26">
        <f t="shared" si="14"/>
        <v>357.02980135404789</v>
      </c>
      <c r="U13">
        <v>2000</v>
      </c>
      <c r="V13">
        <f t="shared" si="0"/>
        <v>317.78380528157811</v>
      </c>
      <c r="W13">
        <f t="shared" si="1"/>
        <v>81225</v>
      </c>
      <c r="X13">
        <f t="shared" si="2"/>
        <v>0.15168628698695513</v>
      </c>
      <c r="Y13" s="25">
        <f t="shared" si="3"/>
        <v>280.66431120965183</v>
      </c>
      <c r="Z13" s="25">
        <f t="shared" si="4"/>
        <v>354.90329935350439</v>
      </c>
      <c r="AA13" s="3"/>
      <c r="AB13" s="26">
        <f t="shared" si="5"/>
        <v>215.50256497923965</v>
      </c>
      <c r="AC13" s="26">
        <f t="shared" si="6"/>
        <v>420.06504558391657</v>
      </c>
    </row>
    <row r="14" spans="1:29" ht="15.75" thickBot="1" x14ac:dyDescent="0.3">
      <c r="B14" s="8">
        <v>255</v>
      </c>
      <c r="C14" s="8">
        <v>1700</v>
      </c>
      <c r="D14" s="10">
        <f t="shared" si="7"/>
        <v>284.8534839325485</v>
      </c>
      <c r="E14" s="8">
        <f t="shared" si="8"/>
        <v>433500</v>
      </c>
      <c r="F14" s="15">
        <f t="shared" si="9"/>
        <v>225</v>
      </c>
      <c r="G14" s="13">
        <f t="shared" si="10"/>
        <v>0.10014317531021318</v>
      </c>
      <c r="H14" s="28">
        <f t="shared" si="11"/>
        <v>254.69291241384849</v>
      </c>
      <c r="I14" s="28">
        <f t="shared" si="12"/>
        <v>315.01405545124851</v>
      </c>
      <c r="J14" s="29">
        <f t="shared" si="13"/>
        <v>184.8872128609338</v>
      </c>
      <c r="K14" s="29">
        <f t="shared" si="14"/>
        <v>384.8197550041632</v>
      </c>
      <c r="U14">
        <v>2100</v>
      </c>
      <c r="V14">
        <f t="shared" si="0"/>
        <v>328.760579064588</v>
      </c>
      <c r="W14">
        <f t="shared" si="1"/>
        <v>148225</v>
      </c>
      <c r="X14">
        <f t="shared" si="2"/>
        <v>0.1943207126948775</v>
      </c>
      <c r="Y14" s="25">
        <f t="shared" si="3"/>
        <v>286.74712040928711</v>
      </c>
      <c r="Z14" s="25">
        <f t="shared" si="4"/>
        <v>370.7740377198889</v>
      </c>
      <c r="AA14" s="3"/>
      <c r="AB14" s="26">
        <f t="shared" si="5"/>
        <v>224.60336142793255</v>
      </c>
      <c r="AC14" s="26">
        <f t="shared" si="6"/>
        <v>432.91779670124345</v>
      </c>
    </row>
    <row r="15" spans="1:29" x14ac:dyDescent="0.25">
      <c r="A15" t="s">
        <v>9</v>
      </c>
      <c r="B15" s="11"/>
      <c r="C15" s="11">
        <f>AVERAGE(C5:C14)</f>
        <v>1715</v>
      </c>
      <c r="D15" s="12" t="s">
        <v>8</v>
      </c>
      <c r="E15" s="14">
        <f>SUM(E5:E14)</f>
        <v>5085975</v>
      </c>
      <c r="F15" s="14">
        <f>SUM(F5:F14)</f>
        <v>1571500</v>
      </c>
      <c r="U15">
        <v>2200</v>
      </c>
      <c r="V15">
        <f t="shared" si="0"/>
        <v>339.73735284759783</v>
      </c>
      <c r="W15">
        <f t="shared" si="1"/>
        <v>235225</v>
      </c>
      <c r="X15">
        <f t="shared" si="2"/>
        <v>0.24968183264397073</v>
      </c>
      <c r="Y15" s="25">
        <f t="shared" si="3"/>
        <v>292.11373774002215</v>
      </c>
      <c r="Z15" s="25">
        <f t="shared" si="4"/>
        <v>387.36096795517352</v>
      </c>
      <c r="AA15" s="3"/>
      <c r="AB15" s="26">
        <f t="shared" si="5"/>
        <v>233.19344643553012</v>
      </c>
      <c r="AC15" s="26">
        <f t="shared" si="6"/>
        <v>446.28125925966555</v>
      </c>
    </row>
    <row r="16" spans="1:29" x14ac:dyDescent="0.25">
      <c r="A16" t="s">
        <v>10</v>
      </c>
      <c r="B16" s="14">
        <f>SUM(B5:B14)</f>
        <v>2865</v>
      </c>
      <c r="C16" s="14"/>
      <c r="D16" s="12"/>
      <c r="E16" s="5"/>
      <c r="U16">
        <v>2300</v>
      </c>
      <c r="V16">
        <f t="shared" si="0"/>
        <v>350.71412663060767</v>
      </c>
      <c r="W16">
        <f t="shared" si="1"/>
        <v>342225</v>
      </c>
      <c r="X16">
        <f t="shared" si="2"/>
        <v>0.31776964683423481</v>
      </c>
      <c r="Y16" s="25">
        <f t="shared" si="3"/>
        <v>296.98805415776383</v>
      </c>
      <c r="Z16" s="25">
        <f t="shared" si="4"/>
        <v>404.4401991034515</v>
      </c>
      <c r="AA16" s="3"/>
      <c r="AB16" s="26">
        <f t="shared" si="5"/>
        <v>241.30623778804659</v>
      </c>
      <c r="AC16" s="26">
        <f t="shared" si="6"/>
        <v>460.12201547316874</v>
      </c>
    </row>
    <row r="17" spans="1:29" ht="17.25" x14ac:dyDescent="0.25">
      <c r="A17" t="s">
        <v>23</v>
      </c>
      <c r="B17" s="22">
        <f>SUMSQ(B5:B14)</f>
        <v>853423</v>
      </c>
      <c r="C17" s="11"/>
      <c r="D17" s="12"/>
      <c r="E17" s="5" t="s">
        <v>16</v>
      </c>
      <c r="F17" s="17">
        <f>SQRT(H38/(G1-2))</f>
        <v>41.330323650299505</v>
      </c>
      <c r="U17">
        <v>2400</v>
      </c>
      <c r="V17">
        <f t="shared" si="0"/>
        <v>361.69090041361756</v>
      </c>
      <c r="W17">
        <f t="shared" si="1"/>
        <v>469225</v>
      </c>
      <c r="X17">
        <f t="shared" si="2"/>
        <v>0.3985841552656697</v>
      </c>
      <c r="Y17" s="25">
        <f t="shared" si="3"/>
        <v>301.51966849579031</v>
      </c>
      <c r="Z17" s="25">
        <f t="shared" si="4"/>
        <v>421.8621323314448</v>
      </c>
      <c r="AA17" s="3"/>
      <c r="AB17" s="26">
        <f t="shared" si="5"/>
        <v>248.97811308166536</v>
      </c>
      <c r="AC17" s="26">
        <f t="shared" si="6"/>
        <v>474.40368774556975</v>
      </c>
    </row>
    <row r="18" spans="1:29" x14ac:dyDescent="0.25">
      <c r="B18" s="4"/>
      <c r="C18" s="4"/>
      <c r="D18" s="1"/>
      <c r="U18">
        <v>2500</v>
      </c>
      <c r="V18">
        <f t="shared" si="0"/>
        <v>372.66767419662739</v>
      </c>
      <c r="W18">
        <f t="shared" si="1"/>
        <v>616225</v>
      </c>
      <c r="X18">
        <f t="shared" si="2"/>
        <v>0.4921253579382755</v>
      </c>
      <c r="Y18" s="25">
        <f t="shared" si="3"/>
        <v>305.80761453938834</v>
      </c>
      <c r="Z18" s="25">
        <f t="shared" si="4"/>
        <v>439.52773385386644</v>
      </c>
      <c r="AA18" s="3"/>
      <c r="AB18" s="26">
        <f t="shared" si="5"/>
        <v>256.24661572781559</v>
      </c>
      <c r="AC18" s="26">
        <f t="shared" si="6"/>
        <v>489.08873266543918</v>
      </c>
    </row>
    <row r="19" spans="1:29" x14ac:dyDescent="0.25">
      <c r="B19" s="7" t="s">
        <v>6</v>
      </c>
      <c r="C19" s="4"/>
      <c r="D19" s="1"/>
    </row>
    <row r="20" spans="1:29" x14ac:dyDescent="0.25">
      <c r="B20" s="4"/>
      <c r="C20" s="4"/>
      <c r="D20" s="1"/>
    </row>
    <row r="21" spans="1:29" x14ac:dyDescent="0.25">
      <c r="B21" s="4"/>
      <c r="C21" s="4"/>
      <c r="D21" s="1"/>
    </row>
    <row r="22" spans="1:29" x14ac:dyDescent="0.25">
      <c r="B22" s="4"/>
      <c r="C22" s="4"/>
      <c r="D22" s="1"/>
    </row>
    <row r="23" spans="1:29" x14ac:dyDescent="0.25">
      <c r="B23" s="4"/>
      <c r="C23" s="4"/>
      <c r="D23" s="1"/>
      <c r="G23" s="1"/>
    </row>
    <row r="31" spans="1:29" x14ac:dyDescent="0.25">
      <c r="B31" s="19" t="s">
        <v>21</v>
      </c>
    </row>
    <row r="32" spans="1:29" x14ac:dyDescent="0.25">
      <c r="B32" s="20" t="s">
        <v>22</v>
      </c>
      <c r="C32" s="19"/>
      <c r="D32" s="21"/>
    </row>
    <row r="38" spans="4:8" x14ac:dyDescent="0.25">
      <c r="D38" t="s">
        <v>25</v>
      </c>
      <c r="E38">
        <f>INTERCEPT(B5:B14,C5:C14)</f>
        <v>98.248329621380833</v>
      </c>
      <c r="G38" t="s">
        <v>26</v>
      </c>
      <c r="H38">
        <f>B17-E38*B16-E15*E39</f>
        <v>13665.565224308055</v>
      </c>
    </row>
    <row r="39" spans="4:8" x14ac:dyDescent="0.25">
      <c r="D39" t="s">
        <v>24</v>
      </c>
      <c r="E39">
        <f>SLOPE(B5:B14,C5:C14)</f>
        <v>0.10976773783009863</v>
      </c>
    </row>
  </sheetData>
  <mergeCells count="2">
    <mergeCell ref="H3:I3"/>
    <mergeCell ref="J3:K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0</xdr:colOff>
                <xdr:row>19</xdr:row>
                <xdr:rowOff>190500</xdr:rowOff>
              </from>
              <to>
                <xdr:col>4</xdr:col>
                <xdr:colOff>485775</xdr:colOff>
                <xdr:row>23</xdr:row>
                <xdr:rowOff>171450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3</xdr:col>
                <xdr:colOff>200025</xdr:colOff>
                <xdr:row>25</xdr:row>
                <xdr:rowOff>47625</xdr:rowOff>
              </from>
              <to>
                <xdr:col>8</xdr:col>
                <xdr:colOff>161925</xdr:colOff>
                <xdr:row>29</xdr:row>
                <xdr:rowOff>19050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11</xdr:col>
                <xdr:colOff>428625</xdr:colOff>
                <xdr:row>23</xdr:row>
                <xdr:rowOff>152400</xdr:rowOff>
              </to>
            </anchor>
          </objectPr>
        </oleObject>
      </mc:Choice>
      <mc:Fallback>
        <oleObject progId="Equation.3" shapeId="5123" r:id="rId8"/>
      </mc:Fallback>
    </mc:AlternateContent>
    <mc:AlternateContent xmlns:mc="http://schemas.openxmlformats.org/markup-compatibility/2006">
      <mc:Choice Requires="x14">
        <oleObject progId="Equation.3" shapeId="5124" r:id="rId10">
          <objectPr defaultSize="0" autoPict="0" r:id="rId11">
            <anchor moveWithCells="1" sizeWithCells="1">
              <from>
                <xdr:col>4</xdr:col>
                <xdr:colOff>266700</xdr:colOff>
                <xdr:row>29</xdr:row>
                <xdr:rowOff>180975</xdr:rowOff>
              </from>
              <to>
                <xdr:col>6</xdr:col>
                <xdr:colOff>257175</xdr:colOff>
                <xdr:row>33</xdr:row>
                <xdr:rowOff>114300</xdr:rowOff>
              </to>
            </anchor>
          </objectPr>
        </oleObject>
      </mc:Choice>
      <mc:Fallback>
        <oleObject progId="Equation.3" shapeId="5124" r:id="rId10"/>
      </mc:Fallback>
    </mc:AlternateContent>
    <mc:AlternateContent xmlns:mc="http://schemas.openxmlformats.org/markup-compatibility/2006">
      <mc:Choice Requires="x14">
        <oleObject progId="Equation.3" shapeId="5125" r:id="rId12">
          <objectPr defaultSize="0" autoPict="0" r:id="rId13">
            <anchor moveWithCells="1" sizeWithCells="1">
              <from>
                <xdr:col>4</xdr:col>
                <xdr:colOff>266700</xdr:colOff>
                <xdr:row>32</xdr:row>
                <xdr:rowOff>180975</xdr:rowOff>
              </from>
              <to>
                <xdr:col>11</xdr:col>
                <xdr:colOff>152400</xdr:colOff>
                <xdr:row>36</xdr:row>
                <xdr:rowOff>19050</xdr:rowOff>
              </to>
            </anchor>
          </objectPr>
        </oleObject>
      </mc:Choice>
      <mc:Fallback>
        <oleObject progId="Equation.3" shapeId="512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Imoveis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2016-05-16T14:46:38Z</dcterms:modified>
</cp:coreProperties>
</file>