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625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gabfer\Documents\_POLI-USP\Docência Pós-Graduação\PTR5925 - Transportes Urbanos - Oferta e Avaliação Econômica\"/>
    </mc:Choice>
  </mc:AlternateContent>
  <bookViews>
    <workbookView xWindow="360" yWindow="20" windowWidth="11340" windowHeight="6540" tabRatio="809"/>
  </bookViews>
  <sheets>
    <sheet name="CAPA" sheetId="118" r:id="rId1"/>
    <sheet name="Anexos" sheetId="65" r:id="rId2"/>
    <sheet name="TECNOLOGIAS" sheetId="76" r:id="rId3"/>
    <sheet name="1" sheetId="1" r:id="rId4"/>
    <sheet name="2" sheetId="2" r:id="rId5"/>
    <sheet name="3" sheetId="3" r:id="rId6"/>
    <sheet name="4A" sheetId="5" r:id="rId7"/>
    <sheet name="4B" sheetId="6" r:id="rId8"/>
    <sheet name="4C" sheetId="7" r:id="rId9"/>
    <sheet name="4D" sheetId="8" r:id="rId10"/>
    <sheet name="4E" sheetId="9" r:id="rId11"/>
    <sheet name="4F" sheetId="10" r:id="rId12"/>
    <sheet name="4G" sheetId="11" r:id="rId13"/>
    <sheet name="4H" sheetId="70" r:id="rId14"/>
    <sheet name="5A" sheetId="12" r:id="rId15"/>
    <sheet name="5B" sheetId="13" r:id="rId16"/>
    <sheet name="5C" sheetId="14" r:id="rId17"/>
    <sheet name="5D" sheetId="15" r:id="rId18"/>
    <sheet name="5E" sheetId="16" r:id="rId19"/>
    <sheet name="5F" sheetId="17" r:id="rId20"/>
    <sheet name="5G" sheetId="18" r:id="rId21"/>
    <sheet name="5H" sheetId="71" r:id="rId22"/>
    <sheet name="6" sheetId="19" r:id="rId23"/>
    <sheet name="7" sheetId="20" r:id="rId24"/>
    <sheet name="8" sheetId="21" r:id="rId25"/>
    <sheet name="9" sheetId="79" r:id="rId26"/>
    <sheet name="10" sheetId="23" r:id="rId27"/>
    <sheet name="11" sheetId="24" r:id="rId28"/>
    <sheet name="12" sheetId="25" r:id="rId29"/>
    <sheet name="13" sheetId="26" r:id="rId30"/>
    <sheet name="14" sheetId="27" r:id="rId31"/>
    <sheet name="15" sheetId="28" r:id="rId32"/>
    <sheet name="16" sheetId="29" r:id="rId33"/>
    <sheet name="16A" sheetId="113" r:id="rId34"/>
    <sheet name="17" sheetId="30" r:id="rId35"/>
    <sheet name="18" sheetId="31" r:id="rId36"/>
    <sheet name="19" sheetId="32" r:id="rId37"/>
    <sheet name="20" sheetId="33" r:id="rId38"/>
    <sheet name="21" sheetId="34" r:id="rId39"/>
    <sheet name="22" sheetId="35" r:id="rId40"/>
    <sheet name="23" sheetId="36" r:id="rId41"/>
    <sheet name="24" sheetId="43" r:id="rId42"/>
    <sheet name="25" sheetId="45" r:id="rId43"/>
    <sheet name="26" sheetId="46" r:id="rId44"/>
    <sheet name="27" sheetId="57" r:id="rId45"/>
    <sheet name="28" sheetId="47" r:id="rId46"/>
    <sheet name="29A" sheetId="48" r:id="rId47"/>
    <sheet name="29B" sheetId="49" r:id="rId48"/>
    <sheet name="29C" sheetId="50" r:id="rId49"/>
    <sheet name="29D" sheetId="51" r:id="rId50"/>
    <sheet name="29E" sheetId="52" r:id="rId51"/>
    <sheet name="29F" sheetId="53" r:id="rId52"/>
    <sheet name="29G" sheetId="54" r:id="rId53"/>
    <sheet name="29H" sheetId="72" r:id="rId54"/>
    <sheet name="30A" sheetId="67" r:id="rId55"/>
    <sheet name="30B" sheetId="75" r:id="rId56"/>
    <sheet name="30C" sheetId="116" r:id="rId57"/>
    <sheet name="31A" sheetId="55" r:id="rId58"/>
    <sheet name="31B" sheetId="68" r:id="rId59"/>
    <sheet name="31C" sheetId="73" r:id="rId60"/>
    <sheet name="31D" sheetId="56" r:id="rId61"/>
    <sheet name="31E" sheetId="114" r:id="rId62"/>
    <sheet name="32A" sheetId="58" r:id="rId63"/>
    <sheet name="32B" sheetId="74" r:id="rId64"/>
    <sheet name="32C" sheetId="59" r:id="rId65"/>
    <sheet name="32D" sheetId="117" r:id="rId66"/>
    <sheet name="33A" sheetId="61" r:id="rId67"/>
    <sheet name="33B" sheetId="69" r:id="rId68"/>
    <sheet name="33C" sheetId="60" r:id="rId69"/>
    <sheet name="33D" sheetId="62" r:id="rId70"/>
    <sheet name="33E" sheetId="115" r:id="rId71"/>
    <sheet name="34" sheetId="63" r:id="rId72"/>
    <sheet name="35A" sheetId="80" r:id="rId73"/>
    <sheet name="35B" sheetId="81" r:id="rId74"/>
    <sheet name="35C" sheetId="82" r:id="rId75"/>
    <sheet name="35D" sheetId="83" r:id="rId76"/>
    <sheet name="35E" sheetId="84" r:id="rId77"/>
    <sheet name="35F" sheetId="85" r:id="rId78"/>
    <sheet name="35G" sheetId="86" r:id="rId79"/>
    <sheet name="35H" sheetId="87" r:id="rId80"/>
    <sheet name="36A" sheetId="88" r:id="rId81"/>
    <sheet name="36B" sheetId="89" r:id="rId82"/>
    <sheet name="36C" sheetId="90" r:id="rId83"/>
    <sheet name="36D" sheetId="91" r:id="rId84"/>
    <sheet name="36E" sheetId="92" r:id="rId85"/>
    <sheet name="36F" sheetId="93" r:id="rId86"/>
    <sheet name="37A" sheetId="94" r:id="rId87"/>
    <sheet name="37B" sheetId="95" r:id="rId88"/>
    <sheet name="37C" sheetId="96" r:id="rId89"/>
    <sheet name="37D" sheetId="97" r:id="rId90"/>
    <sheet name="38" sheetId="98" r:id="rId91"/>
    <sheet name="39A" sheetId="99" r:id="rId92"/>
    <sheet name="39B" sheetId="100" r:id="rId93"/>
    <sheet name="39C" sheetId="101" r:id="rId94"/>
    <sheet name="39D" sheetId="102" r:id="rId95"/>
    <sheet name="39E" sheetId="103" r:id="rId96"/>
    <sheet name="40A" sheetId="104" r:id="rId97"/>
    <sheet name="40B" sheetId="105" r:id="rId98"/>
    <sheet name="41A" sheetId="106" r:id="rId99"/>
    <sheet name="41B" sheetId="107" r:id="rId100"/>
    <sheet name="42A" sheetId="108" r:id="rId101"/>
    <sheet name="42B" sheetId="109" r:id="rId102"/>
    <sheet name="43" sheetId="64" r:id="rId103"/>
    <sheet name="44" sheetId="110" r:id="rId104"/>
    <sheet name="45" sheetId="112" r:id="rId105"/>
  </sheets>
  <externalReferences>
    <externalReference r:id="rId106"/>
  </externalReferences>
  <definedNames>
    <definedName name="_xlnm.Print_Area" localSheetId="28">'12'!$A$1:$I$26</definedName>
    <definedName name="_xlnm.Print_Area" localSheetId="30">'14'!$1:$1048576</definedName>
    <definedName name="_xlnm.Print_Area" localSheetId="32">'16'!$A$1:$U$39</definedName>
    <definedName name="_xlnm.Print_Area" localSheetId="33">'16A'!$A$1:$U$20</definedName>
    <definedName name="_xlnm.Print_Area" localSheetId="46">'29A'!$A$1:$V$22</definedName>
    <definedName name="_xlnm.Print_Area" localSheetId="47">'29B'!$A$1:$V$21</definedName>
    <definedName name="_xlnm.Print_Area" localSheetId="50">'29E'!$A$1:$V$21</definedName>
    <definedName name="_xlnm.Print_Area" localSheetId="51">'29F'!$A$1:$V$21</definedName>
    <definedName name="_xlnm.Print_Area" localSheetId="72">'35A'!$A$1:$H$27</definedName>
    <definedName name="_xlnm.Print_Area" localSheetId="102">'43'!$A$1:$W$39</definedName>
    <definedName name="_xlnm.Print_Area" localSheetId="103">'44'!$A$1:$W$38</definedName>
    <definedName name="_xlnm.Print_Area" localSheetId="104">'45'!$A$1:$W$55</definedName>
    <definedName name="_xlnm.Print_Area" localSheetId="6">'4A'!$A$1:$V$31</definedName>
    <definedName name="_xlnm.Database">[1]fev_nov!$A$3:$R$105</definedName>
    <definedName name="FL_01">CAPA!$A$1:$O$35</definedName>
    <definedName name="_xlnm.Print_Titles" localSheetId="32">'16'!$A:$A</definedName>
    <definedName name="_xlnm.Print_Titles" localSheetId="33">'16A'!$A:$A</definedName>
    <definedName name="_xlnm.Print_Titles" localSheetId="44">'27'!$A:$A</definedName>
    <definedName name="_xlnm.Print_Titles" localSheetId="45">'28'!$A:$A</definedName>
    <definedName name="_xlnm.Print_Titles" localSheetId="54">'30A'!$A:$A</definedName>
    <definedName name="_xlnm.Print_Titles" localSheetId="55">'30B'!$A:$A</definedName>
    <definedName name="_xlnm.Print_Titles" localSheetId="56">'30C'!$A:$A</definedName>
    <definedName name="_xlnm.Print_Titles" localSheetId="66">'33A'!$A:$A</definedName>
    <definedName name="_xlnm.Print_Titles" localSheetId="67">'33B'!$A:$A</definedName>
    <definedName name="_xlnm.Print_Titles" localSheetId="68">'33C'!$A:$A</definedName>
    <definedName name="_xlnm.Print_Titles" localSheetId="69">'33D'!$A:$A</definedName>
    <definedName name="_xlnm.Print_Titles" localSheetId="70">'33E'!$A:$A</definedName>
    <definedName name="_xlnm.Print_Titles" localSheetId="102">'43'!$A:$A</definedName>
    <definedName name="_xlnm.Print_Titles" localSheetId="103">'44'!$A:$A</definedName>
    <definedName name="_xlnm.Print_Titles" localSheetId="104">'45'!$A:$A</definedName>
    <definedName name="_xlnm.Print_Titles" localSheetId="6">'4A'!$A:$A</definedName>
    <definedName name="_xlnm.Print_Titles" localSheetId="7">'4B'!$A:$A</definedName>
    <definedName name="_xlnm.Print_Titles" localSheetId="8">'4C'!$A:$A</definedName>
    <definedName name="_xlnm.Print_Titles" localSheetId="9">'4D'!$A:$A</definedName>
    <definedName name="_xlnm.Print_Titles" localSheetId="10">'4E'!$A:$A</definedName>
    <definedName name="_xlnm.Print_Titles" localSheetId="11">'4F'!$A:$A</definedName>
    <definedName name="_xlnm.Print_Titles" localSheetId="12">'4G'!$A:$A</definedName>
    <definedName name="_xlnm.Print_Titles" localSheetId="13">'4H'!$A:$A</definedName>
    <definedName name="_xlnm.Print_Titles" localSheetId="25">'9'!$A:$A</definedName>
  </definedNames>
  <calcPr calcId="171027" fullCalcOnLoad="1"/>
</workbook>
</file>

<file path=xl/calcChain.xml><?xml version="1.0" encoding="utf-8"?>
<calcChain xmlns="http://schemas.openxmlformats.org/spreadsheetml/2006/main">
  <c r="A1" i="1" l="1"/>
  <c r="A2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A1" i="23"/>
  <c r="A2" i="23"/>
  <c r="C11" i="23"/>
  <c r="D11" i="23"/>
  <c r="E11" i="23"/>
  <c r="F11" i="23"/>
  <c r="G11" i="23"/>
  <c r="H11" i="23"/>
  <c r="I11" i="23"/>
  <c r="J11" i="23"/>
  <c r="E22" i="23"/>
  <c r="A23" i="23"/>
  <c r="A24" i="23"/>
  <c r="A25" i="23"/>
  <c r="A1" i="24"/>
  <c r="A2" i="24"/>
  <c r="B9" i="24"/>
  <c r="C9" i="24"/>
  <c r="D9" i="24"/>
  <c r="E9" i="24"/>
  <c r="F9" i="24"/>
  <c r="G9" i="24"/>
  <c r="H9" i="24"/>
  <c r="I9" i="24"/>
  <c r="A1" i="25"/>
  <c r="A2" i="25"/>
  <c r="B9" i="25"/>
  <c r="C9" i="25"/>
  <c r="D9" i="25"/>
  <c r="E9" i="25"/>
  <c r="F9" i="25"/>
  <c r="G9" i="25"/>
  <c r="H9" i="25"/>
  <c r="I9" i="25"/>
  <c r="B19" i="25"/>
  <c r="C19" i="25"/>
  <c r="D19" i="25"/>
  <c r="E19" i="25"/>
  <c r="F19" i="25"/>
  <c r="G19" i="25"/>
  <c r="H19" i="25"/>
  <c r="I19" i="25"/>
  <c r="B20" i="25"/>
  <c r="C20" i="25"/>
  <c r="D20" i="25"/>
  <c r="E20" i="25"/>
  <c r="F20" i="25"/>
  <c r="G20" i="25"/>
  <c r="H20" i="25"/>
  <c r="I20" i="25"/>
  <c r="B21" i="25"/>
  <c r="C21" i="25"/>
  <c r="D21" i="25"/>
  <c r="E21" i="25"/>
  <c r="F21" i="25"/>
  <c r="G21" i="25"/>
  <c r="H21" i="25"/>
  <c r="I21" i="25"/>
  <c r="A1" i="26"/>
  <c r="A2" i="26"/>
  <c r="A15" i="26"/>
  <c r="A16" i="26"/>
  <c r="A1" i="27"/>
  <c r="A2" i="27"/>
  <c r="B21" i="27"/>
  <c r="C21" i="27"/>
  <c r="D21" i="27"/>
  <c r="E21" i="27"/>
  <c r="A1" i="28"/>
  <c r="A2" i="28"/>
  <c r="B10" i="28"/>
  <c r="B22" i="28"/>
  <c r="B34" i="28"/>
  <c r="B41" i="28"/>
  <c r="B42" i="28"/>
  <c r="B43" i="28"/>
  <c r="B45" i="28"/>
  <c r="C12" i="26"/>
  <c r="A1" i="29"/>
  <c r="A2" i="29"/>
  <c r="B10" i="29"/>
  <c r="C10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B11" i="29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B12" i="29"/>
  <c r="C12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B13" i="29"/>
  <c r="C13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B14" i="29"/>
  <c r="C14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B15" i="29"/>
  <c r="C15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B16" i="29"/>
  <c r="C16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B17" i="29"/>
  <c r="C17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B18" i="29"/>
  <c r="C18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B31" i="29"/>
  <c r="C31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U31" i="29"/>
  <c r="B33" i="29"/>
  <c r="C33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A1" i="113"/>
  <c r="A2" i="113"/>
  <c r="B11" i="113"/>
  <c r="C11" i="113"/>
  <c r="D11" i="113"/>
  <c r="E11" i="113"/>
  <c r="F11" i="113"/>
  <c r="G11" i="113"/>
  <c r="H11" i="113"/>
  <c r="I11" i="113"/>
  <c r="J11" i="113"/>
  <c r="K11" i="113"/>
  <c r="L11" i="113"/>
  <c r="M11" i="113"/>
  <c r="N11" i="113"/>
  <c r="O11" i="113"/>
  <c r="P11" i="113"/>
  <c r="Q11" i="113"/>
  <c r="R11" i="113"/>
  <c r="S11" i="113"/>
  <c r="T11" i="113"/>
  <c r="U11" i="113"/>
  <c r="B13" i="113"/>
  <c r="C13" i="113"/>
  <c r="D13" i="113"/>
  <c r="E13" i="113"/>
  <c r="F13" i="113"/>
  <c r="G13" i="113"/>
  <c r="H13" i="113"/>
  <c r="I13" i="113"/>
  <c r="J13" i="113"/>
  <c r="K13" i="113"/>
  <c r="L13" i="113"/>
  <c r="M13" i="113"/>
  <c r="N13" i="113"/>
  <c r="O13" i="113"/>
  <c r="P13" i="113"/>
  <c r="Q13" i="113"/>
  <c r="R13" i="113"/>
  <c r="S13" i="113"/>
  <c r="T13" i="113"/>
  <c r="U13" i="113"/>
  <c r="A1" i="30"/>
  <c r="A2" i="30"/>
  <c r="B11" i="30"/>
  <c r="C11" i="30"/>
  <c r="D11" i="30"/>
  <c r="E11" i="30"/>
  <c r="F11" i="30"/>
  <c r="G11" i="30"/>
  <c r="H11" i="30"/>
  <c r="I11" i="30"/>
  <c r="B12" i="30"/>
  <c r="C12" i="30"/>
  <c r="D12" i="30"/>
  <c r="E12" i="30"/>
  <c r="F12" i="30"/>
  <c r="G12" i="30"/>
  <c r="H12" i="30"/>
  <c r="I12" i="30"/>
  <c r="B13" i="30"/>
  <c r="C13" i="30"/>
  <c r="D13" i="30"/>
  <c r="E13" i="30"/>
  <c r="F13" i="30"/>
  <c r="G13" i="30"/>
  <c r="H13" i="30"/>
  <c r="I13" i="30"/>
  <c r="B14" i="30"/>
  <c r="C14" i="30"/>
  <c r="D14" i="30"/>
  <c r="E14" i="30"/>
  <c r="F14" i="30"/>
  <c r="G14" i="30"/>
  <c r="H14" i="30"/>
  <c r="I14" i="30"/>
  <c r="B15" i="30"/>
  <c r="C15" i="30"/>
  <c r="D15" i="30"/>
  <c r="E15" i="30"/>
  <c r="F15" i="30"/>
  <c r="G15" i="30"/>
  <c r="H15" i="30"/>
  <c r="I15" i="30"/>
  <c r="B16" i="30"/>
  <c r="C16" i="30"/>
  <c r="D16" i="30"/>
  <c r="E16" i="30"/>
  <c r="F16" i="30"/>
  <c r="G16" i="30"/>
  <c r="H16" i="30"/>
  <c r="I16" i="30"/>
  <c r="B17" i="30"/>
  <c r="C17" i="30"/>
  <c r="D17" i="30"/>
  <c r="E17" i="30"/>
  <c r="F17" i="30"/>
  <c r="G17" i="30"/>
  <c r="H17" i="30"/>
  <c r="I17" i="30"/>
  <c r="B18" i="30"/>
  <c r="C18" i="30"/>
  <c r="D18" i="30"/>
  <c r="E18" i="30"/>
  <c r="F18" i="30"/>
  <c r="G18" i="30"/>
  <c r="H18" i="30"/>
  <c r="I18" i="30"/>
  <c r="B19" i="30"/>
  <c r="C19" i="30"/>
  <c r="D19" i="30"/>
  <c r="E19" i="30"/>
  <c r="F19" i="30"/>
  <c r="G19" i="30"/>
  <c r="H19" i="30"/>
  <c r="I19" i="30"/>
  <c r="B20" i="30"/>
  <c r="C20" i="30"/>
  <c r="D20" i="30"/>
  <c r="E20" i="30"/>
  <c r="F20" i="30"/>
  <c r="G20" i="30"/>
  <c r="H20" i="30"/>
  <c r="I20" i="30"/>
  <c r="B21" i="30"/>
  <c r="C21" i="30"/>
  <c r="D21" i="30"/>
  <c r="E21" i="30"/>
  <c r="F21" i="30"/>
  <c r="G21" i="30"/>
  <c r="H21" i="30"/>
  <c r="I21" i="30"/>
  <c r="A22" i="30"/>
  <c r="B22" i="30"/>
  <c r="C22" i="30"/>
  <c r="D22" i="30"/>
  <c r="E22" i="30"/>
  <c r="F22" i="30"/>
  <c r="G22" i="30"/>
  <c r="H22" i="30"/>
  <c r="I22" i="30"/>
  <c r="A23" i="30"/>
  <c r="B23" i="30"/>
  <c r="C23" i="30"/>
  <c r="D23" i="30"/>
  <c r="E23" i="30"/>
  <c r="F23" i="30"/>
  <c r="G23" i="30"/>
  <c r="H23" i="30"/>
  <c r="I23" i="30"/>
  <c r="A24" i="30"/>
  <c r="B24" i="30"/>
  <c r="C24" i="30"/>
  <c r="D24" i="30"/>
  <c r="E24" i="30"/>
  <c r="F24" i="30"/>
  <c r="G24" i="30"/>
  <c r="H24" i="30"/>
  <c r="I24" i="30"/>
  <c r="B26" i="30"/>
  <c r="C26" i="30"/>
  <c r="D26" i="30"/>
  <c r="E26" i="30"/>
  <c r="F26" i="30"/>
  <c r="G26" i="30"/>
  <c r="H26" i="30"/>
  <c r="I26" i="30"/>
  <c r="A1" i="31"/>
  <c r="A2" i="31"/>
  <c r="B11" i="31"/>
  <c r="C11" i="31"/>
  <c r="D11" i="31"/>
  <c r="E11" i="31"/>
  <c r="F11" i="31"/>
  <c r="G11" i="31"/>
  <c r="H11" i="31"/>
  <c r="I11" i="31"/>
  <c r="A1" i="32"/>
  <c r="A2" i="32"/>
  <c r="B11" i="32"/>
  <c r="C11" i="32"/>
  <c r="D11" i="32"/>
  <c r="E11" i="32"/>
  <c r="F11" i="32"/>
  <c r="G11" i="32"/>
  <c r="H11" i="32"/>
  <c r="I11" i="32"/>
  <c r="B12" i="32"/>
  <c r="C12" i="32"/>
  <c r="D12" i="32"/>
  <c r="E12" i="32"/>
  <c r="F12" i="32"/>
  <c r="G12" i="32"/>
  <c r="H12" i="32"/>
  <c r="I12" i="32"/>
  <c r="B13" i="32"/>
  <c r="C13" i="32"/>
  <c r="D13" i="32"/>
  <c r="E13" i="32"/>
  <c r="F13" i="32"/>
  <c r="G13" i="32"/>
  <c r="H13" i="32"/>
  <c r="I13" i="32"/>
  <c r="B14" i="32"/>
  <c r="C14" i="32"/>
  <c r="D14" i="32"/>
  <c r="E14" i="32"/>
  <c r="F14" i="32"/>
  <c r="G14" i="32"/>
  <c r="H14" i="32"/>
  <c r="I14" i="32"/>
  <c r="B15" i="32"/>
  <c r="C15" i="32"/>
  <c r="D15" i="32"/>
  <c r="E15" i="32"/>
  <c r="F15" i="32"/>
  <c r="G15" i="32"/>
  <c r="H15" i="32"/>
  <c r="I15" i="32"/>
  <c r="B16" i="32"/>
  <c r="C16" i="32"/>
  <c r="D16" i="32"/>
  <c r="E16" i="32"/>
  <c r="F16" i="32"/>
  <c r="G16" i="32"/>
  <c r="H16" i="32"/>
  <c r="I16" i="32"/>
  <c r="B17" i="32"/>
  <c r="C17" i="32"/>
  <c r="D17" i="32"/>
  <c r="E17" i="32"/>
  <c r="F17" i="32"/>
  <c r="G17" i="32"/>
  <c r="H17" i="32"/>
  <c r="I17" i="32"/>
  <c r="B18" i="32"/>
  <c r="C18" i="32"/>
  <c r="D18" i="32"/>
  <c r="E18" i="32"/>
  <c r="F18" i="32"/>
  <c r="G18" i="32"/>
  <c r="H18" i="32"/>
  <c r="I18" i="32"/>
  <c r="B19" i="32"/>
  <c r="C19" i="32"/>
  <c r="D19" i="32"/>
  <c r="E19" i="32"/>
  <c r="F19" i="32"/>
  <c r="G19" i="32"/>
  <c r="H19" i="32"/>
  <c r="I19" i="32"/>
  <c r="B20" i="32"/>
  <c r="C20" i="32"/>
  <c r="D20" i="32"/>
  <c r="E20" i="32"/>
  <c r="F20" i="32"/>
  <c r="G20" i="32"/>
  <c r="H20" i="32"/>
  <c r="I20" i="32"/>
  <c r="B21" i="32"/>
  <c r="C21" i="32"/>
  <c r="D21" i="32"/>
  <c r="E21" i="32"/>
  <c r="F21" i="32"/>
  <c r="G21" i="32"/>
  <c r="H21" i="32"/>
  <c r="I21" i="32"/>
  <c r="B22" i="32"/>
  <c r="C22" i="32"/>
  <c r="D22" i="32"/>
  <c r="E22" i="32"/>
  <c r="F22" i="32"/>
  <c r="G22" i="32"/>
  <c r="H22" i="32"/>
  <c r="I22" i="32"/>
  <c r="A1" i="2"/>
  <c r="A2" i="2"/>
  <c r="B15" i="2"/>
  <c r="D15" i="2"/>
  <c r="E15" i="2"/>
  <c r="B16" i="2"/>
  <c r="D16" i="2"/>
  <c r="G16" i="2"/>
  <c r="B17" i="2"/>
  <c r="D17" i="2"/>
  <c r="G17" i="2"/>
  <c r="E17" i="2"/>
  <c r="B18" i="2"/>
  <c r="D18" i="2"/>
  <c r="B19" i="2"/>
  <c r="D19" i="2"/>
  <c r="E19" i="2"/>
  <c r="G19" i="2"/>
  <c r="H19" i="2"/>
  <c r="B20" i="2"/>
  <c r="D20" i="2"/>
  <c r="G20" i="2"/>
  <c r="B21" i="2"/>
  <c r="D21" i="2"/>
  <c r="E21" i="2"/>
  <c r="H21" i="2"/>
  <c r="G21" i="2"/>
  <c r="B22" i="2"/>
  <c r="D22" i="2"/>
  <c r="B23" i="2"/>
  <c r="D23" i="2"/>
  <c r="E23" i="2"/>
  <c r="G23" i="2"/>
  <c r="H23" i="2"/>
  <c r="B24" i="2"/>
  <c r="D24" i="2"/>
  <c r="G24" i="2"/>
  <c r="B25" i="2"/>
  <c r="D25" i="2"/>
  <c r="E25" i="2"/>
  <c r="H25" i="2"/>
  <c r="G25" i="2"/>
  <c r="B26" i="2"/>
  <c r="D26" i="2"/>
  <c r="B27" i="2"/>
  <c r="D27" i="2"/>
  <c r="E27" i="2"/>
  <c r="G27" i="2"/>
  <c r="H27" i="2"/>
  <c r="B28" i="2"/>
  <c r="D28" i="2"/>
  <c r="G28" i="2"/>
  <c r="B29" i="2"/>
  <c r="D29" i="2"/>
  <c r="E29" i="2"/>
  <c r="H29" i="2"/>
  <c r="G29" i="2"/>
  <c r="B30" i="2"/>
  <c r="D30" i="2"/>
  <c r="B31" i="2"/>
  <c r="D31" i="2"/>
  <c r="E31" i="2"/>
  <c r="G31" i="2"/>
  <c r="H31" i="2"/>
  <c r="B32" i="2"/>
  <c r="D32" i="2"/>
  <c r="G32" i="2"/>
  <c r="B33" i="2"/>
  <c r="D33" i="2"/>
  <c r="E33" i="2"/>
  <c r="H33" i="2"/>
  <c r="G33" i="2"/>
  <c r="B34" i="2"/>
  <c r="D34" i="2"/>
  <c r="A1" i="33"/>
  <c r="A2" i="33"/>
  <c r="B11" i="33"/>
  <c r="C11" i="33"/>
  <c r="D11" i="33"/>
  <c r="E11" i="33"/>
  <c r="F11" i="33"/>
  <c r="G11" i="33"/>
  <c r="H11" i="33"/>
  <c r="I11" i="33"/>
  <c r="B12" i="33"/>
  <c r="C12" i="33"/>
  <c r="D12" i="33"/>
  <c r="E12" i="33"/>
  <c r="F12" i="33"/>
  <c r="G12" i="33"/>
  <c r="H12" i="33"/>
  <c r="I12" i="33"/>
  <c r="J12" i="33"/>
  <c r="B13" i="33"/>
  <c r="C13" i="33"/>
  <c r="D13" i="33"/>
  <c r="E13" i="33"/>
  <c r="F13" i="33"/>
  <c r="G13" i="33"/>
  <c r="H13" i="33"/>
  <c r="I13" i="33"/>
  <c r="J13" i="33"/>
  <c r="B14" i="33"/>
  <c r="C14" i="33"/>
  <c r="D14" i="33"/>
  <c r="E14" i="33"/>
  <c r="F14" i="33"/>
  <c r="G14" i="33"/>
  <c r="H14" i="33"/>
  <c r="I14" i="33"/>
  <c r="J14" i="33"/>
  <c r="B15" i="33"/>
  <c r="C15" i="33"/>
  <c r="D15" i="33"/>
  <c r="E15" i="33"/>
  <c r="F15" i="33"/>
  <c r="G15" i="33"/>
  <c r="H15" i="33"/>
  <c r="I15" i="33"/>
  <c r="J15" i="33"/>
  <c r="B16" i="33"/>
  <c r="C16" i="33"/>
  <c r="D16" i="33"/>
  <c r="E16" i="33"/>
  <c r="F16" i="33"/>
  <c r="G16" i="33"/>
  <c r="H16" i="33"/>
  <c r="I16" i="33"/>
  <c r="J16" i="33"/>
  <c r="B17" i="33"/>
  <c r="C17" i="33"/>
  <c r="D17" i="33"/>
  <c r="E17" i="33"/>
  <c r="F17" i="33"/>
  <c r="G17" i="33"/>
  <c r="H17" i="33"/>
  <c r="I17" i="33"/>
  <c r="J17" i="33"/>
  <c r="B18" i="33"/>
  <c r="C18" i="33"/>
  <c r="D18" i="33"/>
  <c r="E18" i="33"/>
  <c r="F18" i="33"/>
  <c r="G18" i="33"/>
  <c r="H18" i="33"/>
  <c r="I18" i="33"/>
  <c r="J18" i="33"/>
  <c r="B19" i="33"/>
  <c r="C19" i="33"/>
  <c r="D19" i="33"/>
  <c r="E19" i="33"/>
  <c r="F19" i="33"/>
  <c r="G19" i="33"/>
  <c r="H19" i="33"/>
  <c r="I19" i="33"/>
  <c r="J19" i="33"/>
  <c r="B20" i="33"/>
  <c r="C20" i="33"/>
  <c r="D20" i="33"/>
  <c r="E20" i="33"/>
  <c r="F20" i="33"/>
  <c r="G20" i="33"/>
  <c r="H20" i="33"/>
  <c r="I20" i="33"/>
  <c r="J20" i="33"/>
  <c r="B21" i="33"/>
  <c r="C21" i="33"/>
  <c r="D21" i="33"/>
  <c r="E21" i="33"/>
  <c r="F21" i="33"/>
  <c r="G21" i="33"/>
  <c r="H21" i="33"/>
  <c r="I21" i="33"/>
  <c r="J21" i="33"/>
  <c r="B22" i="33"/>
  <c r="C22" i="33"/>
  <c r="D22" i="33"/>
  <c r="E22" i="33"/>
  <c r="F22" i="33"/>
  <c r="G22" i="33"/>
  <c r="H22" i="33"/>
  <c r="I22" i="33"/>
  <c r="J22" i="33"/>
  <c r="B23" i="33"/>
  <c r="C23" i="33"/>
  <c r="D23" i="33"/>
  <c r="E23" i="33"/>
  <c r="F23" i="33"/>
  <c r="G23" i="33"/>
  <c r="H23" i="33"/>
  <c r="I23" i="33"/>
  <c r="J23" i="33"/>
  <c r="B24" i="33"/>
  <c r="C24" i="33"/>
  <c r="D24" i="33"/>
  <c r="E24" i="33"/>
  <c r="F24" i="33"/>
  <c r="G24" i="33"/>
  <c r="H24" i="33"/>
  <c r="I24" i="33"/>
  <c r="J24" i="33"/>
  <c r="B25" i="33"/>
  <c r="C25" i="33"/>
  <c r="D25" i="33"/>
  <c r="E25" i="33"/>
  <c r="F25" i="33"/>
  <c r="G25" i="33"/>
  <c r="H25" i="33"/>
  <c r="I25" i="33"/>
  <c r="J25" i="33"/>
  <c r="B26" i="33"/>
  <c r="C26" i="33"/>
  <c r="D26" i="33"/>
  <c r="E26" i="33"/>
  <c r="F26" i="33"/>
  <c r="G26" i="33"/>
  <c r="H26" i="33"/>
  <c r="I26" i="33"/>
  <c r="J26" i="33"/>
  <c r="B27" i="33"/>
  <c r="C27" i="33"/>
  <c r="D27" i="33"/>
  <c r="E27" i="33"/>
  <c r="F27" i="33"/>
  <c r="G27" i="33"/>
  <c r="H27" i="33"/>
  <c r="I27" i="33"/>
  <c r="J27" i="33"/>
  <c r="B28" i="33"/>
  <c r="C28" i="33"/>
  <c r="D28" i="33"/>
  <c r="E28" i="33"/>
  <c r="F28" i="33"/>
  <c r="G28" i="33"/>
  <c r="H28" i="33"/>
  <c r="I28" i="33"/>
  <c r="J28" i="33"/>
  <c r="B29" i="33"/>
  <c r="C29" i="33"/>
  <c r="D29" i="33"/>
  <c r="E29" i="33"/>
  <c r="F29" i="33"/>
  <c r="G29" i="33"/>
  <c r="H29" i="33"/>
  <c r="I29" i="33"/>
  <c r="J29" i="33"/>
  <c r="B30" i="33"/>
  <c r="C30" i="33"/>
  <c r="D30" i="33"/>
  <c r="E30" i="33"/>
  <c r="F30" i="33"/>
  <c r="G30" i="33"/>
  <c r="H30" i="33"/>
  <c r="I30" i="33"/>
  <c r="J30" i="33"/>
  <c r="B31" i="33"/>
  <c r="C31" i="33"/>
  <c r="D31" i="33"/>
  <c r="E31" i="33"/>
  <c r="F31" i="33"/>
  <c r="G31" i="33"/>
  <c r="H31" i="33"/>
  <c r="I31" i="33"/>
  <c r="J31" i="33"/>
  <c r="A1" i="34"/>
  <c r="A2" i="34"/>
  <c r="B11" i="34"/>
  <c r="C11" i="34"/>
  <c r="D11" i="34"/>
  <c r="E11" i="34"/>
  <c r="F11" i="34"/>
  <c r="G11" i="34"/>
  <c r="H11" i="34"/>
  <c r="I11" i="34"/>
  <c r="A1" i="35"/>
  <c r="A2" i="35"/>
  <c r="B11" i="35"/>
  <c r="C11" i="35"/>
  <c r="D11" i="35"/>
  <c r="E11" i="35"/>
  <c r="F11" i="35"/>
  <c r="G11" i="35"/>
  <c r="H11" i="35"/>
  <c r="I11" i="35"/>
  <c r="A1" i="36"/>
  <c r="A2" i="36"/>
  <c r="B12" i="36"/>
  <c r="E12" i="36"/>
  <c r="F12" i="36"/>
  <c r="G12" i="36"/>
  <c r="B13" i="36"/>
  <c r="E13" i="36"/>
  <c r="F13" i="36"/>
  <c r="F19" i="36"/>
  <c r="G13" i="36"/>
  <c r="B14" i="36"/>
  <c r="E14" i="36"/>
  <c r="F14" i="36"/>
  <c r="G14" i="36"/>
  <c r="G19" i="36"/>
  <c r="B15" i="36"/>
  <c r="E15" i="36"/>
  <c r="F15" i="36"/>
  <c r="G15" i="36"/>
  <c r="A16" i="36"/>
  <c r="B16" i="36"/>
  <c r="E16" i="36"/>
  <c r="F16" i="36"/>
  <c r="G16" i="36"/>
  <c r="A17" i="36"/>
  <c r="B17" i="36"/>
  <c r="C17" i="36"/>
  <c r="E17" i="36"/>
  <c r="F17" i="36"/>
  <c r="G17" i="36"/>
  <c r="E19" i="36"/>
  <c r="A1" i="43"/>
  <c r="A2" i="43"/>
  <c r="B11" i="43"/>
  <c r="C11" i="43"/>
  <c r="D11" i="43"/>
  <c r="E11" i="43"/>
  <c r="F11" i="43"/>
  <c r="G11" i="43"/>
  <c r="H11" i="43"/>
  <c r="I11" i="43"/>
  <c r="A1" i="45"/>
  <c r="A2" i="45"/>
  <c r="B11" i="45"/>
  <c r="C11" i="45"/>
  <c r="D11" i="45"/>
  <c r="E11" i="45"/>
  <c r="F11" i="45"/>
  <c r="G11" i="45"/>
  <c r="H11" i="45"/>
  <c r="I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J31" i="45"/>
  <c r="A1" i="46"/>
  <c r="A2" i="46"/>
  <c r="B11" i="46"/>
  <c r="C11" i="46"/>
  <c r="D11" i="46"/>
  <c r="E11" i="46"/>
  <c r="F11" i="46"/>
  <c r="G11" i="46"/>
  <c r="H11" i="46"/>
  <c r="I11" i="46"/>
  <c r="A1" i="57"/>
  <c r="A2" i="57"/>
  <c r="B24" i="57"/>
  <c r="C24" i="57"/>
  <c r="D24" i="57"/>
  <c r="E24" i="57"/>
  <c r="F24" i="57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D32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D33" i="57"/>
  <c r="E33" i="57"/>
  <c r="F33" i="57"/>
  <c r="G33" i="57"/>
  <c r="H33" i="57"/>
  <c r="I33" i="57"/>
  <c r="J33" i="57"/>
  <c r="K33" i="57"/>
  <c r="L33" i="57"/>
  <c r="M33" i="57"/>
  <c r="N33" i="57"/>
  <c r="O33" i="57"/>
  <c r="P33" i="57"/>
  <c r="Q33" i="57"/>
  <c r="R33" i="57"/>
  <c r="S33" i="57"/>
  <c r="T33" i="57"/>
  <c r="U33" i="57"/>
  <c r="V33" i="57"/>
  <c r="W33" i="57"/>
  <c r="X33" i="57"/>
  <c r="X42" i="57" s="1"/>
  <c r="U24" i="47" s="1"/>
  <c r="D34" i="57"/>
  <c r="E34" i="57"/>
  <c r="F34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D35" i="57"/>
  <c r="E35" i="57"/>
  <c r="F35" i="57"/>
  <c r="G35" i="57"/>
  <c r="H35" i="57"/>
  <c r="I35" i="57"/>
  <c r="J35" i="57"/>
  <c r="K35" i="57"/>
  <c r="L35" i="57"/>
  <c r="M35" i="57"/>
  <c r="N35" i="57"/>
  <c r="O35" i="57"/>
  <c r="P35" i="57"/>
  <c r="Q35" i="57"/>
  <c r="R35" i="57"/>
  <c r="S35" i="57"/>
  <c r="T35" i="57"/>
  <c r="U35" i="57"/>
  <c r="V35" i="57"/>
  <c r="W35" i="57"/>
  <c r="X35" i="57"/>
  <c r="D36" i="57"/>
  <c r="E36" i="57"/>
  <c r="F36" i="57"/>
  <c r="G36" i="57"/>
  <c r="H36" i="57"/>
  <c r="I36" i="57"/>
  <c r="J36" i="57"/>
  <c r="K36" i="57"/>
  <c r="L36" i="57"/>
  <c r="M36" i="57"/>
  <c r="N36" i="57"/>
  <c r="O36" i="57"/>
  <c r="P36" i="57"/>
  <c r="Q36" i="57"/>
  <c r="R36" i="57"/>
  <c r="S36" i="57"/>
  <c r="T36" i="57"/>
  <c r="U36" i="57"/>
  <c r="V36" i="57"/>
  <c r="W36" i="57"/>
  <c r="X36" i="57"/>
  <c r="D37" i="57"/>
  <c r="E37" i="57"/>
  <c r="F37" i="57"/>
  <c r="G37" i="57"/>
  <c r="H37" i="57"/>
  <c r="I37" i="57"/>
  <c r="J37" i="57"/>
  <c r="K37" i="57"/>
  <c r="L37" i="57"/>
  <c r="M37" i="57"/>
  <c r="N37" i="57"/>
  <c r="O37" i="57"/>
  <c r="P37" i="57"/>
  <c r="Q37" i="57"/>
  <c r="R37" i="57"/>
  <c r="S37" i="57"/>
  <c r="T37" i="57"/>
  <c r="U37" i="57"/>
  <c r="V37" i="57"/>
  <c r="W37" i="57"/>
  <c r="X37" i="57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D39" i="57"/>
  <c r="E39" i="57"/>
  <c r="F39" i="57"/>
  <c r="G39" i="57"/>
  <c r="H39" i="57"/>
  <c r="I39" i="57"/>
  <c r="J39" i="57"/>
  <c r="K39" i="57"/>
  <c r="L39" i="57"/>
  <c r="M39" i="57"/>
  <c r="N39" i="57"/>
  <c r="O39" i="57"/>
  <c r="P39" i="57"/>
  <c r="Q39" i="57"/>
  <c r="R39" i="57"/>
  <c r="S39" i="57"/>
  <c r="T39" i="57"/>
  <c r="U39" i="57"/>
  <c r="V39" i="57"/>
  <c r="W39" i="57"/>
  <c r="X39" i="57"/>
  <c r="D40" i="57"/>
  <c r="E40" i="57"/>
  <c r="F40" i="57"/>
  <c r="G40" i="57"/>
  <c r="H40" i="57"/>
  <c r="I40" i="57"/>
  <c r="J40" i="57"/>
  <c r="K40" i="57"/>
  <c r="L40" i="57"/>
  <c r="M40" i="57"/>
  <c r="N40" i="57"/>
  <c r="O40" i="57"/>
  <c r="P40" i="57"/>
  <c r="Q40" i="57"/>
  <c r="R40" i="57"/>
  <c r="S40" i="57"/>
  <c r="T40" i="57"/>
  <c r="U40" i="57"/>
  <c r="V40" i="57"/>
  <c r="W40" i="57"/>
  <c r="X40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P41" i="57"/>
  <c r="Q41" i="57"/>
  <c r="R41" i="57"/>
  <c r="S41" i="57"/>
  <c r="T41" i="57"/>
  <c r="U41" i="57"/>
  <c r="V41" i="57"/>
  <c r="W41" i="57"/>
  <c r="X41" i="57"/>
  <c r="A1" i="47"/>
  <c r="A2" i="47"/>
  <c r="B16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B22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B23" i="47"/>
  <c r="C23" i="47"/>
  <c r="V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B27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V29" i="47"/>
  <c r="V30" i="47"/>
  <c r="A1" i="48"/>
  <c r="A2" i="48"/>
  <c r="A8" i="48"/>
  <c r="A1" i="49"/>
  <c r="A2" i="49"/>
  <c r="A8" i="49"/>
  <c r="A1" i="50"/>
  <c r="A2" i="50"/>
  <c r="A8" i="50"/>
  <c r="A1" i="51"/>
  <c r="A2" i="51"/>
  <c r="A8" i="51"/>
  <c r="A1" i="52"/>
  <c r="A2" i="52"/>
  <c r="A8" i="52"/>
  <c r="A1" i="53"/>
  <c r="A2" i="53"/>
  <c r="A8" i="53"/>
  <c r="A1" i="54"/>
  <c r="A2" i="54"/>
  <c r="A8" i="54"/>
  <c r="A1" i="72"/>
  <c r="A2" i="72"/>
  <c r="A8" i="72"/>
  <c r="A1" i="3"/>
  <c r="A2" i="3"/>
  <c r="B9" i="3"/>
  <c r="D9" i="3"/>
  <c r="F9" i="3"/>
  <c r="H9" i="3"/>
  <c r="J9" i="3"/>
  <c r="L9" i="3"/>
  <c r="N9" i="3"/>
  <c r="P9" i="3"/>
  <c r="C11" i="3"/>
  <c r="E11" i="3"/>
  <c r="G11" i="3"/>
  <c r="S11" i="3"/>
  <c r="I11" i="3"/>
  <c r="K11" i="3"/>
  <c r="N11" i="3"/>
  <c r="P11" i="3"/>
  <c r="R11" i="3"/>
  <c r="T11" i="3"/>
  <c r="C12" i="3"/>
  <c r="S12" i="3"/>
  <c r="E12" i="3"/>
  <c r="G12" i="3"/>
  <c r="I12" i="3"/>
  <c r="K12" i="3"/>
  <c r="N12" i="3"/>
  <c r="R12" i="3"/>
  <c r="P12" i="3"/>
  <c r="C13" i="3"/>
  <c r="E13" i="3"/>
  <c r="G13" i="3"/>
  <c r="S13" i="3"/>
  <c r="I13" i="3"/>
  <c r="K13" i="3"/>
  <c r="N13" i="3"/>
  <c r="P13" i="3"/>
  <c r="R13" i="3"/>
  <c r="T13" i="3"/>
  <c r="C14" i="3"/>
  <c r="S14" i="3"/>
  <c r="E14" i="3"/>
  <c r="G14" i="3"/>
  <c r="I14" i="3"/>
  <c r="K14" i="3"/>
  <c r="N14" i="3"/>
  <c r="R14" i="3"/>
  <c r="P14" i="3"/>
  <c r="C15" i="3"/>
  <c r="E15" i="3"/>
  <c r="G15" i="3"/>
  <c r="S15" i="3"/>
  <c r="I15" i="3"/>
  <c r="K15" i="3"/>
  <c r="N15" i="3"/>
  <c r="P15" i="3"/>
  <c r="R15" i="3"/>
  <c r="T15" i="3"/>
  <c r="C16" i="3"/>
  <c r="S16" i="3"/>
  <c r="E16" i="3"/>
  <c r="G16" i="3"/>
  <c r="I16" i="3"/>
  <c r="K16" i="3"/>
  <c r="N16" i="3"/>
  <c r="R16" i="3"/>
  <c r="P16" i="3"/>
  <c r="C17" i="3"/>
  <c r="E17" i="3"/>
  <c r="G17" i="3"/>
  <c r="S17" i="3"/>
  <c r="I17" i="3"/>
  <c r="K17" i="3"/>
  <c r="N17" i="3"/>
  <c r="P17" i="3"/>
  <c r="R17" i="3"/>
  <c r="T17" i="3"/>
  <c r="C18" i="3"/>
  <c r="E18" i="3"/>
  <c r="G18" i="3"/>
  <c r="I18" i="3"/>
  <c r="K18" i="3"/>
  <c r="N18" i="3"/>
  <c r="R18" i="3"/>
  <c r="P18" i="3"/>
  <c r="S18" i="3"/>
  <c r="C19" i="3"/>
  <c r="E19" i="3"/>
  <c r="G19" i="3"/>
  <c r="I19" i="3"/>
  <c r="K19" i="3"/>
  <c r="N19" i="3"/>
  <c r="P19" i="3"/>
  <c r="R19" i="3"/>
  <c r="S19" i="3"/>
  <c r="C20" i="3"/>
  <c r="E20" i="3"/>
  <c r="G20" i="3"/>
  <c r="I20" i="3"/>
  <c r="K20" i="3"/>
  <c r="N20" i="3"/>
  <c r="P20" i="3"/>
  <c r="S20" i="3"/>
  <c r="C21" i="3"/>
  <c r="E21" i="3"/>
  <c r="G21" i="3"/>
  <c r="S21" i="3"/>
  <c r="I21" i="3"/>
  <c r="K21" i="3"/>
  <c r="N21" i="3"/>
  <c r="P21" i="3"/>
  <c r="R21" i="3"/>
  <c r="T21" i="3"/>
  <c r="C22" i="3"/>
  <c r="S22" i="3"/>
  <c r="E22" i="3"/>
  <c r="G22" i="3"/>
  <c r="I22" i="3"/>
  <c r="K22" i="3"/>
  <c r="N22" i="3"/>
  <c r="R22" i="3"/>
  <c r="T22" i="3"/>
  <c r="P22" i="3"/>
  <c r="C23" i="3"/>
  <c r="E23" i="3"/>
  <c r="G23" i="3"/>
  <c r="I23" i="3"/>
  <c r="K23" i="3"/>
  <c r="N23" i="3"/>
  <c r="P23" i="3"/>
  <c r="R23" i="3"/>
  <c r="T23" i="3"/>
  <c r="S23" i="3"/>
  <c r="C24" i="3"/>
  <c r="E24" i="3"/>
  <c r="S24" i="3"/>
  <c r="G24" i="3"/>
  <c r="I24" i="3"/>
  <c r="K24" i="3"/>
  <c r="N24" i="3"/>
  <c r="R24" i="3"/>
  <c r="T24" i="3"/>
  <c r="P24" i="3"/>
  <c r="C25" i="3"/>
  <c r="E25" i="3"/>
  <c r="G25" i="3"/>
  <c r="I25" i="3"/>
  <c r="K25" i="3"/>
  <c r="N25" i="3"/>
  <c r="P25" i="3"/>
  <c r="R25" i="3"/>
  <c r="T25" i="3"/>
  <c r="S25" i="3"/>
  <c r="C26" i="3"/>
  <c r="E26" i="3"/>
  <c r="S26" i="3"/>
  <c r="G26" i="3"/>
  <c r="I26" i="3"/>
  <c r="K26" i="3"/>
  <c r="N26" i="3"/>
  <c r="R26" i="3"/>
  <c r="T26" i="3"/>
  <c r="P26" i="3"/>
  <c r="C27" i="3"/>
  <c r="E27" i="3"/>
  <c r="G27" i="3"/>
  <c r="I27" i="3"/>
  <c r="K27" i="3"/>
  <c r="N27" i="3"/>
  <c r="P27" i="3"/>
  <c r="R27" i="3"/>
  <c r="T27" i="3"/>
  <c r="S27" i="3"/>
  <c r="C28" i="3"/>
  <c r="E28" i="3"/>
  <c r="S28" i="3"/>
  <c r="G28" i="3"/>
  <c r="I28" i="3"/>
  <c r="K28" i="3"/>
  <c r="N28" i="3"/>
  <c r="R28" i="3"/>
  <c r="T28" i="3"/>
  <c r="P28" i="3"/>
  <c r="C29" i="3"/>
  <c r="E29" i="3"/>
  <c r="G29" i="3"/>
  <c r="I29" i="3"/>
  <c r="K29" i="3"/>
  <c r="N29" i="3"/>
  <c r="P29" i="3"/>
  <c r="R29" i="3"/>
  <c r="T29" i="3"/>
  <c r="S29" i="3"/>
  <c r="C30" i="3"/>
  <c r="E30" i="3"/>
  <c r="S30" i="3"/>
  <c r="G30" i="3"/>
  <c r="I30" i="3"/>
  <c r="K30" i="3"/>
  <c r="N30" i="3"/>
  <c r="R30" i="3"/>
  <c r="T30" i="3"/>
  <c r="P30" i="3"/>
  <c r="A1" i="67"/>
  <c r="A2" i="67"/>
  <c r="C12" i="67"/>
  <c r="D12" i="67"/>
  <c r="D19" i="67"/>
  <c r="D21" i="67"/>
  <c r="C14" i="74"/>
  <c r="E12" i="67"/>
  <c r="E19" i="67"/>
  <c r="E21" i="67"/>
  <c r="C15" i="74"/>
  <c r="C17" i="67"/>
  <c r="D17" i="67"/>
  <c r="E17" i="67"/>
  <c r="B19" i="67"/>
  <c r="B21" i="67"/>
  <c r="C12" i="74"/>
  <c r="C19" i="67"/>
  <c r="F19" i="67"/>
  <c r="F21" i="67"/>
  <c r="C16" i="74"/>
  <c r="G19" i="67"/>
  <c r="H19" i="67"/>
  <c r="I19" i="67"/>
  <c r="J19" i="67"/>
  <c r="J21" i="67"/>
  <c r="C20" i="74"/>
  <c r="K19" i="67"/>
  <c r="L19" i="67"/>
  <c r="M19" i="67"/>
  <c r="N19" i="67"/>
  <c r="N21" i="67"/>
  <c r="C24" i="74"/>
  <c r="O19" i="67"/>
  <c r="P19" i="67"/>
  <c r="Q19" i="67"/>
  <c r="R19" i="67"/>
  <c r="R21" i="67"/>
  <c r="C28" i="74"/>
  <c r="S19" i="67"/>
  <c r="T19" i="67"/>
  <c r="U19" i="67"/>
  <c r="V19" i="67"/>
  <c r="V21" i="67"/>
  <c r="C32" i="74"/>
  <c r="C21" i="67"/>
  <c r="G21" i="67"/>
  <c r="H21" i="67"/>
  <c r="I21" i="67"/>
  <c r="C19" i="74"/>
  <c r="K21" i="67"/>
  <c r="L21" i="67"/>
  <c r="M21" i="67"/>
  <c r="C23" i="74"/>
  <c r="O21" i="67"/>
  <c r="P21" i="67"/>
  <c r="Q21" i="67"/>
  <c r="C27" i="74"/>
  <c r="S21" i="67"/>
  <c r="T21" i="67"/>
  <c r="U21" i="67"/>
  <c r="C31" i="74"/>
  <c r="A1" i="75"/>
  <c r="A2" i="75"/>
  <c r="C20" i="75"/>
  <c r="D20" i="75"/>
  <c r="E20" i="75"/>
  <c r="F20" i="75"/>
  <c r="G20" i="75"/>
  <c r="H20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B21" i="75"/>
  <c r="B20" i="75"/>
  <c r="B23" i="75"/>
  <c r="A1" i="116"/>
  <c r="A2" i="116"/>
  <c r="E13" i="116"/>
  <c r="E12" i="116"/>
  <c r="I13" i="116"/>
  <c r="I12" i="116"/>
  <c r="M13" i="116"/>
  <c r="M12" i="116"/>
  <c r="Q13" i="116"/>
  <c r="Q12" i="116"/>
  <c r="U13" i="116"/>
  <c r="U12" i="116"/>
  <c r="B15" i="116"/>
  <c r="B13" i="116"/>
  <c r="C15" i="116"/>
  <c r="C13" i="116"/>
  <c r="D15" i="116"/>
  <c r="D13" i="116"/>
  <c r="E15" i="116"/>
  <c r="F15" i="116"/>
  <c r="F13" i="116"/>
  <c r="G15" i="116"/>
  <c r="G13" i="116"/>
  <c r="H15" i="116"/>
  <c r="H13" i="116"/>
  <c r="I15" i="116"/>
  <c r="J15" i="116"/>
  <c r="J13" i="116"/>
  <c r="K15" i="116"/>
  <c r="K13" i="116"/>
  <c r="L15" i="116"/>
  <c r="L13" i="116"/>
  <c r="M15" i="116"/>
  <c r="N15" i="116"/>
  <c r="N13" i="116"/>
  <c r="O15" i="116"/>
  <c r="O13" i="116"/>
  <c r="P15" i="116"/>
  <c r="P13" i="116"/>
  <c r="Q15" i="116"/>
  <c r="R15" i="116"/>
  <c r="R13" i="116"/>
  <c r="S15" i="116"/>
  <c r="S13" i="116"/>
  <c r="T15" i="116"/>
  <c r="T13" i="116"/>
  <c r="U15" i="116"/>
  <c r="V15" i="116"/>
  <c r="V13" i="116"/>
  <c r="B20" i="116"/>
  <c r="C20" i="116"/>
  <c r="D20" i="116"/>
  <c r="E20" i="116"/>
  <c r="F20" i="116"/>
  <c r="G20" i="116"/>
  <c r="H20" i="116"/>
  <c r="I20" i="116"/>
  <c r="J20" i="116"/>
  <c r="K20" i="116"/>
  <c r="L20" i="116"/>
  <c r="M20" i="116"/>
  <c r="N20" i="116"/>
  <c r="O20" i="116"/>
  <c r="P20" i="116"/>
  <c r="Q20" i="116"/>
  <c r="R20" i="116"/>
  <c r="S20" i="116"/>
  <c r="T20" i="116"/>
  <c r="U20" i="116"/>
  <c r="V20" i="116"/>
  <c r="A1" i="55"/>
  <c r="A2" i="55"/>
  <c r="B11" i="55"/>
  <c r="C11" i="55"/>
  <c r="D11" i="55"/>
  <c r="E11" i="55"/>
  <c r="F11" i="55"/>
  <c r="G11" i="55"/>
  <c r="H11" i="55"/>
  <c r="I11" i="55"/>
  <c r="A1" i="68"/>
  <c r="A2" i="68"/>
  <c r="A1" i="73"/>
  <c r="A2" i="73"/>
  <c r="A1" i="56"/>
  <c r="A2" i="56"/>
  <c r="B11" i="56"/>
  <c r="C11" i="56"/>
  <c r="D11" i="56"/>
  <c r="E11" i="56"/>
  <c r="F11" i="56"/>
  <c r="G11" i="56"/>
  <c r="H11" i="56"/>
  <c r="I11" i="56"/>
  <c r="A1" i="114"/>
  <c r="A2" i="114"/>
  <c r="A1" i="58"/>
  <c r="A2" i="58"/>
  <c r="A1" i="74"/>
  <c r="A2" i="74"/>
  <c r="C13" i="74"/>
  <c r="C17" i="74"/>
  <c r="C18" i="74"/>
  <c r="C21" i="74"/>
  <c r="C22" i="74"/>
  <c r="C25" i="74"/>
  <c r="C26" i="74"/>
  <c r="C29" i="74"/>
  <c r="C30" i="74"/>
  <c r="A1" i="59"/>
  <c r="A2" i="59"/>
  <c r="A1" i="117"/>
  <c r="A2" i="117"/>
  <c r="C15" i="117"/>
  <c r="C19" i="117"/>
  <c r="C23" i="117"/>
  <c r="C27" i="117"/>
  <c r="C31" i="117"/>
  <c r="A1" i="61"/>
  <c r="A2" i="61"/>
  <c r="A13" i="61"/>
  <c r="A20" i="61"/>
  <c r="D22" i="61"/>
  <c r="E22" i="61"/>
  <c r="F22" i="61"/>
  <c r="G22" i="61"/>
  <c r="A27" i="61"/>
  <c r="D29" i="61"/>
  <c r="E29" i="61"/>
  <c r="F29" i="61"/>
  <c r="A34" i="61"/>
  <c r="A41" i="61"/>
  <c r="E43" i="61"/>
  <c r="F43" i="61"/>
  <c r="G43" i="61"/>
  <c r="H43" i="61"/>
  <c r="I43" i="61"/>
  <c r="A48" i="61"/>
  <c r="A55" i="61"/>
  <c r="A62" i="61"/>
  <c r="A1" i="69"/>
  <c r="A2" i="69"/>
  <c r="A1" i="60"/>
  <c r="A2" i="60"/>
  <c r="A1" i="62"/>
  <c r="A2" i="62"/>
  <c r="B17" i="62"/>
  <c r="C17" i="62"/>
  <c r="D17" i="62"/>
  <c r="E17" i="62"/>
  <c r="F17" i="62"/>
  <c r="G17" i="62"/>
  <c r="H17" i="62"/>
  <c r="I17" i="62"/>
  <c r="J17" i="62"/>
  <c r="K17" i="62"/>
  <c r="L17" i="62"/>
  <c r="M17" i="62"/>
  <c r="N17" i="62"/>
  <c r="O17" i="62"/>
  <c r="P17" i="62"/>
  <c r="Q17" i="62"/>
  <c r="R17" i="62"/>
  <c r="S17" i="62"/>
  <c r="T17" i="62"/>
  <c r="U17" i="62"/>
  <c r="V17" i="62"/>
  <c r="B22" i="62"/>
  <c r="C22" i="62"/>
  <c r="D22" i="62"/>
  <c r="E22" i="62"/>
  <c r="F22" i="62"/>
  <c r="G22" i="62"/>
  <c r="H22" i="62"/>
  <c r="I22" i="62"/>
  <c r="J22" i="62"/>
  <c r="K22" i="62"/>
  <c r="L22" i="62"/>
  <c r="M22" i="62"/>
  <c r="N22" i="62"/>
  <c r="O22" i="62"/>
  <c r="P22" i="62"/>
  <c r="Q22" i="62"/>
  <c r="R22" i="62"/>
  <c r="S22" i="62"/>
  <c r="T22" i="62"/>
  <c r="U22" i="62"/>
  <c r="V22" i="62"/>
  <c r="A1" i="115"/>
  <c r="A2" i="115"/>
  <c r="A1" i="63"/>
  <c r="A2" i="63"/>
  <c r="B14" i="63"/>
  <c r="C14" i="63"/>
  <c r="D14" i="63"/>
  <c r="E14" i="63"/>
  <c r="C15" i="63"/>
  <c r="C16" i="63"/>
  <c r="C17" i="63"/>
  <c r="B32" i="63"/>
  <c r="C32" i="63"/>
  <c r="D32" i="63"/>
  <c r="E32" i="63"/>
  <c r="F32" i="63"/>
  <c r="B33" i="63"/>
  <c r="C33" i="63"/>
  <c r="D33" i="63"/>
  <c r="E33" i="63"/>
  <c r="F33" i="63"/>
  <c r="B34" i="63"/>
  <c r="C34" i="63"/>
  <c r="D34" i="63"/>
  <c r="E34" i="63"/>
  <c r="F34" i="63"/>
  <c r="A1" i="80"/>
  <c r="A1" i="81"/>
  <c r="A1" i="82"/>
  <c r="A1" i="83"/>
  <c r="A1" i="84"/>
  <c r="A1" i="85"/>
  <c r="A1" i="86"/>
  <c r="A1" i="87"/>
  <c r="A1" i="88"/>
  <c r="A2" i="88"/>
  <c r="C13" i="88"/>
  <c r="D13" i="88"/>
  <c r="E13" i="88"/>
  <c r="F13" i="88"/>
  <c r="G13" i="88"/>
  <c r="H13" i="88"/>
  <c r="I13" i="88"/>
  <c r="J13" i="88"/>
  <c r="K13" i="88"/>
  <c r="L13" i="88"/>
  <c r="M13" i="88"/>
  <c r="N13" i="88"/>
  <c r="O13" i="88"/>
  <c r="P13" i="88"/>
  <c r="Q13" i="88"/>
  <c r="R13" i="88"/>
  <c r="S13" i="88"/>
  <c r="T13" i="88"/>
  <c r="U13" i="88"/>
  <c r="B14" i="88"/>
  <c r="C14" i="88"/>
  <c r="D14" i="88"/>
  <c r="E14" i="88"/>
  <c r="F14" i="88"/>
  <c r="G14" i="88"/>
  <c r="H14" i="88"/>
  <c r="I14" i="88"/>
  <c r="J14" i="88"/>
  <c r="K14" i="88"/>
  <c r="L14" i="88"/>
  <c r="M14" i="88"/>
  <c r="N14" i="88"/>
  <c r="O14" i="88"/>
  <c r="P14" i="88"/>
  <c r="Q14" i="88"/>
  <c r="R14" i="88"/>
  <c r="S14" i="88"/>
  <c r="T14" i="88"/>
  <c r="U14" i="88"/>
  <c r="B21" i="88"/>
  <c r="C21" i="88"/>
  <c r="D21" i="88"/>
  <c r="E21" i="88"/>
  <c r="F21" i="88"/>
  <c r="G21" i="88"/>
  <c r="H21" i="88"/>
  <c r="I21" i="88"/>
  <c r="J21" i="88"/>
  <c r="K21" i="88"/>
  <c r="L21" i="88"/>
  <c r="M21" i="88"/>
  <c r="N21" i="88"/>
  <c r="O21" i="88"/>
  <c r="P21" i="88"/>
  <c r="Q21" i="88"/>
  <c r="R21" i="88"/>
  <c r="S21" i="88"/>
  <c r="T21" i="88"/>
  <c r="U21" i="88"/>
  <c r="B27" i="88"/>
  <c r="C27" i="88"/>
  <c r="D27" i="88"/>
  <c r="E27" i="88"/>
  <c r="F27" i="88"/>
  <c r="G27" i="88"/>
  <c r="H27" i="88"/>
  <c r="I27" i="88"/>
  <c r="J27" i="88"/>
  <c r="K27" i="88"/>
  <c r="L27" i="88"/>
  <c r="M27" i="88"/>
  <c r="N27" i="88"/>
  <c r="O27" i="88"/>
  <c r="P27" i="88"/>
  <c r="Q27" i="88"/>
  <c r="R27" i="88"/>
  <c r="S27" i="88"/>
  <c r="T27" i="88"/>
  <c r="U27" i="88"/>
  <c r="A1" i="89"/>
  <c r="A2" i="89"/>
  <c r="C12" i="89"/>
  <c r="C21" i="89"/>
  <c r="D12" i="89"/>
  <c r="E12" i="89"/>
  <c r="E21" i="89"/>
  <c r="F12" i="89"/>
  <c r="G12" i="89"/>
  <c r="G21" i="89"/>
  <c r="H12" i="89"/>
  <c r="I12" i="89"/>
  <c r="I21" i="89"/>
  <c r="J12" i="89"/>
  <c r="K12" i="89"/>
  <c r="K21" i="89"/>
  <c r="L12" i="89"/>
  <c r="M12" i="89"/>
  <c r="M21" i="89"/>
  <c r="N12" i="89"/>
  <c r="O12" i="89"/>
  <c r="O21" i="89"/>
  <c r="P12" i="89"/>
  <c r="Q12" i="89"/>
  <c r="R12" i="89"/>
  <c r="S12" i="89"/>
  <c r="S21" i="89"/>
  <c r="T12" i="89"/>
  <c r="U12" i="89"/>
  <c r="C13" i="89"/>
  <c r="D13" i="89"/>
  <c r="E13" i="89"/>
  <c r="F13" i="89"/>
  <c r="G13" i="89"/>
  <c r="H13" i="89"/>
  <c r="I13" i="89"/>
  <c r="J13" i="89"/>
  <c r="K13" i="89"/>
  <c r="L13" i="89"/>
  <c r="M13" i="89"/>
  <c r="N13" i="89"/>
  <c r="O13" i="89"/>
  <c r="P13" i="89"/>
  <c r="Q13" i="89"/>
  <c r="R13" i="89"/>
  <c r="S13" i="89"/>
  <c r="T13" i="89"/>
  <c r="U13" i="89"/>
  <c r="B14" i="89"/>
  <c r="C14" i="89"/>
  <c r="D14" i="89"/>
  <c r="E14" i="89"/>
  <c r="F14" i="89"/>
  <c r="G14" i="89"/>
  <c r="H14" i="89"/>
  <c r="I14" i="89"/>
  <c r="J14" i="89"/>
  <c r="K14" i="89"/>
  <c r="L14" i="89"/>
  <c r="M14" i="89"/>
  <c r="N14" i="89"/>
  <c r="O14" i="89"/>
  <c r="P14" i="89"/>
  <c r="Q14" i="89"/>
  <c r="R14" i="89"/>
  <c r="S14" i="89"/>
  <c r="T14" i="89"/>
  <c r="U14" i="89"/>
  <c r="B15" i="89"/>
  <c r="C15" i="89"/>
  <c r="D15" i="89"/>
  <c r="E15" i="89"/>
  <c r="F15" i="89"/>
  <c r="G15" i="89"/>
  <c r="H15" i="89"/>
  <c r="I15" i="89"/>
  <c r="J15" i="89"/>
  <c r="K15" i="89"/>
  <c r="L15" i="89"/>
  <c r="M15" i="89"/>
  <c r="N15" i="89"/>
  <c r="O15" i="89"/>
  <c r="P15" i="89"/>
  <c r="Q15" i="89"/>
  <c r="R15" i="89"/>
  <c r="S15" i="89"/>
  <c r="T15" i="89"/>
  <c r="U15" i="89"/>
  <c r="B21" i="89"/>
  <c r="D21" i="89"/>
  <c r="F21" i="89"/>
  <c r="H21" i="89"/>
  <c r="J21" i="89"/>
  <c r="L21" i="89"/>
  <c r="N21" i="89"/>
  <c r="P21" i="89"/>
  <c r="Q21" i="89"/>
  <c r="R21" i="89"/>
  <c r="T21" i="89"/>
  <c r="U21" i="89"/>
  <c r="A1" i="90"/>
  <c r="A2" i="90"/>
  <c r="B16" i="90"/>
  <c r="C16" i="90"/>
  <c r="D16" i="90"/>
  <c r="E16" i="90"/>
  <c r="F16" i="90"/>
  <c r="G16" i="90"/>
  <c r="H16" i="90"/>
  <c r="I16" i="90"/>
  <c r="J16" i="90"/>
  <c r="K16" i="90"/>
  <c r="L16" i="90"/>
  <c r="M16" i="90"/>
  <c r="N16" i="90"/>
  <c r="O16" i="90"/>
  <c r="P16" i="90"/>
  <c r="Q16" i="90"/>
  <c r="R16" i="90"/>
  <c r="S16" i="90"/>
  <c r="T16" i="90"/>
  <c r="U16" i="90"/>
  <c r="B21" i="90"/>
  <c r="C21" i="90"/>
  <c r="D21" i="90"/>
  <c r="E21" i="90"/>
  <c r="F21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U21" i="90"/>
  <c r="A1" i="91"/>
  <c r="A2" i="91"/>
  <c r="B12" i="91"/>
  <c r="C12" i="91"/>
  <c r="D12" i="91"/>
  <c r="E12" i="91"/>
  <c r="F12" i="91"/>
  <c r="G12" i="91"/>
  <c r="H12" i="91"/>
  <c r="I12" i="91"/>
  <c r="J12" i="91"/>
  <c r="K12" i="91"/>
  <c r="L12" i="91"/>
  <c r="M12" i="91"/>
  <c r="N12" i="91"/>
  <c r="O12" i="91"/>
  <c r="P12" i="91"/>
  <c r="Q12" i="91"/>
  <c r="R12" i="91"/>
  <c r="S12" i="91"/>
  <c r="T12" i="91"/>
  <c r="U12" i="91"/>
  <c r="B13" i="91"/>
  <c r="C13" i="91"/>
  <c r="D13" i="91"/>
  <c r="E13" i="91"/>
  <c r="F13" i="91"/>
  <c r="G13" i="91"/>
  <c r="H13" i="91"/>
  <c r="I13" i="91"/>
  <c r="J13" i="91"/>
  <c r="K13" i="91"/>
  <c r="L13" i="91"/>
  <c r="M13" i="91"/>
  <c r="N13" i="91"/>
  <c r="O13" i="91"/>
  <c r="P13" i="91"/>
  <c r="Q13" i="91"/>
  <c r="R13" i="91"/>
  <c r="S13" i="91"/>
  <c r="T13" i="91"/>
  <c r="U13" i="91"/>
  <c r="B19" i="91"/>
  <c r="C19" i="91"/>
  <c r="D19" i="91"/>
  <c r="E19" i="91"/>
  <c r="F19" i="91"/>
  <c r="G19" i="91"/>
  <c r="H19" i="91"/>
  <c r="I19" i="91"/>
  <c r="J19" i="91"/>
  <c r="K19" i="91"/>
  <c r="L19" i="91"/>
  <c r="M19" i="91"/>
  <c r="N19" i="91"/>
  <c r="O19" i="91"/>
  <c r="P19" i="91"/>
  <c r="Q19" i="91"/>
  <c r="R19" i="91"/>
  <c r="S19" i="91"/>
  <c r="T19" i="91"/>
  <c r="U19" i="91"/>
  <c r="A1" i="92"/>
  <c r="A2" i="92"/>
  <c r="B12" i="92"/>
  <c r="C12" i="92"/>
  <c r="D12" i="92"/>
  <c r="E12" i="92"/>
  <c r="F12" i="92"/>
  <c r="G12" i="92"/>
  <c r="H12" i="92"/>
  <c r="I12" i="92"/>
  <c r="J12" i="92"/>
  <c r="K12" i="92"/>
  <c r="L12" i="92"/>
  <c r="M12" i="92"/>
  <c r="N12" i="92"/>
  <c r="O12" i="92"/>
  <c r="P12" i="92"/>
  <c r="Q12" i="92"/>
  <c r="R12" i="92"/>
  <c r="S12" i="92"/>
  <c r="T12" i="92"/>
  <c r="U12" i="92"/>
  <c r="B13" i="92"/>
  <c r="C13" i="92"/>
  <c r="D13" i="92"/>
  <c r="E13" i="92"/>
  <c r="F13" i="92"/>
  <c r="G13" i="92"/>
  <c r="H13" i="92"/>
  <c r="I13" i="92"/>
  <c r="J13" i="92"/>
  <c r="K13" i="92"/>
  <c r="L13" i="92"/>
  <c r="M13" i="92"/>
  <c r="N13" i="92"/>
  <c r="O13" i="92"/>
  <c r="P13" i="92"/>
  <c r="Q13" i="92"/>
  <c r="R13" i="92"/>
  <c r="S13" i="92"/>
  <c r="T13" i="92"/>
  <c r="U13" i="92"/>
  <c r="B18" i="92"/>
  <c r="C18" i="92"/>
  <c r="D18" i="92"/>
  <c r="E18" i="92"/>
  <c r="F18" i="92"/>
  <c r="G18" i="92"/>
  <c r="H18" i="92"/>
  <c r="I18" i="92"/>
  <c r="J18" i="92"/>
  <c r="K18" i="92"/>
  <c r="L18" i="92"/>
  <c r="M18" i="92"/>
  <c r="N18" i="92"/>
  <c r="O18" i="92"/>
  <c r="P18" i="92"/>
  <c r="Q18" i="92"/>
  <c r="R18" i="92"/>
  <c r="S18" i="92"/>
  <c r="T18" i="92"/>
  <c r="U18" i="92"/>
  <c r="A1" i="93"/>
  <c r="A2" i="93"/>
  <c r="B12" i="93"/>
  <c r="C12" i="93"/>
  <c r="D12" i="93"/>
  <c r="E12" i="93"/>
  <c r="F12" i="93"/>
  <c r="G12" i="93"/>
  <c r="H12" i="93"/>
  <c r="I12" i="93"/>
  <c r="J12" i="93"/>
  <c r="K12" i="93"/>
  <c r="L12" i="93"/>
  <c r="M12" i="93"/>
  <c r="N12" i="93"/>
  <c r="O12" i="93"/>
  <c r="P12" i="93"/>
  <c r="Q12" i="93"/>
  <c r="R12" i="93"/>
  <c r="S12" i="93"/>
  <c r="T12" i="93"/>
  <c r="U12" i="93"/>
  <c r="B17" i="93"/>
  <c r="C17" i="93"/>
  <c r="D17" i="93"/>
  <c r="E17" i="93"/>
  <c r="F17" i="93"/>
  <c r="G17" i="93"/>
  <c r="H17" i="93"/>
  <c r="I17" i="93"/>
  <c r="J17" i="93"/>
  <c r="K17" i="93"/>
  <c r="L17" i="93"/>
  <c r="M17" i="93"/>
  <c r="N17" i="93"/>
  <c r="O17" i="93"/>
  <c r="P17" i="93"/>
  <c r="Q17" i="93"/>
  <c r="R17" i="93"/>
  <c r="S17" i="93"/>
  <c r="T17" i="93"/>
  <c r="U17" i="93"/>
  <c r="A1" i="94"/>
  <c r="A2" i="94"/>
  <c r="F13" i="94"/>
  <c r="G13" i="94"/>
  <c r="H13" i="94"/>
  <c r="I13" i="94"/>
  <c r="J13" i="94"/>
  <c r="K13" i="94"/>
  <c r="L13" i="94"/>
  <c r="M13" i="94"/>
  <c r="N13" i="94"/>
  <c r="O13" i="94"/>
  <c r="P13" i="94"/>
  <c r="Q13" i="94"/>
  <c r="R13" i="94"/>
  <c r="S13" i="94"/>
  <c r="T13" i="94"/>
  <c r="U13" i="94"/>
  <c r="B14" i="94"/>
  <c r="C14" i="94"/>
  <c r="D14" i="94"/>
  <c r="E14" i="94"/>
  <c r="F14" i="94"/>
  <c r="G14" i="94"/>
  <c r="H14" i="94"/>
  <c r="I14" i="94"/>
  <c r="J14" i="94"/>
  <c r="K14" i="94"/>
  <c r="L14" i="94"/>
  <c r="M14" i="94"/>
  <c r="N14" i="94"/>
  <c r="O14" i="94"/>
  <c r="P14" i="94"/>
  <c r="Q14" i="94"/>
  <c r="R14" i="94"/>
  <c r="S14" i="94"/>
  <c r="T14" i="94"/>
  <c r="U14" i="94"/>
  <c r="B26" i="94"/>
  <c r="C26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P26" i="94"/>
  <c r="Q26" i="94"/>
  <c r="R26" i="94"/>
  <c r="S26" i="94"/>
  <c r="T26" i="94"/>
  <c r="U26" i="94"/>
  <c r="A1" i="95"/>
  <c r="A2" i="95"/>
  <c r="B12" i="95"/>
  <c r="C12" i="95"/>
  <c r="D12" i="95"/>
  <c r="E12" i="95"/>
  <c r="F12" i="95"/>
  <c r="G12" i="95"/>
  <c r="H12" i="95"/>
  <c r="I12" i="95"/>
  <c r="J12" i="95"/>
  <c r="K12" i="95"/>
  <c r="L12" i="95"/>
  <c r="M12" i="95"/>
  <c r="N12" i="95"/>
  <c r="O12" i="95"/>
  <c r="P12" i="95"/>
  <c r="Q12" i="95"/>
  <c r="R12" i="95"/>
  <c r="S12" i="95"/>
  <c r="T12" i="95"/>
  <c r="U12" i="95"/>
  <c r="B13" i="95"/>
  <c r="C13" i="95"/>
  <c r="D13" i="95"/>
  <c r="E13" i="95"/>
  <c r="F13" i="95"/>
  <c r="G13" i="95"/>
  <c r="H13" i="95"/>
  <c r="I13" i="95"/>
  <c r="J13" i="95"/>
  <c r="K13" i="95"/>
  <c r="L13" i="95"/>
  <c r="M13" i="95"/>
  <c r="N13" i="95"/>
  <c r="O13" i="95"/>
  <c r="P13" i="95"/>
  <c r="Q13" i="95"/>
  <c r="R13" i="95"/>
  <c r="S13" i="95"/>
  <c r="T13" i="95"/>
  <c r="U13" i="95"/>
  <c r="B23" i="95"/>
  <c r="C23" i="95"/>
  <c r="D23" i="95"/>
  <c r="E23" i="95"/>
  <c r="F23" i="95"/>
  <c r="G23" i="95"/>
  <c r="H23" i="95"/>
  <c r="I23" i="95"/>
  <c r="J23" i="95"/>
  <c r="K23" i="95"/>
  <c r="L23" i="95"/>
  <c r="M23" i="95"/>
  <c r="N23" i="95"/>
  <c r="O23" i="95"/>
  <c r="P23" i="95"/>
  <c r="Q23" i="95"/>
  <c r="R23" i="95"/>
  <c r="S23" i="95"/>
  <c r="T23" i="95"/>
  <c r="U23" i="95"/>
  <c r="A1" i="96"/>
  <c r="A2" i="96"/>
  <c r="B13" i="96"/>
  <c r="C13" i="96"/>
  <c r="D13" i="96"/>
  <c r="E13" i="96"/>
  <c r="F13" i="96"/>
  <c r="G13" i="96"/>
  <c r="H13" i="96"/>
  <c r="I13" i="96"/>
  <c r="J13" i="96"/>
  <c r="K13" i="96"/>
  <c r="L13" i="96"/>
  <c r="M13" i="96"/>
  <c r="N13" i="96"/>
  <c r="O13" i="96"/>
  <c r="P13" i="96"/>
  <c r="Q13" i="96"/>
  <c r="R13" i="96"/>
  <c r="S13" i="96"/>
  <c r="T13" i="96"/>
  <c r="U13" i="96"/>
  <c r="B18" i="96"/>
  <c r="C18" i="96"/>
  <c r="D18" i="96"/>
  <c r="E18" i="96"/>
  <c r="F18" i="96"/>
  <c r="G18" i="96"/>
  <c r="H18" i="96"/>
  <c r="I18" i="96"/>
  <c r="J18" i="96"/>
  <c r="K18" i="96"/>
  <c r="L18" i="96"/>
  <c r="M18" i="96"/>
  <c r="N18" i="96"/>
  <c r="O18" i="96"/>
  <c r="P18" i="96"/>
  <c r="Q18" i="96"/>
  <c r="R18" i="96"/>
  <c r="S18" i="96"/>
  <c r="T18" i="96"/>
  <c r="U18" i="96"/>
  <c r="A1" i="97"/>
  <c r="A2" i="97"/>
  <c r="B17" i="97"/>
  <c r="C17" i="97"/>
  <c r="D17" i="97"/>
  <c r="E17" i="97"/>
  <c r="F17" i="97"/>
  <c r="G17" i="97"/>
  <c r="H17" i="97"/>
  <c r="I17" i="97"/>
  <c r="J17" i="97"/>
  <c r="K17" i="97"/>
  <c r="L17" i="97"/>
  <c r="M17" i="97"/>
  <c r="N17" i="97"/>
  <c r="O17" i="97"/>
  <c r="P17" i="97"/>
  <c r="Q17" i="97"/>
  <c r="R17" i="97"/>
  <c r="S17" i="97"/>
  <c r="T17" i="97"/>
  <c r="U17" i="97"/>
  <c r="A1" i="98"/>
  <c r="A2" i="98"/>
  <c r="A1" i="99"/>
  <c r="A2" i="99"/>
  <c r="B11" i="99"/>
  <c r="B12" i="99"/>
  <c r="B13" i="99"/>
  <c r="B13" i="102"/>
  <c r="B14" i="99"/>
  <c r="B15" i="99"/>
  <c r="B16" i="99"/>
  <c r="C17" i="99"/>
  <c r="D17" i="99"/>
  <c r="E17" i="99"/>
  <c r="F17" i="99"/>
  <c r="G17" i="99"/>
  <c r="H17" i="99"/>
  <c r="I17" i="99"/>
  <c r="J17" i="99"/>
  <c r="K17" i="99"/>
  <c r="L17" i="99"/>
  <c r="M17" i="99"/>
  <c r="N17" i="99"/>
  <c r="O17" i="99"/>
  <c r="P17" i="99"/>
  <c r="Q17" i="99"/>
  <c r="R17" i="99"/>
  <c r="S17" i="99"/>
  <c r="T17" i="99"/>
  <c r="U17" i="99"/>
  <c r="V17" i="99"/>
  <c r="A1" i="100"/>
  <c r="A2" i="100"/>
  <c r="C11" i="100"/>
  <c r="C13" i="100"/>
  <c r="C13" i="102"/>
  <c r="C15" i="100"/>
  <c r="B17" i="100"/>
  <c r="C17" i="100"/>
  <c r="C14" i="100"/>
  <c r="C14" i="102"/>
  <c r="D17" i="100"/>
  <c r="E17" i="100"/>
  <c r="F17" i="100"/>
  <c r="G17" i="100"/>
  <c r="H17" i="100"/>
  <c r="I17" i="100"/>
  <c r="J17" i="100"/>
  <c r="K17" i="100"/>
  <c r="L17" i="100"/>
  <c r="M17" i="100"/>
  <c r="N17" i="100"/>
  <c r="O17" i="100"/>
  <c r="P17" i="100"/>
  <c r="Q17" i="100"/>
  <c r="R17" i="100"/>
  <c r="S17" i="100"/>
  <c r="T17" i="100"/>
  <c r="U17" i="100"/>
  <c r="V17" i="100"/>
  <c r="A1" i="101"/>
  <c r="A2" i="101"/>
  <c r="I11" i="101"/>
  <c r="I12" i="101"/>
  <c r="I12" i="102"/>
  <c r="I17" i="102"/>
  <c r="I11" i="104"/>
  <c r="I13" i="101"/>
  <c r="I14" i="101"/>
  <c r="I15" i="101"/>
  <c r="I16" i="101"/>
  <c r="I16" i="102"/>
  <c r="B17" i="101"/>
  <c r="C17" i="101"/>
  <c r="D17" i="101"/>
  <c r="E17" i="101"/>
  <c r="F17" i="101"/>
  <c r="G17" i="101"/>
  <c r="H17" i="101"/>
  <c r="J17" i="101"/>
  <c r="K17" i="101"/>
  <c r="L17" i="101"/>
  <c r="M17" i="101"/>
  <c r="N17" i="101"/>
  <c r="O17" i="101"/>
  <c r="P17" i="101"/>
  <c r="Q17" i="101"/>
  <c r="R17" i="101"/>
  <c r="S17" i="101"/>
  <c r="T17" i="101"/>
  <c r="U17" i="101"/>
  <c r="V17" i="101"/>
  <c r="A1" i="102"/>
  <c r="A2" i="102"/>
  <c r="B11" i="102"/>
  <c r="C11" i="102"/>
  <c r="D11" i="102"/>
  <c r="E11" i="102"/>
  <c r="F11" i="102"/>
  <c r="G11" i="102"/>
  <c r="H11" i="102"/>
  <c r="I11" i="102"/>
  <c r="J11" i="102"/>
  <c r="K11" i="102"/>
  <c r="L11" i="102"/>
  <c r="M11" i="102"/>
  <c r="N11" i="102"/>
  <c r="O11" i="102"/>
  <c r="P11" i="102"/>
  <c r="Q11" i="102"/>
  <c r="R11" i="102"/>
  <c r="S11" i="102"/>
  <c r="T11" i="102"/>
  <c r="U11" i="102"/>
  <c r="V11" i="102"/>
  <c r="B12" i="102"/>
  <c r="B17" i="102"/>
  <c r="B11" i="104"/>
  <c r="B13" i="104"/>
  <c r="D12" i="102"/>
  <c r="E12" i="102"/>
  <c r="F12" i="102"/>
  <c r="G12" i="102"/>
  <c r="H12" i="102"/>
  <c r="J12" i="102"/>
  <c r="K12" i="102"/>
  <c r="L12" i="102"/>
  <c r="M12" i="102"/>
  <c r="N12" i="102"/>
  <c r="N17" i="102"/>
  <c r="N11" i="104"/>
  <c r="N13" i="104"/>
  <c r="O12" i="102"/>
  <c r="P12" i="102"/>
  <c r="Q12" i="102"/>
  <c r="R12" i="102"/>
  <c r="R17" i="102"/>
  <c r="R11" i="104"/>
  <c r="R13" i="104"/>
  <c r="S12" i="102"/>
  <c r="T12" i="102"/>
  <c r="U12" i="102"/>
  <c r="V12" i="102"/>
  <c r="V17" i="102"/>
  <c r="V11" i="104"/>
  <c r="D13" i="102"/>
  <c r="E13" i="102"/>
  <c r="E17" i="102"/>
  <c r="E11" i="104"/>
  <c r="F13" i="102"/>
  <c r="G13" i="102"/>
  <c r="H13" i="102"/>
  <c r="I13" i="102"/>
  <c r="J13" i="102"/>
  <c r="K13" i="102"/>
  <c r="L13" i="102"/>
  <c r="M13" i="102"/>
  <c r="M17" i="102"/>
  <c r="M11" i="104"/>
  <c r="N13" i="102"/>
  <c r="O13" i="102"/>
  <c r="P13" i="102"/>
  <c r="Q13" i="102"/>
  <c r="Q17" i="102"/>
  <c r="Q11" i="104"/>
  <c r="R13" i="102"/>
  <c r="S13" i="102"/>
  <c r="T13" i="102"/>
  <c r="U13" i="102"/>
  <c r="U17" i="102"/>
  <c r="U11" i="104"/>
  <c r="V13" i="102"/>
  <c r="B14" i="102"/>
  <c r="D14" i="102"/>
  <c r="D17" i="102"/>
  <c r="D11" i="104"/>
  <c r="E14" i="102"/>
  <c r="F14" i="102"/>
  <c r="G14" i="102"/>
  <c r="H14" i="102"/>
  <c r="H17" i="102"/>
  <c r="I14" i="102"/>
  <c r="J14" i="102"/>
  <c r="K14" i="102"/>
  <c r="L14" i="102"/>
  <c r="L17" i="102"/>
  <c r="M14" i="102"/>
  <c r="N14" i="102"/>
  <c r="O14" i="102"/>
  <c r="P14" i="102"/>
  <c r="P17" i="102"/>
  <c r="Q14" i="102"/>
  <c r="R14" i="102"/>
  <c r="S14" i="102"/>
  <c r="T14" i="102"/>
  <c r="U14" i="102"/>
  <c r="V14" i="102"/>
  <c r="B15" i="102"/>
  <c r="C15" i="102"/>
  <c r="D15" i="102"/>
  <c r="E15" i="102"/>
  <c r="F15" i="102"/>
  <c r="G15" i="102"/>
  <c r="H15" i="102"/>
  <c r="I15" i="102"/>
  <c r="J15" i="102"/>
  <c r="K15" i="102"/>
  <c r="L15" i="102"/>
  <c r="M15" i="102"/>
  <c r="N15" i="102"/>
  <c r="O15" i="102"/>
  <c r="P15" i="102"/>
  <c r="Q15" i="102"/>
  <c r="R15" i="102"/>
  <c r="S15" i="102"/>
  <c r="T15" i="102"/>
  <c r="U15" i="102"/>
  <c r="V15" i="102"/>
  <c r="B16" i="102"/>
  <c r="D16" i="102"/>
  <c r="E16" i="102"/>
  <c r="F16" i="102"/>
  <c r="G16" i="102"/>
  <c r="H16" i="102"/>
  <c r="J16" i="102"/>
  <c r="K16" i="102"/>
  <c r="L16" i="102"/>
  <c r="M16" i="102"/>
  <c r="N16" i="102"/>
  <c r="O16" i="102"/>
  <c r="P16" i="102"/>
  <c r="Q16" i="102"/>
  <c r="R16" i="102"/>
  <c r="S16" i="102"/>
  <c r="T16" i="102"/>
  <c r="U16" i="102"/>
  <c r="V16" i="102"/>
  <c r="G17" i="102"/>
  <c r="G11" i="104"/>
  <c r="K17" i="102"/>
  <c r="O17" i="102"/>
  <c r="O11" i="104"/>
  <c r="S17" i="102"/>
  <c r="A1" i="103"/>
  <c r="A2" i="103"/>
  <c r="B12" i="103"/>
  <c r="C12" i="103"/>
  <c r="D12" i="103"/>
  <c r="E12" i="103"/>
  <c r="F12" i="103"/>
  <c r="G12" i="103"/>
  <c r="H12" i="103"/>
  <c r="I12" i="103"/>
  <c r="J12" i="103"/>
  <c r="K12" i="103"/>
  <c r="L12" i="103"/>
  <c r="M12" i="103"/>
  <c r="N12" i="103"/>
  <c r="O12" i="103"/>
  <c r="P12" i="103"/>
  <c r="Q12" i="103"/>
  <c r="R12" i="103"/>
  <c r="S12" i="103"/>
  <c r="T12" i="103"/>
  <c r="U12" i="103"/>
  <c r="V12" i="103"/>
  <c r="A1" i="104"/>
  <c r="A2" i="104"/>
  <c r="H11" i="104"/>
  <c r="K11" i="104"/>
  <c r="K12" i="104"/>
  <c r="L11" i="104"/>
  <c r="P11" i="104"/>
  <c r="P13" i="104"/>
  <c r="S11" i="104"/>
  <c r="S12" i="104"/>
  <c r="S35" i="110"/>
  <c r="S33" i="110"/>
  <c r="B12" i="104"/>
  <c r="D12" i="104"/>
  <c r="D13" i="104"/>
  <c r="L12" i="104"/>
  <c r="L13" i="104"/>
  <c r="N12" i="104"/>
  <c r="P12" i="104"/>
  <c r="R12" i="104"/>
  <c r="A1" i="105"/>
  <c r="A2" i="105"/>
  <c r="B11" i="105"/>
  <c r="B12" i="105"/>
  <c r="C11" i="105"/>
  <c r="D11" i="105"/>
  <c r="D12" i="105"/>
  <c r="E11" i="105"/>
  <c r="E13" i="105"/>
  <c r="F11" i="105"/>
  <c r="F12" i="105"/>
  <c r="F13" i="105"/>
  <c r="G11" i="105"/>
  <c r="H11" i="105"/>
  <c r="H12" i="105"/>
  <c r="H13" i="105"/>
  <c r="I11" i="105"/>
  <c r="I13" i="105"/>
  <c r="J11" i="105"/>
  <c r="J12" i="105"/>
  <c r="J13" i="105"/>
  <c r="K11" i="105"/>
  <c r="L11" i="105"/>
  <c r="L12" i="105"/>
  <c r="M11" i="105"/>
  <c r="M13" i="105"/>
  <c r="N11" i="105"/>
  <c r="N12" i="105"/>
  <c r="O11" i="105"/>
  <c r="P11" i="105"/>
  <c r="P12" i="105"/>
  <c r="Q11" i="105"/>
  <c r="Q13" i="105"/>
  <c r="R11" i="105"/>
  <c r="R12" i="105"/>
  <c r="S11" i="105"/>
  <c r="T11" i="105"/>
  <c r="T12" i="105"/>
  <c r="T13" i="105"/>
  <c r="U11" i="105"/>
  <c r="U13" i="105"/>
  <c r="V11" i="105"/>
  <c r="V12" i="105"/>
  <c r="V13" i="105"/>
  <c r="C12" i="105"/>
  <c r="C13" i="105"/>
  <c r="E12" i="105"/>
  <c r="G12" i="105"/>
  <c r="G13" i="105"/>
  <c r="I12" i="105"/>
  <c r="K12" i="105"/>
  <c r="K13" i="105"/>
  <c r="M12" i="105"/>
  <c r="O12" i="105"/>
  <c r="O13" i="105"/>
  <c r="Q12" i="105"/>
  <c r="S12" i="105"/>
  <c r="S13" i="105"/>
  <c r="U12" i="105"/>
  <c r="A1" i="106"/>
  <c r="A2" i="106"/>
  <c r="A1" i="107"/>
  <c r="A2" i="107"/>
  <c r="A1" i="108"/>
  <c r="A2" i="108"/>
  <c r="A1" i="109"/>
  <c r="A2" i="109"/>
  <c r="A1" i="64"/>
  <c r="A2" i="64"/>
  <c r="C19" i="64"/>
  <c r="D19" i="64"/>
  <c r="W19" i="64"/>
  <c r="E19" i="64"/>
  <c r="F19" i="64"/>
  <c r="G19" i="64"/>
  <c r="H19" i="64"/>
  <c r="I19" i="64"/>
  <c r="J19" i="64"/>
  <c r="K19" i="64"/>
  <c r="L19" i="64"/>
  <c r="M19" i="64"/>
  <c r="N19" i="64"/>
  <c r="O19" i="64"/>
  <c r="P19" i="64"/>
  <c r="Q19" i="64"/>
  <c r="R19" i="64"/>
  <c r="S19" i="64"/>
  <c r="T19" i="64"/>
  <c r="U19" i="64"/>
  <c r="V19" i="64"/>
  <c r="B25" i="64"/>
  <c r="T25" i="64"/>
  <c r="U25" i="64"/>
  <c r="V25" i="64"/>
  <c r="B26" i="64"/>
  <c r="B24" i="64"/>
  <c r="W28" i="64"/>
  <c r="B36" i="64"/>
  <c r="C36" i="64"/>
  <c r="D36" i="64"/>
  <c r="E36" i="64"/>
  <c r="T36" i="64"/>
  <c r="U36" i="64"/>
  <c r="V36" i="64"/>
  <c r="B37" i="64"/>
  <c r="W37" i="64"/>
  <c r="C37" i="64"/>
  <c r="D37" i="64"/>
  <c r="E37" i="64"/>
  <c r="F37" i="64"/>
  <c r="G37" i="64"/>
  <c r="H37" i="64"/>
  <c r="I37" i="64"/>
  <c r="J37" i="64"/>
  <c r="K37" i="64"/>
  <c r="L37" i="64"/>
  <c r="M37" i="64"/>
  <c r="N37" i="64"/>
  <c r="O37" i="64"/>
  <c r="P37" i="64"/>
  <c r="Q37" i="64"/>
  <c r="R37" i="64"/>
  <c r="S37" i="64"/>
  <c r="T37" i="64"/>
  <c r="U37" i="64"/>
  <c r="V37" i="64"/>
  <c r="A1" i="110"/>
  <c r="A2" i="110"/>
  <c r="B16" i="110"/>
  <c r="C18" i="110"/>
  <c r="C16" i="110"/>
  <c r="D18" i="110"/>
  <c r="D16" i="110"/>
  <c r="E18" i="110"/>
  <c r="E16" i="110"/>
  <c r="F18" i="110"/>
  <c r="G18" i="110"/>
  <c r="G16" i="110"/>
  <c r="H18" i="110"/>
  <c r="H16" i="110"/>
  <c r="I18" i="110"/>
  <c r="I16" i="110"/>
  <c r="J18" i="110"/>
  <c r="K18" i="110"/>
  <c r="K16" i="110"/>
  <c r="L18" i="110"/>
  <c r="L16" i="110"/>
  <c r="M18" i="110"/>
  <c r="M16" i="110"/>
  <c r="N18" i="110"/>
  <c r="O18" i="110"/>
  <c r="O16" i="110"/>
  <c r="P18" i="110"/>
  <c r="P16" i="110"/>
  <c r="Q18" i="110"/>
  <c r="Q16" i="110"/>
  <c r="R18" i="110"/>
  <c r="S18" i="110"/>
  <c r="S16" i="110"/>
  <c r="T18" i="110"/>
  <c r="T16" i="110"/>
  <c r="U18" i="110"/>
  <c r="U16" i="110"/>
  <c r="V18" i="110"/>
  <c r="W18" i="110"/>
  <c r="C19" i="110"/>
  <c r="D19" i="110"/>
  <c r="E19" i="110"/>
  <c r="F19" i="110"/>
  <c r="F16" i="110"/>
  <c r="G19" i="110"/>
  <c r="H19" i="110"/>
  <c r="I19" i="110"/>
  <c r="J19" i="110"/>
  <c r="J16" i="110"/>
  <c r="K19" i="110"/>
  <c r="L19" i="110"/>
  <c r="M19" i="110"/>
  <c r="N19" i="110"/>
  <c r="N16" i="110"/>
  <c r="O19" i="110"/>
  <c r="P19" i="110"/>
  <c r="Q19" i="110"/>
  <c r="R19" i="110"/>
  <c r="R16" i="110"/>
  <c r="S19" i="110"/>
  <c r="T19" i="110"/>
  <c r="W19" i="110"/>
  <c r="U19" i="110"/>
  <c r="V19" i="110"/>
  <c r="V16" i="110"/>
  <c r="C20" i="110"/>
  <c r="D20" i="110"/>
  <c r="E20" i="110"/>
  <c r="F20" i="110"/>
  <c r="G20" i="110"/>
  <c r="H20" i="110"/>
  <c r="I20" i="110"/>
  <c r="J20" i="110"/>
  <c r="K20" i="110"/>
  <c r="L20" i="110"/>
  <c r="M20" i="110"/>
  <c r="N20" i="110"/>
  <c r="O20" i="110"/>
  <c r="P20" i="110"/>
  <c r="Q20" i="110"/>
  <c r="R20" i="110"/>
  <c r="S20" i="110"/>
  <c r="T20" i="110"/>
  <c r="U20" i="110"/>
  <c r="V20" i="110"/>
  <c r="W20" i="110"/>
  <c r="B25" i="110"/>
  <c r="C25" i="110"/>
  <c r="D25" i="110"/>
  <c r="E25" i="110"/>
  <c r="F25" i="110"/>
  <c r="G25" i="110"/>
  <c r="H25" i="110"/>
  <c r="I25" i="110"/>
  <c r="J25" i="110"/>
  <c r="K25" i="110"/>
  <c r="L25" i="110"/>
  <c r="M25" i="110"/>
  <c r="N25" i="110"/>
  <c r="O25" i="110"/>
  <c r="P25" i="110"/>
  <c r="Q25" i="110"/>
  <c r="R25" i="110"/>
  <c r="S25" i="110"/>
  <c r="T25" i="110"/>
  <c r="U25" i="110"/>
  <c r="V25" i="110"/>
  <c r="B26" i="110"/>
  <c r="B24" i="110"/>
  <c r="B22" i="110"/>
  <c r="W28" i="110"/>
  <c r="B36" i="110"/>
  <c r="C36" i="110"/>
  <c r="D36" i="110"/>
  <c r="E36" i="110"/>
  <c r="F36" i="110"/>
  <c r="G36" i="110"/>
  <c r="H36" i="110"/>
  <c r="I36" i="110"/>
  <c r="J36" i="110"/>
  <c r="K36" i="110"/>
  <c r="L36" i="110"/>
  <c r="M36" i="110"/>
  <c r="N36" i="110"/>
  <c r="O36" i="110"/>
  <c r="P36" i="110"/>
  <c r="Q36" i="110"/>
  <c r="R36" i="110"/>
  <c r="S36" i="110"/>
  <c r="T36" i="110"/>
  <c r="U36" i="110"/>
  <c r="V36" i="110"/>
  <c r="W36" i="110"/>
  <c r="A1" i="112"/>
  <c r="A2" i="112"/>
  <c r="G15" i="112"/>
  <c r="I15" i="112"/>
  <c r="K15" i="112"/>
  <c r="M15" i="112"/>
  <c r="O15" i="112"/>
  <c r="Q15" i="112"/>
  <c r="S15" i="112"/>
  <c r="U15" i="112"/>
  <c r="C23" i="112"/>
  <c r="D23" i="112"/>
  <c r="E23" i="112"/>
  <c r="F23" i="112"/>
  <c r="G23" i="112"/>
  <c r="H23" i="112"/>
  <c r="I23" i="112"/>
  <c r="J23" i="112"/>
  <c r="K23" i="112"/>
  <c r="L23" i="112"/>
  <c r="M23" i="112"/>
  <c r="N23" i="112"/>
  <c r="O23" i="112"/>
  <c r="P23" i="112"/>
  <c r="Q23" i="112"/>
  <c r="R23" i="112"/>
  <c r="S23" i="112"/>
  <c r="T23" i="112"/>
  <c r="U23" i="112"/>
  <c r="V23" i="112"/>
  <c r="W23" i="112"/>
  <c r="B29" i="112"/>
  <c r="W44" i="112"/>
  <c r="W46" i="112"/>
  <c r="A1" i="5"/>
  <c r="A2" i="5"/>
  <c r="A8" i="5"/>
  <c r="V16" i="5"/>
  <c r="V19" i="5"/>
  <c r="V13" i="48"/>
  <c r="V14" i="48"/>
  <c r="B18" i="5"/>
  <c r="C18" i="5"/>
  <c r="D18" i="5"/>
  <c r="E18" i="5"/>
  <c r="E19" i="5"/>
  <c r="E13" i="48"/>
  <c r="E14" i="48"/>
  <c r="F18" i="5"/>
  <c r="G18" i="5"/>
  <c r="H18" i="5"/>
  <c r="I18" i="5"/>
  <c r="I19" i="5"/>
  <c r="I13" i="48"/>
  <c r="I14" i="48"/>
  <c r="J18" i="5"/>
  <c r="K18" i="5"/>
  <c r="L18" i="5"/>
  <c r="M18" i="5"/>
  <c r="M19" i="5"/>
  <c r="M13" i="48"/>
  <c r="M14" i="48"/>
  <c r="N18" i="5"/>
  <c r="O18" i="5"/>
  <c r="P18" i="5"/>
  <c r="Q18" i="5"/>
  <c r="R18" i="5"/>
  <c r="S18" i="5"/>
  <c r="T18" i="5"/>
  <c r="U18" i="5"/>
  <c r="V18" i="5"/>
  <c r="B19" i="5"/>
  <c r="B13" i="48"/>
  <c r="B14" i="48"/>
  <c r="C19" i="5"/>
  <c r="C13" i="48"/>
  <c r="C14" i="48"/>
  <c r="D19" i="5"/>
  <c r="D13" i="48"/>
  <c r="D14" i="48"/>
  <c r="F19" i="5"/>
  <c r="F13" i="48"/>
  <c r="F14" i="48"/>
  <c r="G19" i="5"/>
  <c r="G13" i="48"/>
  <c r="G14" i="48"/>
  <c r="H19" i="5"/>
  <c r="H13" i="48"/>
  <c r="H14" i="48"/>
  <c r="J19" i="5"/>
  <c r="J13" i="48"/>
  <c r="J14" i="48"/>
  <c r="K19" i="5"/>
  <c r="K13" i="48"/>
  <c r="K14" i="48"/>
  <c r="L19" i="5"/>
  <c r="L13" i="48"/>
  <c r="L14" i="48"/>
  <c r="N19" i="5"/>
  <c r="N13" i="48"/>
  <c r="N14" i="48"/>
  <c r="O19" i="5"/>
  <c r="O13" i="48"/>
  <c r="O14" i="48"/>
  <c r="P19" i="5"/>
  <c r="P13" i="48"/>
  <c r="P14" i="48"/>
  <c r="R19" i="5"/>
  <c r="R13" i="48"/>
  <c r="R14" i="48"/>
  <c r="S19" i="5"/>
  <c r="S13" i="48"/>
  <c r="S14" i="48"/>
  <c r="T19" i="5"/>
  <c r="T13" i="48"/>
  <c r="T14" i="48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P28" i="5"/>
  <c r="P29" i="5"/>
  <c r="R28" i="5"/>
  <c r="R29" i="5"/>
  <c r="S28" i="5"/>
  <c r="T28" i="5"/>
  <c r="T29" i="5"/>
  <c r="V28" i="5"/>
  <c r="V29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S29" i="5"/>
  <c r="A1" i="6"/>
  <c r="A2" i="6"/>
  <c r="A8" i="6"/>
  <c r="V16" i="6"/>
  <c r="B18" i="6"/>
  <c r="B19" i="6"/>
  <c r="B13" i="49"/>
  <c r="C18" i="6"/>
  <c r="D18" i="6"/>
  <c r="E18" i="6"/>
  <c r="F18" i="6"/>
  <c r="F19" i="6"/>
  <c r="F13" i="49"/>
  <c r="F14" i="49"/>
  <c r="G18" i="6"/>
  <c r="H18" i="6"/>
  <c r="I18" i="6"/>
  <c r="J18" i="6"/>
  <c r="J19" i="6"/>
  <c r="J13" i="49"/>
  <c r="J14" i="49"/>
  <c r="K18" i="6"/>
  <c r="L18" i="6"/>
  <c r="L19" i="6"/>
  <c r="L13" i="49"/>
  <c r="L14" i="49"/>
  <c r="M18" i="6"/>
  <c r="N18" i="6"/>
  <c r="N19" i="6"/>
  <c r="N13" i="49"/>
  <c r="N14" i="49"/>
  <c r="O18" i="6"/>
  <c r="P18" i="6"/>
  <c r="P19" i="6"/>
  <c r="P13" i="49"/>
  <c r="P14" i="49"/>
  <c r="Q18" i="6"/>
  <c r="R18" i="6"/>
  <c r="R19" i="6"/>
  <c r="R13" i="49"/>
  <c r="R14" i="49"/>
  <c r="S18" i="6"/>
  <c r="T18" i="6"/>
  <c r="U18" i="6"/>
  <c r="V18" i="6"/>
  <c r="V19" i="6"/>
  <c r="V13" i="49"/>
  <c r="V14" i="49"/>
  <c r="C19" i="6"/>
  <c r="C13" i="49"/>
  <c r="C14" i="49"/>
  <c r="D19" i="6"/>
  <c r="D13" i="49"/>
  <c r="D14" i="49"/>
  <c r="E19" i="6"/>
  <c r="E13" i="49"/>
  <c r="E14" i="49"/>
  <c r="G19" i="6"/>
  <c r="G13" i="49"/>
  <c r="G14" i="49"/>
  <c r="H19" i="6"/>
  <c r="H13" i="49"/>
  <c r="H14" i="49"/>
  <c r="I19" i="6"/>
  <c r="I13" i="49"/>
  <c r="I14" i="49"/>
  <c r="K19" i="6"/>
  <c r="K13" i="49"/>
  <c r="K14" i="49"/>
  <c r="M19" i="6"/>
  <c r="M13" i="49"/>
  <c r="M14" i="49"/>
  <c r="O19" i="6"/>
  <c r="O13" i="49"/>
  <c r="O14" i="49"/>
  <c r="Q19" i="6"/>
  <c r="Q13" i="49"/>
  <c r="Q14" i="49"/>
  <c r="S19" i="6"/>
  <c r="S13" i="49"/>
  <c r="S14" i="49"/>
  <c r="T19" i="6"/>
  <c r="T13" i="49"/>
  <c r="T14" i="49"/>
  <c r="U19" i="6"/>
  <c r="U13" i="49"/>
  <c r="U14" i="49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C28" i="6"/>
  <c r="C29" i="6"/>
  <c r="D28" i="6"/>
  <c r="D29" i="6"/>
  <c r="E28" i="6"/>
  <c r="F28" i="6"/>
  <c r="G28" i="6"/>
  <c r="G29" i="6"/>
  <c r="H28" i="6"/>
  <c r="H29" i="6"/>
  <c r="I28" i="6"/>
  <c r="J28" i="6"/>
  <c r="K28" i="6"/>
  <c r="K29" i="6"/>
  <c r="L28" i="6"/>
  <c r="L29" i="6"/>
  <c r="M28" i="6"/>
  <c r="N28" i="6"/>
  <c r="O28" i="6"/>
  <c r="O29" i="6"/>
  <c r="P28" i="6"/>
  <c r="P29" i="6"/>
  <c r="Q28" i="6"/>
  <c r="R28" i="6"/>
  <c r="S28" i="6"/>
  <c r="S29" i="6"/>
  <c r="T28" i="6"/>
  <c r="T29" i="6"/>
  <c r="U28" i="6"/>
  <c r="V28" i="6"/>
  <c r="B29" i="6"/>
  <c r="E29" i="6"/>
  <c r="F29" i="6"/>
  <c r="I29" i="6"/>
  <c r="J29" i="6"/>
  <c r="M29" i="6"/>
  <c r="N29" i="6"/>
  <c r="Q29" i="6"/>
  <c r="R29" i="6"/>
  <c r="U29" i="6"/>
  <c r="V29" i="6"/>
  <c r="A1" i="7"/>
  <c r="A2" i="7"/>
  <c r="A8" i="7"/>
  <c r="B18" i="7"/>
  <c r="B19" i="7"/>
  <c r="B13" i="50"/>
  <c r="C18" i="7"/>
  <c r="C19" i="7"/>
  <c r="C13" i="50"/>
  <c r="C14" i="50"/>
  <c r="D18" i="7"/>
  <c r="E18" i="7"/>
  <c r="F18" i="7"/>
  <c r="F19" i="7"/>
  <c r="F13" i="50"/>
  <c r="F14" i="50"/>
  <c r="G18" i="7"/>
  <c r="G19" i="7"/>
  <c r="G13" i="50"/>
  <c r="G14" i="50"/>
  <c r="H18" i="7"/>
  <c r="I18" i="7"/>
  <c r="J18" i="7"/>
  <c r="J19" i="7"/>
  <c r="J13" i="50"/>
  <c r="J14" i="50"/>
  <c r="K18" i="7"/>
  <c r="K19" i="7"/>
  <c r="K13" i="50"/>
  <c r="K14" i="50"/>
  <c r="L18" i="7"/>
  <c r="M18" i="7"/>
  <c r="N18" i="7"/>
  <c r="N19" i="7"/>
  <c r="N13" i="50"/>
  <c r="N14" i="50"/>
  <c r="O18" i="7"/>
  <c r="O19" i="7"/>
  <c r="O13" i="50"/>
  <c r="O14" i="50"/>
  <c r="P18" i="7"/>
  <c r="Q18" i="7"/>
  <c r="R18" i="7"/>
  <c r="R19" i="7"/>
  <c r="R13" i="50"/>
  <c r="R14" i="50"/>
  <c r="S18" i="7"/>
  <c r="S19" i="7"/>
  <c r="S13" i="50"/>
  <c r="S14" i="50"/>
  <c r="T18" i="7"/>
  <c r="U18" i="7"/>
  <c r="V18" i="7"/>
  <c r="V19" i="7"/>
  <c r="V13" i="50"/>
  <c r="V14" i="50"/>
  <c r="D19" i="7"/>
  <c r="D13" i="50"/>
  <c r="D14" i="50"/>
  <c r="E19" i="7"/>
  <c r="E13" i="50"/>
  <c r="E14" i="50"/>
  <c r="H19" i="7"/>
  <c r="H13" i="50"/>
  <c r="H14" i="50"/>
  <c r="I19" i="7"/>
  <c r="I13" i="50"/>
  <c r="I14" i="50"/>
  <c r="L19" i="7"/>
  <c r="L13" i="50"/>
  <c r="L14" i="50"/>
  <c r="M19" i="7"/>
  <c r="M13" i="50"/>
  <c r="M14" i="50"/>
  <c r="P19" i="7"/>
  <c r="P13" i="50"/>
  <c r="P14" i="50"/>
  <c r="Q19" i="7"/>
  <c r="Q13" i="50"/>
  <c r="Q14" i="50"/>
  <c r="T19" i="7"/>
  <c r="T13" i="50"/>
  <c r="T14" i="50"/>
  <c r="U19" i="7"/>
  <c r="U13" i="50"/>
  <c r="U14" i="50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C28" i="7"/>
  <c r="D28" i="7"/>
  <c r="D29" i="7"/>
  <c r="E28" i="7"/>
  <c r="E29" i="7"/>
  <c r="G28" i="7"/>
  <c r="H28" i="7"/>
  <c r="H29" i="7"/>
  <c r="I28" i="7"/>
  <c r="I29" i="7"/>
  <c r="K28" i="7"/>
  <c r="L28" i="7"/>
  <c r="L29" i="7"/>
  <c r="M28" i="7"/>
  <c r="M29" i="7"/>
  <c r="O28" i="7"/>
  <c r="P28" i="7"/>
  <c r="P29" i="7"/>
  <c r="Q28" i="7"/>
  <c r="Q29" i="7"/>
  <c r="S28" i="7"/>
  <c r="T28" i="7"/>
  <c r="T29" i="7"/>
  <c r="U28" i="7"/>
  <c r="U29" i="7"/>
  <c r="B29" i="7"/>
  <c r="C29" i="7"/>
  <c r="G29" i="7"/>
  <c r="K29" i="7"/>
  <c r="O29" i="7"/>
  <c r="S29" i="7"/>
  <c r="A1" i="8"/>
  <c r="A2" i="8"/>
  <c r="A8" i="8"/>
  <c r="B18" i="8"/>
  <c r="C18" i="8"/>
  <c r="C19" i="8"/>
  <c r="C13" i="51"/>
  <c r="C14" i="51"/>
  <c r="D18" i="8"/>
  <c r="D19" i="8"/>
  <c r="D13" i="51"/>
  <c r="D14" i="51"/>
  <c r="E18" i="8"/>
  <c r="F18" i="8"/>
  <c r="G18" i="8"/>
  <c r="G19" i="8"/>
  <c r="G13" i="51"/>
  <c r="G14" i="51"/>
  <c r="H18" i="8"/>
  <c r="H19" i="8"/>
  <c r="H13" i="51"/>
  <c r="H14" i="51"/>
  <c r="I18" i="8"/>
  <c r="J18" i="8"/>
  <c r="K18" i="8"/>
  <c r="K19" i="8"/>
  <c r="K13" i="51"/>
  <c r="K14" i="51"/>
  <c r="L18" i="8"/>
  <c r="L19" i="8"/>
  <c r="L13" i="51"/>
  <c r="L14" i="51"/>
  <c r="M18" i="8"/>
  <c r="N18" i="8"/>
  <c r="O18" i="8"/>
  <c r="O19" i="8"/>
  <c r="O13" i="51"/>
  <c r="O14" i="51"/>
  <c r="P18" i="8"/>
  <c r="P19" i="8"/>
  <c r="P13" i="51"/>
  <c r="P14" i="51"/>
  <c r="Q18" i="8"/>
  <c r="R18" i="8"/>
  <c r="S18" i="8"/>
  <c r="S19" i="8"/>
  <c r="S13" i="51"/>
  <c r="S14" i="51"/>
  <c r="T18" i="8"/>
  <c r="T19" i="8"/>
  <c r="T13" i="51"/>
  <c r="T14" i="51"/>
  <c r="U18" i="8"/>
  <c r="V18" i="8"/>
  <c r="B19" i="8"/>
  <c r="B13" i="51"/>
  <c r="B14" i="51"/>
  <c r="E19" i="8"/>
  <c r="E13" i="51"/>
  <c r="E14" i="51"/>
  <c r="F19" i="8"/>
  <c r="F13" i="51"/>
  <c r="F14" i="51"/>
  <c r="I19" i="8"/>
  <c r="I13" i="51"/>
  <c r="I14" i="51"/>
  <c r="J19" i="8"/>
  <c r="J13" i="51"/>
  <c r="J14" i="51"/>
  <c r="M19" i="8"/>
  <c r="M13" i="51"/>
  <c r="M14" i="51"/>
  <c r="N19" i="8"/>
  <c r="N13" i="51"/>
  <c r="N14" i="51"/>
  <c r="Q19" i="8"/>
  <c r="Q13" i="51"/>
  <c r="Q14" i="51"/>
  <c r="R19" i="8"/>
  <c r="R13" i="51"/>
  <c r="R14" i="51"/>
  <c r="U19" i="8"/>
  <c r="U13" i="51"/>
  <c r="U14" i="51"/>
  <c r="V19" i="8"/>
  <c r="V13" i="51"/>
  <c r="V14" i="51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D28" i="8"/>
  <c r="E28" i="8"/>
  <c r="E29" i="8"/>
  <c r="F28" i="8"/>
  <c r="F29" i="8"/>
  <c r="H28" i="8"/>
  <c r="I28" i="8"/>
  <c r="I29" i="8"/>
  <c r="J28" i="8"/>
  <c r="J29" i="8"/>
  <c r="L28" i="8"/>
  <c r="M28" i="8"/>
  <c r="M29" i="8"/>
  <c r="N28" i="8"/>
  <c r="N29" i="8"/>
  <c r="P28" i="8"/>
  <c r="Q28" i="8"/>
  <c r="Q29" i="8"/>
  <c r="R28" i="8"/>
  <c r="R29" i="8"/>
  <c r="T28" i="8"/>
  <c r="U28" i="8"/>
  <c r="U29" i="8"/>
  <c r="V28" i="8"/>
  <c r="V29" i="8"/>
  <c r="B29" i="8"/>
  <c r="D29" i="8"/>
  <c r="H29" i="8"/>
  <c r="L29" i="8"/>
  <c r="P29" i="8"/>
  <c r="T29" i="8"/>
  <c r="A1" i="9"/>
  <c r="A2" i="9"/>
  <c r="A8" i="9"/>
  <c r="B18" i="9"/>
  <c r="C18" i="9"/>
  <c r="D18" i="9"/>
  <c r="D19" i="9"/>
  <c r="D13" i="52"/>
  <c r="D14" i="52"/>
  <c r="E18" i="9"/>
  <c r="E19" i="9"/>
  <c r="E13" i="52"/>
  <c r="E14" i="52"/>
  <c r="F18" i="9"/>
  <c r="G18" i="9"/>
  <c r="H18" i="9"/>
  <c r="H19" i="9"/>
  <c r="H13" i="52"/>
  <c r="H14" i="52"/>
  <c r="I18" i="9"/>
  <c r="I19" i="9"/>
  <c r="I13" i="52"/>
  <c r="I14" i="52"/>
  <c r="J18" i="9"/>
  <c r="K18" i="9"/>
  <c r="L18" i="9"/>
  <c r="L19" i="9"/>
  <c r="L13" i="52"/>
  <c r="L14" i="52"/>
  <c r="M18" i="9"/>
  <c r="M19" i="9"/>
  <c r="M13" i="52"/>
  <c r="M14" i="52"/>
  <c r="N18" i="9"/>
  <c r="O18" i="9"/>
  <c r="O28" i="9"/>
  <c r="O29" i="9"/>
  <c r="P18" i="9"/>
  <c r="P19" i="9"/>
  <c r="P13" i="52"/>
  <c r="P14" i="52"/>
  <c r="Q18" i="9"/>
  <c r="Q19" i="9"/>
  <c r="Q13" i="52"/>
  <c r="Q14" i="52"/>
  <c r="R18" i="9"/>
  <c r="S18" i="9"/>
  <c r="T18" i="9"/>
  <c r="T19" i="9"/>
  <c r="T13" i="52"/>
  <c r="T14" i="52"/>
  <c r="U18" i="9"/>
  <c r="U19" i="9"/>
  <c r="U13" i="52"/>
  <c r="U14" i="52"/>
  <c r="V18" i="9"/>
  <c r="B19" i="9"/>
  <c r="B13" i="52"/>
  <c r="B14" i="52"/>
  <c r="C19" i="9"/>
  <c r="C13" i="52"/>
  <c r="F19" i="9"/>
  <c r="F13" i="52"/>
  <c r="F14" i="52"/>
  <c r="G19" i="9"/>
  <c r="G13" i="52"/>
  <c r="G14" i="52"/>
  <c r="J19" i="9"/>
  <c r="J13" i="52"/>
  <c r="J14" i="52"/>
  <c r="K19" i="9"/>
  <c r="K13" i="52"/>
  <c r="K14" i="52"/>
  <c r="N19" i="9"/>
  <c r="N13" i="52"/>
  <c r="N14" i="52"/>
  <c r="O19" i="9"/>
  <c r="O13" i="52"/>
  <c r="O14" i="52"/>
  <c r="R19" i="9"/>
  <c r="R13" i="52"/>
  <c r="R14" i="52"/>
  <c r="S19" i="9"/>
  <c r="S13" i="52"/>
  <c r="S14" i="52"/>
  <c r="V19" i="9"/>
  <c r="V13" i="52"/>
  <c r="V14" i="52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M28" i="9"/>
  <c r="M29" i="9"/>
  <c r="Q28" i="9"/>
  <c r="Q29" i="9"/>
  <c r="S28" i="9"/>
  <c r="U28" i="9"/>
  <c r="U29" i="9"/>
  <c r="V28" i="9"/>
  <c r="B29" i="9"/>
  <c r="C29" i="9"/>
  <c r="D29" i="9"/>
  <c r="E29" i="9"/>
  <c r="F29" i="9"/>
  <c r="G29" i="9"/>
  <c r="H29" i="9"/>
  <c r="I29" i="9"/>
  <c r="J29" i="9"/>
  <c r="K29" i="9"/>
  <c r="L29" i="9"/>
  <c r="N29" i="9"/>
  <c r="P29" i="9"/>
  <c r="R29" i="9"/>
  <c r="S29" i="9"/>
  <c r="T29" i="9"/>
  <c r="V29" i="9"/>
  <c r="A1" i="10"/>
  <c r="A2" i="10"/>
  <c r="A8" i="10"/>
  <c r="B18" i="10"/>
  <c r="C18" i="10"/>
  <c r="C19" i="10"/>
  <c r="C13" i="53"/>
  <c r="C14" i="53"/>
  <c r="D18" i="10"/>
  <c r="D19" i="10"/>
  <c r="D13" i="53"/>
  <c r="D14" i="53"/>
  <c r="E18" i="10"/>
  <c r="F18" i="10"/>
  <c r="F28" i="10"/>
  <c r="F29" i="10"/>
  <c r="G18" i="10"/>
  <c r="G19" i="10"/>
  <c r="G13" i="53"/>
  <c r="G14" i="53"/>
  <c r="H18" i="10"/>
  <c r="H19" i="10"/>
  <c r="H13" i="53"/>
  <c r="H14" i="53"/>
  <c r="I18" i="10"/>
  <c r="J18" i="10"/>
  <c r="J28" i="10"/>
  <c r="J29" i="10"/>
  <c r="K18" i="10"/>
  <c r="K19" i="10"/>
  <c r="K13" i="53"/>
  <c r="K14" i="53"/>
  <c r="L18" i="10"/>
  <c r="L19" i="10"/>
  <c r="L13" i="53"/>
  <c r="L14" i="53"/>
  <c r="M18" i="10"/>
  <c r="N18" i="10"/>
  <c r="N28" i="10"/>
  <c r="N29" i="10"/>
  <c r="O18" i="10"/>
  <c r="O19" i="10"/>
  <c r="O13" i="53"/>
  <c r="O14" i="53"/>
  <c r="P18" i="10"/>
  <c r="P19" i="10"/>
  <c r="P13" i="53"/>
  <c r="P14" i="53"/>
  <c r="Q18" i="10"/>
  <c r="R18" i="10"/>
  <c r="R28" i="10"/>
  <c r="R29" i="10"/>
  <c r="S18" i="10"/>
  <c r="S19" i="10"/>
  <c r="S13" i="53"/>
  <c r="S14" i="53"/>
  <c r="T18" i="10"/>
  <c r="T19" i="10"/>
  <c r="T13" i="53"/>
  <c r="T14" i="53"/>
  <c r="U18" i="10"/>
  <c r="V18" i="10"/>
  <c r="V28" i="10"/>
  <c r="V29" i="10"/>
  <c r="B19" i="10"/>
  <c r="B13" i="53"/>
  <c r="B14" i="53"/>
  <c r="E19" i="10"/>
  <c r="E13" i="53"/>
  <c r="E14" i="53"/>
  <c r="F19" i="10"/>
  <c r="F13" i="53"/>
  <c r="F14" i="53"/>
  <c r="I19" i="10"/>
  <c r="I13" i="53"/>
  <c r="I14" i="53"/>
  <c r="J19" i="10"/>
  <c r="J13" i="53"/>
  <c r="J14" i="53"/>
  <c r="M19" i="10"/>
  <c r="M13" i="53"/>
  <c r="M14" i="53"/>
  <c r="N19" i="10"/>
  <c r="N13" i="53"/>
  <c r="N14" i="53"/>
  <c r="Q19" i="10"/>
  <c r="Q13" i="53"/>
  <c r="Q14" i="53"/>
  <c r="R19" i="10"/>
  <c r="R13" i="53"/>
  <c r="R14" i="53"/>
  <c r="U19" i="10"/>
  <c r="U13" i="53"/>
  <c r="U14" i="53"/>
  <c r="V19" i="10"/>
  <c r="V13" i="53"/>
  <c r="V14" i="53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D28" i="10"/>
  <c r="E28" i="10"/>
  <c r="E29" i="10"/>
  <c r="H28" i="10"/>
  <c r="I28" i="10"/>
  <c r="I29" i="10"/>
  <c r="L28" i="10"/>
  <c r="M28" i="10"/>
  <c r="M29" i="10"/>
  <c r="P28" i="10"/>
  <c r="Q28" i="10"/>
  <c r="Q29" i="10"/>
  <c r="T28" i="10"/>
  <c r="U28" i="10"/>
  <c r="U29" i="10"/>
  <c r="B29" i="10"/>
  <c r="D29" i="10"/>
  <c r="H29" i="10"/>
  <c r="L29" i="10"/>
  <c r="P29" i="10"/>
  <c r="T29" i="10"/>
  <c r="A1" i="11"/>
  <c r="A2" i="11"/>
  <c r="A8" i="11"/>
  <c r="B19" i="11"/>
  <c r="B13" i="54"/>
  <c r="C19" i="11"/>
  <c r="C13" i="54"/>
  <c r="D19" i="11"/>
  <c r="D13" i="54"/>
  <c r="E19" i="11"/>
  <c r="E13" i="54"/>
  <c r="F19" i="11"/>
  <c r="F13" i="54"/>
  <c r="G19" i="11"/>
  <c r="G13" i="54"/>
  <c r="H19" i="11"/>
  <c r="H13" i="54"/>
  <c r="I19" i="11"/>
  <c r="I13" i="54"/>
  <c r="J19" i="11"/>
  <c r="J13" i="54"/>
  <c r="K19" i="11"/>
  <c r="K13" i="54"/>
  <c r="L19" i="11"/>
  <c r="L13" i="54"/>
  <c r="M19" i="11"/>
  <c r="M13" i="54"/>
  <c r="N19" i="11"/>
  <c r="N13" i="54"/>
  <c r="O19" i="11"/>
  <c r="O13" i="54"/>
  <c r="P19" i="11"/>
  <c r="P13" i="54"/>
  <c r="Q19" i="11"/>
  <c r="Q13" i="54"/>
  <c r="R19" i="11"/>
  <c r="R13" i="54"/>
  <c r="S19" i="11"/>
  <c r="S13" i="54"/>
  <c r="T19" i="11"/>
  <c r="T13" i="54"/>
  <c r="U19" i="11"/>
  <c r="U13" i="54"/>
  <c r="V19" i="11"/>
  <c r="V13" i="54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A1" i="70"/>
  <c r="A2" i="70"/>
  <c r="A8" i="70"/>
  <c r="B19" i="70"/>
  <c r="B13" i="72"/>
  <c r="C19" i="70"/>
  <c r="C13" i="72"/>
  <c r="D19" i="70"/>
  <c r="D13" i="72"/>
  <c r="E19" i="70"/>
  <c r="E13" i="72"/>
  <c r="F19" i="70"/>
  <c r="F13" i="72"/>
  <c r="G19" i="70"/>
  <c r="G13" i="72"/>
  <c r="H19" i="70"/>
  <c r="H13" i="72"/>
  <c r="I19" i="70"/>
  <c r="I13" i="72"/>
  <c r="J19" i="70"/>
  <c r="J13" i="72"/>
  <c r="K19" i="70"/>
  <c r="K13" i="72"/>
  <c r="L19" i="70"/>
  <c r="L13" i="72"/>
  <c r="M19" i="70"/>
  <c r="M13" i="72"/>
  <c r="N19" i="70"/>
  <c r="N13" i="72"/>
  <c r="O19" i="70"/>
  <c r="O13" i="72"/>
  <c r="P19" i="70"/>
  <c r="P13" i="72"/>
  <c r="Q19" i="70"/>
  <c r="Q13" i="72"/>
  <c r="R19" i="70"/>
  <c r="R13" i="72"/>
  <c r="S19" i="70"/>
  <c r="S13" i="72"/>
  <c r="T19" i="70"/>
  <c r="T13" i="72"/>
  <c r="U19" i="70"/>
  <c r="U13" i="72"/>
  <c r="V19" i="70"/>
  <c r="V13" i="72"/>
  <c r="B21" i="70"/>
  <c r="C21" i="70"/>
  <c r="D21" i="70"/>
  <c r="E21" i="70"/>
  <c r="F21" i="70"/>
  <c r="G21" i="70"/>
  <c r="H21" i="70"/>
  <c r="I21" i="70"/>
  <c r="J21" i="70"/>
  <c r="K21" i="70"/>
  <c r="L21" i="70"/>
  <c r="M21" i="70"/>
  <c r="N21" i="70"/>
  <c r="O21" i="70"/>
  <c r="P21" i="70"/>
  <c r="Q21" i="70"/>
  <c r="R21" i="70"/>
  <c r="S21" i="70"/>
  <c r="T21" i="70"/>
  <c r="U21" i="70"/>
  <c r="V21" i="70"/>
  <c r="B29" i="70"/>
  <c r="C29" i="70"/>
  <c r="D29" i="70"/>
  <c r="E29" i="70"/>
  <c r="F29" i="70"/>
  <c r="G29" i="70"/>
  <c r="H29" i="70"/>
  <c r="I29" i="70"/>
  <c r="J29" i="70"/>
  <c r="K29" i="70"/>
  <c r="L29" i="70"/>
  <c r="M29" i="70"/>
  <c r="N29" i="70"/>
  <c r="O29" i="70"/>
  <c r="P29" i="70"/>
  <c r="Q29" i="70"/>
  <c r="R29" i="70"/>
  <c r="S29" i="70"/>
  <c r="T29" i="70"/>
  <c r="U29" i="70"/>
  <c r="V29" i="70"/>
  <c r="A1" i="12"/>
  <c r="A2" i="12"/>
  <c r="A8" i="12"/>
  <c r="A1" i="13"/>
  <c r="A2" i="13"/>
  <c r="A8" i="13"/>
  <c r="A1" i="14"/>
  <c r="A2" i="14"/>
  <c r="A8" i="14"/>
  <c r="A1" i="15"/>
  <c r="A2" i="15"/>
  <c r="A8" i="15"/>
  <c r="A1" i="16"/>
  <c r="A2" i="16"/>
  <c r="A8" i="16"/>
  <c r="A1" i="17"/>
  <c r="A2" i="17"/>
  <c r="A8" i="17"/>
  <c r="A1" i="18"/>
  <c r="A2" i="18"/>
  <c r="A8" i="18"/>
  <c r="A1" i="71"/>
  <c r="A2" i="71"/>
  <c r="A8" i="71"/>
  <c r="A1" i="19"/>
  <c r="A2" i="19"/>
  <c r="B9" i="19"/>
  <c r="C9" i="19"/>
  <c r="D9" i="19"/>
  <c r="E9" i="19"/>
  <c r="F9" i="19"/>
  <c r="G9" i="19"/>
  <c r="H9" i="19"/>
  <c r="I9" i="19"/>
  <c r="B11" i="19"/>
  <c r="D11" i="19"/>
  <c r="E11" i="19"/>
  <c r="F11" i="19"/>
  <c r="F12" i="19"/>
  <c r="G11" i="19"/>
  <c r="B12" i="19"/>
  <c r="D12" i="19"/>
  <c r="E12" i="19"/>
  <c r="E13" i="19"/>
  <c r="G12" i="19"/>
  <c r="B13" i="19"/>
  <c r="D13" i="19"/>
  <c r="D14" i="19"/>
  <c r="G13" i="19"/>
  <c r="B14" i="19"/>
  <c r="B15" i="19"/>
  <c r="G14" i="19"/>
  <c r="G15" i="19"/>
  <c r="C20" i="19"/>
  <c r="C21" i="19"/>
  <c r="A1" i="20"/>
  <c r="A2" i="20"/>
  <c r="B9" i="20"/>
  <c r="C9" i="20"/>
  <c r="D9" i="20"/>
  <c r="E9" i="20"/>
  <c r="F9" i="20"/>
  <c r="G9" i="20"/>
  <c r="H9" i="20"/>
  <c r="I9" i="20"/>
  <c r="B10" i="20"/>
  <c r="B12" i="31"/>
  <c r="C10" i="20"/>
  <c r="C12" i="31"/>
  <c r="D10" i="20"/>
  <c r="E10" i="20"/>
  <c r="E12" i="31"/>
  <c r="F10" i="20"/>
  <c r="F12" i="31"/>
  <c r="G10" i="20"/>
  <c r="G12" i="31"/>
  <c r="H10" i="20"/>
  <c r="I10" i="20"/>
  <c r="I12" i="31"/>
  <c r="J10" i="20"/>
  <c r="B11" i="20"/>
  <c r="B13" i="31"/>
  <c r="C11" i="20"/>
  <c r="D11" i="20"/>
  <c r="E11" i="20"/>
  <c r="E13" i="31"/>
  <c r="G11" i="20"/>
  <c r="H11" i="20"/>
  <c r="I11" i="20"/>
  <c r="I13" i="31"/>
  <c r="B12" i="20"/>
  <c r="B14" i="31"/>
  <c r="C12" i="20"/>
  <c r="C14" i="31"/>
  <c r="D12" i="20"/>
  <c r="G12" i="20"/>
  <c r="G14" i="31"/>
  <c r="H12" i="20"/>
  <c r="I12" i="20"/>
  <c r="I14" i="31"/>
  <c r="B13" i="20"/>
  <c r="B15" i="31"/>
  <c r="C13" i="20"/>
  <c r="C15" i="31"/>
  <c r="G13" i="20"/>
  <c r="G15" i="31"/>
  <c r="H13" i="20"/>
  <c r="I13" i="20"/>
  <c r="I15" i="31"/>
  <c r="B14" i="20"/>
  <c r="B16" i="31"/>
  <c r="C14" i="20"/>
  <c r="C16" i="31"/>
  <c r="H14" i="20"/>
  <c r="I14" i="20"/>
  <c r="I16" i="31"/>
  <c r="C15" i="20"/>
  <c r="C17" i="31"/>
  <c r="H15" i="20"/>
  <c r="I15" i="20"/>
  <c r="I17" i="31"/>
  <c r="C16" i="20"/>
  <c r="C18" i="31"/>
  <c r="H16" i="20"/>
  <c r="H18" i="31"/>
  <c r="I16" i="20"/>
  <c r="I18" i="31"/>
  <c r="C17" i="20"/>
  <c r="C19" i="31"/>
  <c r="H17" i="20"/>
  <c r="I17" i="20"/>
  <c r="I19" i="31"/>
  <c r="C18" i="20"/>
  <c r="C20" i="31"/>
  <c r="H18" i="20"/>
  <c r="I18" i="20"/>
  <c r="I20" i="31"/>
  <c r="C19" i="20"/>
  <c r="C21" i="31"/>
  <c r="H19" i="20"/>
  <c r="I19" i="20"/>
  <c r="I21" i="31"/>
  <c r="C20" i="20"/>
  <c r="C22" i="31"/>
  <c r="H20" i="20"/>
  <c r="H22" i="31"/>
  <c r="I20" i="20"/>
  <c r="I22" i="31"/>
  <c r="H21" i="20"/>
  <c r="I21" i="20"/>
  <c r="I23" i="31"/>
  <c r="H22" i="20"/>
  <c r="I22" i="20"/>
  <c r="I24" i="31"/>
  <c r="H23" i="20"/>
  <c r="I23" i="20"/>
  <c r="I25" i="31"/>
  <c r="H24" i="20"/>
  <c r="H26" i="31"/>
  <c r="I24" i="20"/>
  <c r="I26" i="31"/>
  <c r="H25" i="20"/>
  <c r="I25" i="20"/>
  <c r="I27" i="31"/>
  <c r="H26" i="20"/>
  <c r="I26" i="20"/>
  <c r="I28" i="31"/>
  <c r="H27" i="20"/>
  <c r="I27" i="20"/>
  <c r="I29" i="31"/>
  <c r="H28" i="20"/>
  <c r="H30" i="31"/>
  <c r="I28" i="20"/>
  <c r="I30" i="31"/>
  <c r="H29" i="20"/>
  <c r="I29" i="20"/>
  <c r="I31" i="31"/>
  <c r="A1" i="21"/>
  <c r="A2" i="21"/>
  <c r="A11" i="21"/>
  <c r="A12" i="21"/>
  <c r="A13" i="21"/>
  <c r="A14" i="21"/>
  <c r="A15" i="21"/>
  <c r="A16" i="21"/>
  <c r="A17" i="21"/>
  <c r="A18" i="21"/>
  <c r="D50" i="21"/>
  <c r="E50" i="21"/>
  <c r="F50" i="21"/>
  <c r="G50" i="21"/>
  <c r="B66" i="21"/>
  <c r="A1" i="79"/>
  <c r="A2" i="79"/>
  <c r="C26" i="79"/>
  <c r="B15" i="75"/>
  <c r="B13" i="75"/>
  <c r="D26" i="79"/>
  <c r="C15" i="75"/>
  <c r="C13" i="75"/>
  <c r="E26" i="79"/>
  <c r="D15" i="75"/>
  <c r="D13" i="75"/>
  <c r="F26" i="79"/>
  <c r="E15" i="75"/>
  <c r="E13" i="75"/>
  <c r="G26" i="79"/>
  <c r="F15" i="75"/>
  <c r="F13" i="75"/>
  <c r="H26" i="79"/>
  <c r="G15" i="75"/>
  <c r="G13" i="75"/>
  <c r="I26" i="79"/>
  <c r="H15" i="75"/>
  <c r="H13" i="75"/>
  <c r="J26" i="79"/>
  <c r="I15" i="75"/>
  <c r="I13" i="75"/>
  <c r="K26" i="79"/>
  <c r="J15" i="75"/>
  <c r="J13" i="75"/>
  <c r="L26" i="79"/>
  <c r="K15" i="75"/>
  <c r="K13" i="75"/>
  <c r="M26" i="79"/>
  <c r="L15" i="75"/>
  <c r="L13" i="75"/>
  <c r="N26" i="79"/>
  <c r="M15" i="75"/>
  <c r="M13" i="75"/>
  <c r="O26" i="79"/>
  <c r="N15" i="75"/>
  <c r="N13" i="75"/>
  <c r="P26" i="79"/>
  <c r="O15" i="75"/>
  <c r="O13" i="75"/>
  <c r="Q26" i="79"/>
  <c r="P15" i="75"/>
  <c r="P13" i="75"/>
  <c r="R26" i="79"/>
  <c r="Q15" i="75"/>
  <c r="Q13" i="75"/>
  <c r="S26" i="79"/>
  <c r="R15" i="75"/>
  <c r="R13" i="75"/>
  <c r="T26" i="79"/>
  <c r="S15" i="75"/>
  <c r="S13" i="75"/>
  <c r="U26" i="79"/>
  <c r="T15" i="75"/>
  <c r="T13" i="75"/>
  <c r="V26" i="79"/>
  <c r="U15" i="75"/>
  <c r="U13" i="75"/>
  <c r="W26" i="79"/>
  <c r="V15" i="75"/>
  <c r="V13" i="75"/>
  <c r="A34" i="79"/>
  <c r="D34" i="79"/>
  <c r="E34" i="79"/>
  <c r="F34" i="79"/>
  <c r="G34" i="79"/>
  <c r="G45" i="79" s="1"/>
  <c r="H34" i="79"/>
  <c r="I34" i="79"/>
  <c r="J34" i="79"/>
  <c r="K34" i="79"/>
  <c r="L34" i="79"/>
  <c r="M34" i="79"/>
  <c r="N34" i="79"/>
  <c r="O34" i="79"/>
  <c r="P34" i="79"/>
  <c r="Q34" i="79"/>
  <c r="R34" i="79"/>
  <c r="S34" i="79"/>
  <c r="T34" i="79"/>
  <c r="U34" i="79"/>
  <c r="V34" i="79"/>
  <c r="W34" i="79"/>
  <c r="X34" i="79"/>
  <c r="A35" i="79"/>
  <c r="D35" i="79"/>
  <c r="E35" i="79"/>
  <c r="F35" i="79"/>
  <c r="G35" i="79"/>
  <c r="H35" i="79"/>
  <c r="I35" i="79"/>
  <c r="J35" i="79"/>
  <c r="K35" i="79"/>
  <c r="L35" i="79"/>
  <c r="M35" i="79"/>
  <c r="N35" i="79"/>
  <c r="O35" i="79"/>
  <c r="P35" i="79"/>
  <c r="Q35" i="79"/>
  <c r="R35" i="79"/>
  <c r="S35" i="79"/>
  <c r="T35" i="79"/>
  <c r="U35" i="79"/>
  <c r="V35" i="79"/>
  <c r="W35" i="79"/>
  <c r="X35" i="79"/>
  <c r="A36" i="79"/>
  <c r="D36" i="79"/>
  <c r="E36" i="79"/>
  <c r="F36" i="79"/>
  <c r="G36" i="79"/>
  <c r="H36" i="79"/>
  <c r="I36" i="79"/>
  <c r="J36" i="79"/>
  <c r="K36" i="79"/>
  <c r="L36" i="79"/>
  <c r="M36" i="79"/>
  <c r="N36" i="79"/>
  <c r="O36" i="79"/>
  <c r="P36" i="79"/>
  <c r="Q36" i="79"/>
  <c r="R36" i="79"/>
  <c r="S36" i="79"/>
  <c r="T36" i="79"/>
  <c r="U36" i="79"/>
  <c r="V36" i="79"/>
  <c r="W36" i="79"/>
  <c r="X36" i="79"/>
  <c r="A37" i="79"/>
  <c r="D37" i="79"/>
  <c r="E37" i="79"/>
  <c r="F37" i="79"/>
  <c r="G37" i="79"/>
  <c r="H37" i="79"/>
  <c r="I37" i="79"/>
  <c r="J37" i="79"/>
  <c r="K37" i="79"/>
  <c r="L37" i="79"/>
  <c r="M37" i="79"/>
  <c r="N37" i="79"/>
  <c r="O37" i="79"/>
  <c r="P37" i="79"/>
  <c r="Q37" i="79"/>
  <c r="R37" i="79"/>
  <c r="S37" i="79"/>
  <c r="T37" i="79"/>
  <c r="U37" i="79"/>
  <c r="V37" i="79"/>
  <c r="W37" i="79"/>
  <c r="X37" i="79"/>
  <c r="A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A39" i="79"/>
  <c r="D39" i="79"/>
  <c r="E39" i="79"/>
  <c r="F39" i="79"/>
  <c r="G39" i="79"/>
  <c r="H39" i="79"/>
  <c r="I39" i="79"/>
  <c r="J39" i="79"/>
  <c r="K39" i="79"/>
  <c r="L39" i="79"/>
  <c r="M39" i="79"/>
  <c r="N39" i="79"/>
  <c r="O39" i="79"/>
  <c r="P39" i="79"/>
  <c r="Q39" i="79"/>
  <c r="R39" i="79"/>
  <c r="S39" i="79"/>
  <c r="T39" i="79"/>
  <c r="U39" i="79"/>
  <c r="V39" i="79"/>
  <c r="W39" i="79"/>
  <c r="X39" i="79"/>
  <c r="A40" i="79"/>
  <c r="D40" i="79"/>
  <c r="E40" i="79"/>
  <c r="F40" i="79"/>
  <c r="G40" i="79"/>
  <c r="H40" i="79"/>
  <c r="I40" i="79"/>
  <c r="J40" i="79"/>
  <c r="K40" i="79"/>
  <c r="L40" i="79"/>
  <c r="M40" i="79"/>
  <c r="N40" i="79"/>
  <c r="O40" i="79"/>
  <c r="P40" i="79"/>
  <c r="Q40" i="79"/>
  <c r="R40" i="79"/>
  <c r="S40" i="79"/>
  <c r="T40" i="79"/>
  <c r="U40" i="79"/>
  <c r="V40" i="79"/>
  <c r="W40" i="79"/>
  <c r="X40" i="79"/>
  <c r="A41" i="79"/>
  <c r="D41" i="79"/>
  <c r="E41" i="79"/>
  <c r="F41" i="79"/>
  <c r="G41" i="79"/>
  <c r="H41" i="79"/>
  <c r="I41" i="79"/>
  <c r="J41" i="79"/>
  <c r="K41" i="79"/>
  <c r="L41" i="79"/>
  <c r="M41" i="79"/>
  <c r="N41" i="79"/>
  <c r="O41" i="79"/>
  <c r="P41" i="79"/>
  <c r="Q41" i="79"/>
  <c r="R41" i="79"/>
  <c r="S41" i="79"/>
  <c r="T41" i="79"/>
  <c r="U41" i="79"/>
  <c r="V41" i="79"/>
  <c r="W41" i="79"/>
  <c r="X41" i="79"/>
  <c r="A42" i="79"/>
  <c r="D42" i="79"/>
  <c r="E42" i="79"/>
  <c r="F42" i="79"/>
  <c r="G42" i="79"/>
  <c r="H42" i="79"/>
  <c r="I42" i="79"/>
  <c r="J42" i="79"/>
  <c r="K42" i="79"/>
  <c r="L42" i="79"/>
  <c r="M42" i="79"/>
  <c r="N42" i="79"/>
  <c r="O42" i="79"/>
  <c r="P42" i="79"/>
  <c r="Q42" i="79"/>
  <c r="R42" i="79"/>
  <c r="S42" i="79"/>
  <c r="T42" i="79"/>
  <c r="U42" i="79"/>
  <c r="V42" i="79"/>
  <c r="W42" i="79"/>
  <c r="X42" i="79"/>
  <c r="A43" i="79"/>
  <c r="D43" i="79"/>
  <c r="E43" i="79"/>
  <c r="F43" i="79"/>
  <c r="G43" i="79"/>
  <c r="H43" i="79"/>
  <c r="I43" i="79"/>
  <c r="J43" i="79"/>
  <c r="K43" i="79"/>
  <c r="L43" i="79"/>
  <c r="M43" i="79"/>
  <c r="N43" i="79"/>
  <c r="O43" i="79"/>
  <c r="P43" i="79"/>
  <c r="Q43" i="79"/>
  <c r="R43" i="79"/>
  <c r="S43" i="79"/>
  <c r="T43" i="79"/>
  <c r="U43" i="79"/>
  <c r="V43" i="79"/>
  <c r="W43" i="79"/>
  <c r="X43" i="79"/>
  <c r="A44" i="79"/>
  <c r="D44" i="79"/>
  <c r="E44" i="79"/>
  <c r="F44" i="79"/>
  <c r="G44" i="79"/>
  <c r="H44" i="79"/>
  <c r="I44" i="79"/>
  <c r="J44" i="79"/>
  <c r="K44" i="79"/>
  <c r="L44" i="79"/>
  <c r="M44" i="79"/>
  <c r="N44" i="79"/>
  <c r="O44" i="79"/>
  <c r="P44" i="79"/>
  <c r="Q44" i="79"/>
  <c r="R44" i="79"/>
  <c r="S44" i="79"/>
  <c r="T44" i="79"/>
  <c r="U44" i="79"/>
  <c r="V44" i="79"/>
  <c r="W44" i="79"/>
  <c r="X44" i="79"/>
  <c r="X45" i="79"/>
  <c r="H45" i="79"/>
  <c r="L45" i="79"/>
  <c r="P45" i="79"/>
  <c r="T45" i="79"/>
  <c r="V45" i="79"/>
  <c r="R45" i="79"/>
  <c r="N45" i="79"/>
  <c r="J45" i="79"/>
  <c r="F45" i="79"/>
  <c r="J42" i="57"/>
  <c r="G24" i="47" s="1"/>
  <c r="C29" i="46"/>
  <c r="G29" i="46"/>
  <c r="D29" i="46"/>
  <c r="H29" i="46"/>
  <c r="E29" i="46"/>
  <c r="I29" i="46"/>
  <c r="B29" i="46"/>
  <c r="F29" i="46"/>
  <c r="J29" i="46"/>
  <c r="S25" i="47" s="1"/>
  <c r="C13" i="46"/>
  <c r="G13" i="46"/>
  <c r="D13" i="46"/>
  <c r="H13" i="46"/>
  <c r="E13" i="46"/>
  <c r="I13" i="46"/>
  <c r="B13" i="46"/>
  <c r="F13" i="46"/>
  <c r="J13" i="46"/>
  <c r="C25" i="47"/>
  <c r="F13" i="19"/>
  <c r="F12" i="20"/>
  <c r="F14" i="31"/>
  <c r="B15" i="20"/>
  <c r="B16" i="19"/>
  <c r="C25" i="46"/>
  <c r="G25" i="46"/>
  <c r="D25" i="46"/>
  <c r="H25" i="46"/>
  <c r="E25" i="46"/>
  <c r="I25" i="46"/>
  <c r="F25" i="46"/>
  <c r="J25" i="46"/>
  <c r="O25" i="47"/>
  <c r="B25" i="46"/>
  <c r="C33" i="58"/>
  <c r="E14" i="19"/>
  <c r="E13" i="20"/>
  <c r="E15" i="31"/>
  <c r="C22" i="19"/>
  <c r="C21" i="20"/>
  <c r="C23" i="31"/>
  <c r="D15" i="19"/>
  <c r="D14" i="20"/>
  <c r="B14" i="50"/>
  <c r="B15" i="50"/>
  <c r="B32" i="61"/>
  <c r="C28" i="61"/>
  <c r="C21" i="46"/>
  <c r="G21" i="46"/>
  <c r="D21" i="46"/>
  <c r="H21" i="46"/>
  <c r="E21" i="46"/>
  <c r="I21" i="46"/>
  <c r="J21" i="46"/>
  <c r="K25" i="47" s="1"/>
  <c r="B21" i="46"/>
  <c r="F21" i="46"/>
  <c r="G16" i="19"/>
  <c r="G15" i="20"/>
  <c r="G17" i="31"/>
  <c r="L27" i="112"/>
  <c r="H27" i="112"/>
  <c r="D27" i="112"/>
  <c r="C27" i="59"/>
  <c r="Q12" i="75"/>
  <c r="C19" i="59"/>
  <c r="I12" i="75"/>
  <c r="C14" i="52"/>
  <c r="C15" i="52"/>
  <c r="C46" i="61"/>
  <c r="D42" i="61"/>
  <c r="C26" i="58"/>
  <c r="C21" i="58"/>
  <c r="U19" i="5"/>
  <c r="U13" i="48"/>
  <c r="U14" i="48"/>
  <c r="U28" i="5"/>
  <c r="U29" i="5"/>
  <c r="C16" i="58"/>
  <c r="E27" i="46"/>
  <c r="I27" i="46"/>
  <c r="B27" i="46"/>
  <c r="F27" i="46"/>
  <c r="J27" i="46"/>
  <c r="Q25" i="47" s="1"/>
  <c r="C27" i="46"/>
  <c r="G27" i="46"/>
  <c r="D27" i="46"/>
  <c r="H27" i="46"/>
  <c r="B15" i="46"/>
  <c r="T12" i="75"/>
  <c r="C30" i="59"/>
  <c r="P12" i="75"/>
  <c r="C26" i="59"/>
  <c r="L12" i="75"/>
  <c r="C22" i="59"/>
  <c r="H12" i="75"/>
  <c r="C18" i="59"/>
  <c r="D12" i="75"/>
  <c r="C14" i="59"/>
  <c r="C13" i="34"/>
  <c r="G13" i="34"/>
  <c r="D13" i="34"/>
  <c r="H13" i="34"/>
  <c r="E13" i="34"/>
  <c r="I13" i="34"/>
  <c r="B13" i="34"/>
  <c r="F13" i="34"/>
  <c r="B14" i="49"/>
  <c r="B15" i="49"/>
  <c r="B25" i="61"/>
  <c r="M27" i="112"/>
  <c r="I27" i="112"/>
  <c r="E27" i="112"/>
  <c r="P40" i="112"/>
  <c r="P27" i="112"/>
  <c r="C30" i="58"/>
  <c r="C25" i="58"/>
  <c r="C19" i="58"/>
  <c r="C14" i="58"/>
  <c r="V26" i="110"/>
  <c r="V24" i="110"/>
  <c r="V22" i="110"/>
  <c r="R26" i="110"/>
  <c r="R24" i="110"/>
  <c r="R22" i="110"/>
  <c r="N26" i="110"/>
  <c r="N24" i="110"/>
  <c r="N22" i="110"/>
  <c r="J26" i="110"/>
  <c r="J24" i="110"/>
  <c r="J22" i="110"/>
  <c r="F26" i="110"/>
  <c r="F24" i="110"/>
  <c r="F22" i="110"/>
  <c r="S26" i="110"/>
  <c r="O26" i="110"/>
  <c r="K26" i="110"/>
  <c r="G26" i="110"/>
  <c r="C26" i="110"/>
  <c r="W16" i="110"/>
  <c r="P13" i="105"/>
  <c r="P35" i="110"/>
  <c r="P33" i="110"/>
  <c r="L13" i="105"/>
  <c r="L35" i="110"/>
  <c r="L33" i="110"/>
  <c r="D13" i="105"/>
  <c r="D35" i="110"/>
  <c r="D33" i="110"/>
  <c r="G12" i="104"/>
  <c r="G35" i="110"/>
  <c r="G33" i="110"/>
  <c r="V12" i="104"/>
  <c r="V35" i="110"/>
  <c r="V33" i="110"/>
  <c r="C31" i="59"/>
  <c r="U12" i="75"/>
  <c r="C15" i="59"/>
  <c r="E35" i="64"/>
  <c r="E33" i="64"/>
  <c r="E42" i="112"/>
  <c r="E12" i="75"/>
  <c r="B27" i="112"/>
  <c r="C31" i="58"/>
  <c r="C15" i="58"/>
  <c r="Q19" i="5"/>
  <c r="Q13" i="48"/>
  <c r="Q14" i="48"/>
  <c r="Q28" i="5"/>
  <c r="Q29" i="5"/>
  <c r="C24" i="58"/>
  <c r="B23" i="46"/>
  <c r="C23" i="46"/>
  <c r="S12" i="75"/>
  <c r="C29" i="59"/>
  <c r="S35" i="64"/>
  <c r="O12" i="75"/>
  <c r="C25" i="59"/>
  <c r="O35" i="64"/>
  <c r="K12" i="75"/>
  <c r="C21" i="59"/>
  <c r="G12" i="75"/>
  <c r="C17" i="59"/>
  <c r="C12" i="75"/>
  <c r="C13" i="59"/>
  <c r="C35" i="64"/>
  <c r="C33" i="64"/>
  <c r="D14" i="36"/>
  <c r="D13" i="36"/>
  <c r="D12" i="36"/>
  <c r="D15" i="36"/>
  <c r="D17" i="36"/>
  <c r="D16" i="36"/>
  <c r="C12" i="34"/>
  <c r="G12" i="34"/>
  <c r="D12" i="34"/>
  <c r="H12" i="34"/>
  <c r="E12" i="34"/>
  <c r="I12" i="34"/>
  <c r="B12" i="34"/>
  <c r="F12" i="34"/>
  <c r="S28" i="10"/>
  <c r="S29" i="10"/>
  <c r="O28" i="10"/>
  <c r="O29" i="10"/>
  <c r="K28" i="10"/>
  <c r="K29" i="10"/>
  <c r="G28" i="10"/>
  <c r="G29" i="10"/>
  <c r="C28" i="10"/>
  <c r="C29" i="10"/>
  <c r="S28" i="8"/>
  <c r="S29" i="8"/>
  <c r="S27" i="112"/>
  <c r="S40" i="112"/>
  <c r="O28" i="8"/>
  <c r="O29" i="8"/>
  <c r="O40" i="112"/>
  <c r="K28" i="8"/>
  <c r="K29" i="8"/>
  <c r="K40" i="112"/>
  <c r="G28" i="8"/>
  <c r="G29" i="8"/>
  <c r="C28" i="8"/>
  <c r="C29" i="8"/>
  <c r="V28" i="7"/>
  <c r="V29" i="7"/>
  <c r="V27" i="112"/>
  <c r="R28" i="7"/>
  <c r="R29" i="7"/>
  <c r="R27" i="112"/>
  <c r="N28" i="7"/>
  <c r="N29" i="7"/>
  <c r="N27" i="112"/>
  <c r="N40" i="112"/>
  <c r="J28" i="7"/>
  <c r="J29" i="7"/>
  <c r="J27" i="112"/>
  <c r="F28" i="7"/>
  <c r="F29" i="7"/>
  <c r="F27" i="112"/>
  <c r="L40" i="112"/>
  <c r="H40" i="112"/>
  <c r="D40" i="112"/>
  <c r="T27" i="112"/>
  <c r="T40" i="112"/>
  <c r="C29" i="58"/>
  <c r="C23" i="58"/>
  <c r="C18" i="58"/>
  <c r="C13" i="58"/>
  <c r="E40" i="112"/>
  <c r="S24" i="110"/>
  <c r="S22" i="110"/>
  <c r="O24" i="110"/>
  <c r="O22" i="110"/>
  <c r="K24" i="110"/>
  <c r="K22" i="110"/>
  <c r="G24" i="110"/>
  <c r="G22" i="110"/>
  <c r="C24" i="110"/>
  <c r="B22" i="64"/>
  <c r="C23" i="59"/>
  <c r="M35" i="64"/>
  <c r="M12" i="75"/>
  <c r="C14" i="34"/>
  <c r="G14" i="34"/>
  <c r="D14" i="34"/>
  <c r="H14" i="34"/>
  <c r="E14" i="34"/>
  <c r="I14" i="34"/>
  <c r="B14" i="34"/>
  <c r="F14" i="34"/>
  <c r="C20" i="58"/>
  <c r="I35" i="64"/>
  <c r="E31" i="46"/>
  <c r="I31" i="46"/>
  <c r="C31" i="46"/>
  <c r="G31" i="46"/>
  <c r="H31" i="46"/>
  <c r="B31" i="46"/>
  <c r="J31" i="46"/>
  <c r="U25" i="47" s="1"/>
  <c r="D31" i="46"/>
  <c r="F31" i="46"/>
  <c r="E19" i="46"/>
  <c r="I19" i="46"/>
  <c r="B19" i="46"/>
  <c r="F19" i="46"/>
  <c r="J19" i="46"/>
  <c r="I25" i="47" s="1"/>
  <c r="C19" i="46"/>
  <c r="G19" i="46"/>
  <c r="D19" i="46"/>
  <c r="H19" i="46"/>
  <c r="C32" i="59"/>
  <c r="V35" i="64"/>
  <c r="V33" i="64"/>
  <c r="V42" i="112"/>
  <c r="V12" i="75"/>
  <c r="C28" i="59"/>
  <c r="R35" i="64"/>
  <c r="R12" i="75"/>
  <c r="C24" i="59"/>
  <c r="N35" i="64"/>
  <c r="N12" i="75"/>
  <c r="C20" i="59"/>
  <c r="J35" i="64"/>
  <c r="J12" i="75"/>
  <c r="C16" i="59"/>
  <c r="F12" i="75"/>
  <c r="C12" i="59"/>
  <c r="B35" i="64"/>
  <c r="B12" i="75"/>
  <c r="G14" i="20"/>
  <c r="G16" i="31"/>
  <c r="D13" i="20"/>
  <c r="E12" i="20"/>
  <c r="E14" i="31"/>
  <c r="F11" i="20"/>
  <c r="F13" i="31"/>
  <c r="O27" i="112"/>
  <c r="K27" i="112"/>
  <c r="G27" i="112"/>
  <c r="G40" i="112"/>
  <c r="C27" i="112"/>
  <c r="C27" i="58"/>
  <c r="C22" i="58"/>
  <c r="C17" i="58"/>
  <c r="I40" i="112"/>
  <c r="C40" i="112"/>
  <c r="U26" i="110"/>
  <c r="Q26" i="110"/>
  <c r="M26" i="110"/>
  <c r="I26" i="110"/>
  <c r="E26" i="110"/>
  <c r="R35" i="110"/>
  <c r="R33" i="110"/>
  <c r="R13" i="105"/>
  <c r="N35" i="110"/>
  <c r="N33" i="110"/>
  <c r="N13" i="105"/>
  <c r="B35" i="110"/>
  <c r="B13" i="105"/>
  <c r="K35" i="110"/>
  <c r="K33" i="110"/>
  <c r="K13" i="104"/>
  <c r="O12" i="104"/>
  <c r="O35" i="110"/>
  <c r="O33" i="110"/>
  <c r="U12" i="104"/>
  <c r="U35" i="110"/>
  <c r="U33" i="110"/>
  <c r="Q12" i="104"/>
  <c r="Q35" i="110"/>
  <c r="Q33" i="110"/>
  <c r="M12" i="104"/>
  <c r="M35" i="110"/>
  <c r="M33" i="110"/>
  <c r="E12" i="104"/>
  <c r="E35" i="110"/>
  <c r="E33" i="110"/>
  <c r="I12" i="104"/>
  <c r="I35" i="110"/>
  <c r="I33" i="110"/>
  <c r="M40" i="112"/>
  <c r="B40" i="112"/>
  <c r="U24" i="110"/>
  <c r="U22" i="110"/>
  <c r="Q24" i="110"/>
  <c r="Q22" i="110"/>
  <c r="M24" i="110"/>
  <c r="M22" i="110"/>
  <c r="I24" i="110"/>
  <c r="I22" i="110"/>
  <c r="E24" i="110"/>
  <c r="E22" i="110"/>
  <c r="T26" i="110"/>
  <c r="T24" i="110"/>
  <c r="T22" i="110"/>
  <c r="P26" i="110"/>
  <c r="P24" i="110"/>
  <c r="P22" i="110"/>
  <c r="L26" i="110"/>
  <c r="L24" i="110"/>
  <c r="L22" i="110"/>
  <c r="H26" i="110"/>
  <c r="H24" i="110"/>
  <c r="H22" i="110"/>
  <c r="D26" i="110"/>
  <c r="D24" i="110"/>
  <c r="D22" i="110"/>
  <c r="W25" i="110"/>
  <c r="S13" i="104"/>
  <c r="H12" i="104"/>
  <c r="H35" i="110"/>
  <c r="H33" i="110"/>
  <c r="J17" i="102"/>
  <c r="J11" i="104"/>
  <c r="J43" i="61"/>
  <c r="S12" i="116"/>
  <c r="C29" i="117"/>
  <c r="O12" i="116"/>
  <c r="C25" i="117"/>
  <c r="K12" i="116"/>
  <c r="C21" i="117"/>
  <c r="K35" i="64"/>
  <c r="G12" i="116"/>
  <c r="C17" i="117"/>
  <c r="G35" i="64"/>
  <c r="C12" i="116"/>
  <c r="C13" i="117"/>
  <c r="H22" i="61"/>
  <c r="C32" i="117"/>
  <c r="V12" i="116"/>
  <c r="C28" i="117"/>
  <c r="R12" i="116"/>
  <c r="C24" i="117"/>
  <c r="N12" i="116"/>
  <c r="C20" i="117"/>
  <c r="J12" i="116"/>
  <c r="C16" i="117"/>
  <c r="F35" i="64"/>
  <c r="F33" i="64"/>
  <c r="F12" i="116"/>
  <c r="C12" i="117"/>
  <c r="B12" i="116"/>
  <c r="G29" i="61"/>
  <c r="T17" i="102"/>
  <c r="T11" i="104"/>
  <c r="F17" i="102"/>
  <c r="F11" i="104"/>
  <c r="T12" i="116"/>
  <c r="C30" i="117"/>
  <c r="T35" i="64"/>
  <c r="T33" i="64"/>
  <c r="P12" i="116"/>
  <c r="C26" i="117"/>
  <c r="P35" i="64"/>
  <c r="L12" i="116"/>
  <c r="C22" i="117"/>
  <c r="L35" i="64"/>
  <c r="H12" i="116"/>
  <c r="C18" i="117"/>
  <c r="H35" i="64"/>
  <c r="D12" i="116"/>
  <c r="C14" i="117"/>
  <c r="D35" i="64"/>
  <c r="D33" i="64"/>
  <c r="D42" i="112"/>
  <c r="T14" i="3"/>
  <c r="C16" i="100"/>
  <c r="C16" i="102"/>
  <c r="C12" i="100"/>
  <c r="C12" i="102"/>
  <c r="C17" i="102"/>
  <c r="C11" i="104"/>
  <c r="T19" i="3"/>
  <c r="T16" i="3"/>
  <c r="R20" i="3"/>
  <c r="T20" i="3"/>
  <c r="T18" i="3"/>
  <c r="C18" i="63"/>
  <c r="F36" i="64"/>
  <c r="T12" i="3"/>
  <c r="H17" i="36"/>
  <c r="C15" i="36"/>
  <c r="H15" i="36"/>
  <c r="E34" i="2"/>
  <c r="G34" i="2"/>
  <c r="H34" i="2"/>
  <c r="V15" i="112"/>
  <c r="E26" i="2"/>
  <c r="H26" i="2"/>
  <c r="N15" i="112"/>
  <c r="G26" i="2"/>
  <c r="E18" i="2"/>
  <c r="H18" i="2"/>
  <c r="F15" i="112"/>
  <c r="G18" i="2"/>
  <c r="C16" i="36"/>
  <c r="H16" i="36"/>
  <c r="C13" i="36"/>
  <c r="H13" i="36"/>
  <c r="B19" i="36"/>
  <c r="H14" i="31"/>
  <c r="D14" i="31"/>
  <c r="J14" i="31"/>
  <c r="D15" i="47"/>
  <c r="G13" i="31"/>
  <c r="C13" i="31"/>
  <c r="J13" i="31"/>
  <c r="C15" i="47"/>
  <c r="H28" i="2"/>
  <c r="P15" i="112"/>
  <c r="E30" i="2"/>
  <c r="H30" i="2"/>
  <c r="R15" i="112"/>
  <c r="G30" i="2"/>
  <c r="E22" i="2"/>
  <c r="H22" i="2"/>
  <c r="J15" i="112"/>
  <c r="G22" i="2"/>
  <c r="H17" i="2"/>
  <c r="E15" i="112"/>
  <c r="H15" i="31"/>
  <c r="H19" i="31"/>
  <c r="H23" i="31"/>
  <c r="H27" i="31"/>
  <c r="H31" i="31"/>
  <c r="H12" i="31"/>
  <c r="H16" i="31"/>
  <c r="H20" i="31"/>
  <c r="H24" i="31"/>
  <c r="H28" i="31"/>
  <c r="H13" i="31"/>
  <c r="H17" i="31"/>
  <c r="H21" i="31"/>
  <c r="H25" i="31"/>
  <c r="H29" i="31"/>
  <c r="D15" i="31"/>
  <c r="D12" i="31"/>
  <c r="J12" i="31"/>
  <c r="B15" i="47"/>
  <c r="D16" i="31"/>
  <c r="D13" i="31"/>
  <c r="C13" i="26"/>
  <c r="C14" i="36"/>
  <c r="H14" i="36"/>
  <c r="C14" i="26"/>
  <c r="C11" i="26"/>
  <c r="C12" i="36"/>
  <c r="C15" i="26"/>
  <c r="E32" i="2"/>
  <c r="H32" i="2"/>
  <c r="T15" i="112"/>
  <c r="E28" i="2"/>
  <c r="E24" i="2"/>
  <c r="H24" i="2"/>
  <c r="L15" i="112"/>
  <c r="E20" i="2"/>
  <c r="H20" i="2"/>
  <c r="H15" i="112"/>
  <c r="E16" i="2"/>
  <c r="H16" i="2"/>
  <c r="D15" i="112"/>
  <c r="G15" i="2"/>
  <c r="H15" i="2"/>
  <c r="C15" i="112"/>
  <c r="B33" i="64"/>
  <c r="F42" i="112"/>
  <c r="C42" i="112"/>
  <c r="J15" i="31"/>
  <c r="E15" i="47"/>
  <c r="W15" i="112"/>
  <c r="T13" i="104"/>
  <c r="T12" i="104"/>
  <c r="T35" i="110"/>
  <c r="T33" i="110"/>
  <c r="T42" i="112"/>
  <c r="I22" i="61"/>
  <c r="C20" i="63"/>
  <c r="H36" i="64"/>
  <c r="H33" i="64"/>
  <c r="H42" i="112"/>
  <c r="K43" i="61"/>
  <c r="I13" i="104"/>
  <c r="M13" i="104"/>
  <c r="U13" i="104"/>
  <c r="J40" i="112"/>
  <c r="B16" i="34"/>
  <c r="D16" i="34"/>
  <c r="B31" i="112"/>
  <c r="V13" i="104"/>
  <c r="W26" i="110"/>
  <c r="V40" i="112"/>
  <c r="C23" i="19"/>
  <c r="C22" i="20"/>
  <c r="C24" i="31"/>
  <c r="C12" i="104"/>
  <c r="C35" i="110"/>
  <c r="C33" i="110"/>
  <c r="C13" i="104"/>
  <c r="H29" i="61"/>
  <c r="I16" i="34"/>
  <c r="G16" i="34"/>
  <c r="F40" i="112"/>
  <c r="U27" i="112"/>
  <c r="U40" i="112"/>
  <c r="R40" i="112"/>
  <c r="B16" i="20"/>
  <c r="B17" i="19"/>
  <c r="F14" i="19"/>
  <c r="F13" i="20"/>
  <c r="F15" i="31"/>
  <c r="J12" i="104"/>
  <c r="J35" i="110"/>
  <c r="J33" i="110"/>
  <c r="J13" i="104"/>
  <c r="H13" i="104"/>
  <c r="E13" i="104"/>
  <c r="Q13" i="104"/>
  <c r="O13" i="104"/>
  <c r="W24" i="110"/>
  <c r="C22" i="110"/>
  <c r="J12" i="20"/>
  <c r="E16" i="34"/>
  <c r="C16" i="34"/>
  <c r="D19" i="36"/>
  <c r="Q27" i="112"/>
  <c r="W27" i="112"/>
  <c r="G13" i="104"/>
  <c r="C32" i="58"/>
  <c r="U35" i="64"/>
  <c r="U33" i="64"/>
  <c r="U42" i="112"/>
  <c r="D46" i="61"/>
  <c r="E42" i="61"/>
  <c r="D44" i="61"/>
  <c r="D45" i="61"/>
  <c r="G17" i="19"/>
  <c r="G16" i="20"/>
  <c r="G18" i="31"/>
  <c r="D16" i="19"/>
  <c r="D15" i="20"/>
  <c r="D17" i="31"/>
  <c r="E15" i="19"/>
  <c r="E14" i="20"/>
  <c r="E16" i="31"/>
  <c r="B17" i="31"/>
  <c r="C19" i="36"/>
  <c r="H12" i="36"/>
  <c r="H19" i="36"/>
  <c r="F12" i="104"/>
  <c r="F35" i="110"/>
  <c r="F33" i="110"/>
  <c r="F13" i="104"/>
  <c r="C19" i="63"/>
  <c r="G36" i="64"/>
  <c r="G33" i="64"/>
  <c r="G42" i="112"/>
  <c r="W35" i="110"/>
  <c r="B33" i="110"/>
  <c r="W33" i="110"/>
  <c r="F16" i="34"/>
  <c r="H16" i="34"/>
  <c r="C28" i="58"/>
  <c r="Q35" i="64"/>
  <c r="C21" i="61"/>
  <c r="F14" i="63"/>
  <c r="J11" i="20"/>
  <c r="C30" i="61"/>
  <c r="C31" i="61"/>
  <c r="C32" i="61"/>
  <c r="D28" i="61"/>
  <c r="D15" i="35"/>
  <c r="D14" i="35"/>
  <c r="D17" i="35"/>
  <c r="D13" i="35"/>
  <c r="D16" i="35"/>
  <c r="D12" i="35"/>
  <c r="J22" i="61"/>
  <c r="D30" i="61"/>
  <c r="D31" i="61"/>
  <c r="D32" i="61"/>
  <c r="E28" i="61"/>
  <c r="C23" i="61"/>
  <c r="B15" i="63"/>
  <c r="C25" i="61"/>
  <c r="C12" i="35"/>
  <c r="C16" i="35"/>
  <c r="C20" i="35"/>
  <c r="C14" i="35"/>
  <c r="C17" i="35"/>
  <c r="C21" i="35"/>
  <c r="C13" i="35"/>
  <c r="C22" i="35"/>
  <c r="C19" i="35"/>
  <c r="C23" i="35"/>
  <c r="C15" i="35"/>
  <c r="C18" i="35"/>
  <c r="C24" i="35"/>
  <c r="W22" i="110"/>
  <c r="B18" i="31"/>
  <c r="G12" i="35"/>
  <c r="G16" i="35"/>
  <c r="G13" i="35"/>
  <c r="G15" i="35"/>
  <c r="G18" i="35"/>
  <c r="G14" i="35"/>
  <c r="G17" i="35"/>
  <c r="C23" i="20"/>
  <c r="C25" i="31"/>
  <c r="C24" i="19"/>
  <c r="B13" i="35"/>
  <c r="B17" i="35"/>
  <c r="B16" i="35"/>
  <c r="B12" i="35"/>
  <c r="B15" i="35"/>
  <c r="B18" i="35"/>
  <c r="B14" i="35"/>
  <c r="L43" i="61"/>
  <c r="H15" i="35"/>
  <c r="H19" i="35"/>
  <c r="H14" i="35"/>
  <c r="H17" i="35"/>
  <c r="H20" i="35"/>
  <c r="H24" i="35"/>
  <c r="H28" i="35"/>
  <c r="H13" i="35"/>
  <c r="H16" i="35"/>
  <c r="H21" i="35"/>
  <c r="H25" i="35"/>
  <c r="H29" i="35"/>
  <c r="H12" i="35"/>
  <c r="H22" i="35"/>
  <c r="H26" i="35"/>
  <c r="H30" i="35"/>
  <c r="H23" i="35"/>
  <c r="H27" i="35"/>
  <c r="H18" i="35"/>
  <c r="H31" i="35"/>
  <c r="E12" i="43"/>
  <c r="I12" i="43"/>
  <c r="D13" i="43"/>
  <c r="H13" i="43"/>
  <c r="C14" i="43"/>
  <c r="G14" i="43"/>
  <c r="B15" i="43"/>
  <c r="F15" i="43"/>
  <c r="E16" i="43"/>
  <c r="I16" i="43"/>
  <c r="D17" i="43"/>
  <c r="H17" i="43"/>
  <c r="C18" i="43"/>
  <c r="G18" i="43"/>
  <c r="B19" i="43"/>
  <c r="J19" i="43"/>
  <c r="I21" i="47"/>
  <c r="F19" i="43"/>
  <c r="E20" i="43"/>
  <c r="I20" i="43"/>
  <c r="D21" i="43"/>
  <c r="H21" i="43"/>
  <c r="B12" i="43"/>
  <c r="F12" i="43"/>
  <c r="E13" i="43"/>
  <c r="I13" i="43"/>
  <c r="D14" i="43"/>
  <c r="H14" i="43"/>
  <c r="C15" i="43"/>
  <c r="G15" i="43"/>
  <c r="B16" i="43"/>
  <c r="J16" i="43"/>
  <c r="F21" i="47"/>
  <c r="F16" i="43"/>
  <c r="E17" i="43"/>
  <c r="I17" i="43"/>
  <c r="D18" i="43"/>
  <c r="H18" i="43"/>
  <c r="C19" i="43"/>
  <c r="G19" i="43"/>
  <c r="B20" i="43"/>
  <c r="C12" i="43"/>
  <c r="G12" i="43"/>
  <c r="B13" i="43"/>
  <c r="F13" i="43"/>
  <c r="E14" i="43"/>
  <c r="I14" i="43"/>
  <c r="D15" i="43"/>
  <c r="H15" i="43"/>
  <c r="C16" i="43"/>
  <c r="G16" i="43"/>
  <c r="B17" i="43"/>
  <c r="F17" i="43"/>
  <c r="E18" i="43"/>
  <c r="I18" i="43"/>
  <c r="D19" i="43"/>
  <c r="H19" i="43"/>
  <c r="C20" i="43"/>
  <c r="G20" i="43"/>
  <c r="B21" i="43"/>
  <c r="F21" i="43"/>
  <c r="E22" i="43"/>
  <c r="I22" i="43"/>
  <c r="D23" i="43"/>
  <c r="H23" i="43"/>
  <c r="C13" i="43"/>
  <c r="H16" i="43"/>
  <c r="F18" i="43"/>
  <c r="D20" i="43"/>
  <c r="C21" i="43"/>
  <c r="B22" i="43"/>
  <c r="G22" i="43"/>
  <c r="C23" i="43"/>
  <c r="I23" i="43"/>
  <c r="D24" i="43"/>
  <c r="H24" i="43"/>
  <c r="C25" i="43"/>
  <c r="G25" i="43"/>
  <c r="B26" i="43"/>
  <c r="F26" i="43"/>
  <c r="E27" i="43"/>
  <c r="I27" i="43"/>
  <c r="D28" i="43"/>
  <c r="H28" i="43"/>
  <c r="C29" i="43"/>
  <c r="G29" i="43"/>
  <c r="B30" i="43"/>
  <c r="F30" i="43"/>
  <c r="E31" i="43"/>
  <c r="I31" i="43"/>
  <c r="G13" i="43"/>
  <c r="E15" i="43"/>
  <c r="C17" i="43"/>
  <c r="F20" i="43"/>
  <c r="E21" i="43"/>
  <c r="C22" i="43"/>
  <c r="H22" i="43"/>
  <c r="E23" i="43"/>
  <c r="E24" i="43"/>
  <c r="I24" i="43"/>
  <c r="D25" i="43"/>
  <c r="H25" i="43"/>
  <c r="C26" i="43"/>
  <c r="G26" i="43"/>
  <c r="B27" i="43"/>
  <c r="F27" i="43"/>
  <c r="E28" i="43"/>
  <c r="I28" i="43"/>
  <c r="D29" i="43"/>
  <c r="H29" i="43"/>
  <c r="C30" i="43"/>
  <c r="G30" i="43"/>
  <c r="B31" i="43"/>
  <c r="F31" i="43"/>
  <c r="D12" i="43"/>
  <c r="B14" i="43"/>
  <c r="I15" i="43"/>
  <c r="G17" i="43"/>
  <c r="E19" i="43"/>
  <c r="H20" i="43"/>
  <c r="G21" i="43"/>
  <c r="D22" i="43"/>
  <c r="F23" i="43"/>
  <c r="B24" i="43"/>
  <c r="F24" i="43"/>
  <c r="E25" i="43"/>
  <c r="I25" i="43"/>
  <c r="D26" i="43"/>
  <c r="H26" i="43"/>
  <c r="C27" i="43"/>
  <c r="G27" i="43"/>
  <c r="B28" i="43"/>
  <c r="F28" i="43"/>
  <c r="E29" i="43"/>
  <c r="I29" i="43"/>
  <c r="D30" i="43"/>
  <c r="H30" i="43"/>
  <c r="C31" i="43"/>
  <c r="G31" i="43"/>
  <c r="D16" i="43"/>
  <c r="I21" i="43"/>
  <c r="C24" i="43"/>
  <c r="H27" i="43"/>
  <c r="F29" i="43"/>
  <c r="D31" i="43"/>
  <c r="B18" i="43"/>
  <c r="F22" i="43"/>
  <c r="G24" i="43"/>
  <c r="E26" i="43"/>
  <c r="C28" i="43"/>
  <c r="H31" i="43"/>
  <c r="H12" i="43"/>
  <c r="I19" i="43"/>
  <c r="B23" i="43"/>
  <c r="B25" i="43"/>
  <c r="I26" i="43"/>
  <c r="G28" i="43"/>
  <c r="E30" i="43"/>
  <c r="F14" i="43"/>
  <c r="G23" i="43"/>
  <c r="F25" i="43"/>
  <c r="D27" i="43"/>
  <c r="B29" i="43"/>
  <c r="J29" i="43"/>
  <c r="I30" i="43"/>
  <c r="F15" i="19"/>
  <c r="F14" i="20"/>
  <c r="F16" i="31"/>
  <c r="J16" i="31"/>
  <c r="F15" i="47"/>
  <c r="B37" i="112"/>
  <c r="F13" i="35"/>
  <c r="F16" i="35"/>
  <c r="F12" i="35"/>
  <c r="F15" i="35"/>
  <c r="F14" i="35"/>
  <c r="E15" i="20"/>
  <c r="E17" i="35"/>
  <c r="E16" i="19"/>
  <c r="G17" i="20"/>
  <c r="G19" i="31"/>
  <c r="G18" i="19"/>
  <c r="B18" i="19"/>
  <c r="B17" i="20"/>
  <c r="D17" i="19"/>
  <c r="D16" i="20"/>
  <c r="D18" i="31"/>
  <c r="E44" i="61"/>
  <c r="E45" i="61"/>
  <c r="E46" i="61"/>
  <c r="F42" i="61"/>
  <c r="Q40" i="112"/>
  <c r="W40" i="112"/>
  <c r="E14" i="35"/>
  <c r="E12" i="35"/>
  <c r="E15" i="35"/>
  <c r="E13" i="35"/>
  <c r="E16" i="35"/>
  <c r="J14" i="20"/>
  <c r="I14" i="35"/>
  <c r="I18" i="35"/>
  <c r="I23" i="35"/>
  <c r="I27" i="35"/>
  <c r="I31" i="35"/>
  <c r="I17" i="35"/>
  <c r="I20" i="35"/>
  <c r="I24" i="35"/>
  <c r="I28" i="35"/>
  <c r="I13" i="35"/>
  <c r="I16" i="35"/>
  <c r="I19" i="35"/>
  <c r="I21" i="35"/>
  <c r="I25" i="35"/>
  <c r="I29" i="35"/>
  <c r="I26" i="35"/>
  <c r="I12" i="35"/>
  <c r="I30" i="35"/>
  <c r="I15" i="35"/>
  <c r="I22" i="35"/>
  <c r="I29" i="61"/>
  <c r="C21" i="63"/>
  <c r="I36" i="64"/>
  <c r="J13" i="20"/>
  <c r="B42" i="112"/>
  <c r="W35" i="64"/>
  <c r="I33" i="64"/>
  <c r="J15" i="43"/>
  <c r="E21" i="47"/>
  <c r="J15" i="35"/>
  <c r="E17" i="47"/>
  <c r="E13" i="47"/>
  <c r="J13" i="35"/>
  <c r="C17" i="47"/>
  <c r="C13" i="47"/>
  <c r="C25" i="35"/>
  <c r="F15" i="63"/>
  <c r="D21" i="61"/>
  <c r="F44" i="61"/>
  <c r="F45" i="61"/>
  <c r="F46" i="61"/>
  <c r="G42" i="61"/>
  <c r="B35" i="112"/>
  <c r="J25" i="43"/>
  <c r="J30" i="43"/>
  <c r="J26" i="43"/>
  <c r="J22" i="43"/>
  <c r="B19" i="31"/>
  <c r="E17" i="19"/>
  <c r="E16" i="20"/>
  <c r="J23" i="43"/>
  <c r="J18" i="43"/>
  <c r="H21" i="47"/>
  <c r="J14" i="35"/>
  <c r="D17" i="47"/>
  <c r="D13" i="47"/>
  <c r="J12" i="35"/>
  <c r="B17" i="47"/>
  <c r="B19" i="35"/>
  <c r="C25" i="19"/>
  <c r="C24" i="20"/>
  <c r="D18" i="35"/>
  <c r="B19" i="19"/>
  <c r="B18" i="20"/>
  <c r="F16" i="19"/>
  <c r="F15" i="20"/>
  <c r="J31" i="43"/>
  <c r="J16" i="35"/>
  <c r="F17" i="47"/>
  <c r="F13" i="47"/>
  <c r="C24" i="61"/>
  <c r="E15" i="63"/>
  <c r="D15" i="63"/>
  <c r="C25" i="64"/>
  <c r="K22" i="61"/>
  <c r="C22" i="63"/>
  <c r="J36" i="64"/>
  <c r="J33" i="64"/>
  <c r="J42" i="112"/>
  <c r="J29" i="61"/>
  <c r="E17" i="31"/>
  <c r="J27" i="43"/>
  <c r="J20" i="43"/>
  <c r="J12" i="43"/>
  <c r="B21" i="47"/>
  <c r="D18" i="19"/>
  <c r="D17" i="20"/>
  <c r="G19" i="19"/>
  <c r="G18" i="20"/>
  <c r="J28" i="43"/>
  <c r="J24" i="43"/>
  <c r="J14" i="43"/>
  <c r="D21" i="47"/>
  <c r="J21" i="43"/>
  <c r="J17" i="43"/>
  <c r="G21" i="47"/>
  <c r="J13" i="43"/>
  <c r="C21" i="47"/>
  <c r="M43" i="61"/>
  <c r="G19" i="35"/>
  <c r="E32" i="61"/>
  <c r="F28" i="61"/>
  <c r="E30" i="61"/>
  <c r="E31" i="61"/>
  <c r="E18" i="19"/>
  <c r="E17" i="20"/>
  <c r="D19" i="31"/>
  <c r="D19" i="35"/>
  <c r="L21" i="47"/>
  <c r="P21" i="47"/>
  <c r="T21" i="47"/>
  <c r="J21" i="47"/>
  <c r="N21" i="47"/>
  <c r="R21" i="47"/>
  <c r="L22" i="61"/>
  <c r="B19" i="20"/>
  <c r="B20" i="19"/>
  <c r="G44" i="61"/>
  <c r="G45" i="61"/>
  <c r="G46" i="61"/>
  <c r="H42" i="61"/>
  <c r="N43" i="61"/>
  <c r="G19" i="20"/>
  <c r="G20" i="19"/>
  <c r="F17" i="31"/>
  <c r="J17" i="31"/>
  <c r="G15" i="47"/>
  <c r="F17" i="35"/>
  <c r="J17" i="35"/>
  <c r="G17" i="47"/>
  <c r="B13" i="47"/>
  <c r="B20" i="31"/>
  <c r="B20" i="35"/>
  <c r="C25" i="20"/>
  <c r="C26" i="19"/>
  <c r="F30" i="61"/>
  <c r="F31" i="61"/>
  <c r="F32" i="61"/>
  <c r="G28" i="61"/>
  <c r="D19" i="19"/>
  <c r="D18" i="20"/>
  <c r="K29" i="61"/>
  <c r="M21" i="47"/>
  <c r="Q21" i="47"/>
  <c r="U21" i="47"/>
  <c r="K21" i="47"/>
  <c r="O21" i="47"/>
  <c r="S21" i="47"/>
  <c r="G20" i="31"/>
  <c r="G20" i="35"/>
  <c r="J15" i="20"/>
  <c r="F17" i="19"/>
  <c r="F16" i="20"/>
  <c r="C26" i="31"/>
  <c r="C26" i="35"/>
  <c r="E18" i="31"/>
  <c r="E18" i="35"/>
  <c r="B48" i="112"/>
  <c r="D23" i="61"/>
  <c r="B16" i="63"/>
  <c r="D25" i="61"/>
  <c r="I42" i="112"/>
  <c r="G13" i="47"/>
  <c r="M22" i="61"/>
  <c r="C24" i="63"/>
  <c r="L36" i="64"/>
  <c r="L33" i="64"/>
  <c r="L42" i="112"/>
  <c r="E19" i="31"/>
  <c r="E19" i="35"/>
  <c r="D24" i="61"/>
  <c r="E16" i="63"/>
  <c r="D16" i="63"/>
  <c r="D25" i="64"/>
  <c r="F18" i="31"/>
  <c r="J18" i="31"/>
  <c r="H15" i="47"/>
  <c r="F18" i="35"/>
  <c r="J16" i="20"/>
  <c r="G21" i="19"/>
  <c r="G20" i="20"/>
  <c r="H46" i="61"/>
  <c r="I42" i="61"/>
  <c r="H44" i="61"/>
  <c r="H45" i="61"/>
  <c r="B20" i="20"/>
  <c r="B21" i="19"/>
  <c r="E19" i="19"/>
  <c r="E18" i="20"/>
  <c r="J18" i="35"/>
  <c r="H17" i="47"/>
  <c r="G30" i="61"/>
  <c r="G31" i="61"/>
  <c r="G32" i="61"/>
  <c r="H28" i="61"/>
  <c r="G21" i="31"/>
  <c r="G21" i="35"/>
  <c r="B21" i="31"/>
  <c r="B21" i="35"/>
  <c r="L29" i="61"/>
  <c r="F18" i="19"/>
  <c r="F17" i="20"/>
  <c r="D20" i="31"/>
  <c r="D20" i="35"/>
  <c r="C27" i="19"/>
  <c r="C26" i="20"/>
  <c r="F16" i="63"/>
  <c r="E21" i="61"/>
  <c r="D20" i="19"/>
  <c r="D19" i="20"/>
  <c r="C27" i="31"/>
  <c r="C27" i="35"/>
  <c r="V21" i="47"/>
  <c r="O43" i="61"/>
  <c r="C23" i="63"/>
  <c r="K36" i="64"/>
  <c r="K33" i="64"/>
  <c r="H13" i="47"/>
  <c r="E20" i="31"/>
  <c r="E20" i="35"/>
  <c r="N22" i="61"/>
  <c r="D21" i="31"/>
  <c r="D21" i="35"/>
  <c r="C28" i="31"/>
  <c r="C28" i="35"/>
  <c r="F19" i="31"/>
  <c r="F19" i="35"/>
  <c r="K42" i="112"/>
  <c r="D20" i="20"/>
  <c r="D21" i="19"/>
  <c r="C27" i="20"/>
  <c r="C28" i="19"/>
  <c r="F19" i="19"/>
  <c r="F18" i="20"/>
  <c r="B22" i="31"/>
  <c r="B22" i="35"/>
  <c r="G21" i="20"/>
  <c r="G22" i="19"/>
  <c r="J17" i="20"/>
  <c r="E23" i="61"/>
  <c r="B17" i="63"/>
  <c r="E25" i="61"/>
  <c r="P43" i="61"/>
  <c r="M29" i="61"/>
  <c r="H30" i="61"/>
  <c r="H31" i="61"/>
  <c r="H32" i="61"/>
  <c r="I28" i="61"/>
  <c r="E20" i="19"/>
  <c r="E19" i="20"/>
  <c r="I44" i="61"/>
  <c r="I45" i="61"/>
  <c r="I46" i="61"/>
  <c r="J42" i="61"/>
  <c r="J19" i="35"/>
  <c r="I17" i="47"/>
  <c r="B22" i="19"/>
  <c r="B21" i="20"/>
  <c r="G22" i="31"/>
  <c r="G22" i="35"/>
  <c r="J19" i="31"/>
  <c r="I15" i="47"/>
  <c r="J18" i="20"/>
  <c r="J44" i="61"/>
  <c r="J45" i="61"/>
  <c r="J46" i="61"/>
  <c r="K42" i="61"/>
  <c r="I32" i="61"/>
  <c r="J28" i="61"/>
  <c r="I30" i="61"/>
  <c r="I31" i="61"/>
  <c r="G23" i="31"/>
  <c r="G23" i="35"/>
  <c r="F20" i="31"/>
  <c r="F20" i="35"/>
  <c r="J20" i="35"/>
  <c r="J17" i="47"/>
  <c r="D21" i="20"/>
  <c r="D22" i="19"/>
  <c r="J20" i="31"/>
  <c r="J15" i="47"/>
  <c r="B22" i="20"/>
  <c r="B23" i="19"/>
  <c r="F21" i="61"/>
  <c r="F17" i="63"/>
  <c r="C29" i="31"/>
  <c r="C29" i="35"/>
  <c r="F19" i="20"/>
  <c r="F20" i="19"/>
  <c r="D22" i="31"/>
  <c r="D22" i="35"/>
  <c r="E20" i="20"/>
  <c r="E21" i="19"/>
  <c r="N29" i="61"/>
  <c r="G23" i="19"/>
  <c r="G22" i="20"/>
  <c r="O22" i="61"/>
  <c r="I13" i="47"/>
  <c r="Q43" i="61"/>
  <c r="D17" i="63"/>
  <c r="E25" i="64"/>
  <c r="E24" i="61"/>
  <c r="E17" i="63"/>
  <c r="B23" i="31"/>
  <c r="B23" i="35"/>
  <c r="E21" i="31"/>
  <c r="E21" i="35"/>
  <c r="C29" i="19"/>
  <c r="C29" i="20"/>
  <c r="C28" i="20"/>
  <c r="C25" i="63"/>
  <c r="M36" i="64"/>
  <c r="M33" i="64"/>
  <c r="J13" i="47"/>
  <c r="J30" i="61"/>
  <c r="J31" i="61"/>
  <c r="J32" i="61"/>
  <c r="K28" i="61"/>
  <c r="P22" i="61"/>
  <c r="C27" i="63"/>
  <c r="O36" i="64"/>
  <c r="O33" i="64"/>
  <c r="O42" i="112"/>
  <c r="O29" i="61"/>
  <c r="F21" i="31"/>
  <c r="J21" i="31"/>
  <c r="K15" i="47"/>
  <c r="K13" i="47"/>
  <c r="F21" i="35"/>
  <c r="J19" i="20"/>
  <c r="G24" i="31"/>
  <c r="G24" i="35"/>
  <c r="C31" i="31"/>
  <c r="C31" i="35"/>
  <c r="E22" i="31"/>
  <c r="E22" i="35"/>
  <c r="F25" i="61"/>
  <c r="F23" i="61"/>
  <c r="B18" i="63"/>
  <c r="K44" i="61"/>
  <c r="K45" i="61"/>
  <c r="K46" i="61"/>
  <c r="L42" i="61"/>
  <c r="M42" i="112"/>
  <c r="J21" i="35"/>
  <c r="K17" i="47"/>
  <c r="R43" i="61"/>
  <c r="B24" i="31"/>
  <c r="B24" i="35"/>
  <c r="C30" i="31"/>
  <c r="C30" i="35"/>
  <c r="E22" i="19"/>
  <c r="E21" i="20"/>
  <c r="G23" i="20"/>
  <c r="G24" i="19"/>
  <c r="D23" i="19"/>
  <c r="D22" i="20"/>
  <c r="C26" i="63"/>
  <c r="N36" i="64"/>
  <c r="N33" i="64"/>
  <c r="N42" i="112"/>
  <c r="F20" i="20"/>
  <c r="F21" i="19"/>
  <c r="B23" i="20"/>
  <c r="B24" i="19"/>
  <c r="D23" i="31"/>
  <c r="D23" i="35"/>
  <c r="J22" i="35"/>
  <c r="L17" i="47"/>
  <c r="B25" i="19"/>
  <c r="B24" i="20"/>
  <c r="F22" i="19"/>
  <c r="F21" i="20"/>
  <c r="D24" i="31"/>
  <c r="D24" i="35"/>
  <c r="E23" i="19"/>
  <c r="E22" i="20"/>
  <c r="S43" i="61"/>
  <c r="D18" i="63"/>
  <c r="F25" i="64"/>
  <c r="F24" i="61"/>
  <c r="E18" i="63"/>
  <c r="P29" i="61"/>
  <c r="F22" i="31"/>
  <c r="J22" i="31"/>
  <c r="L15" i="47"/>
  <c r="F22" i="35"/>
  <c r="J20" i="20"/>
  <c r="D24" i="19"/>
  <c r="D23" i="20"/>
  <c r="L46" i="61"/>
  <c r="M42" i="61"/>
  <c r="L44" i="61"/>
  <c r="L45" i="61"/>
  <c r="G21" i="61"/>
  <c r="F18" i="63"/>
  <c r="G25" i="19"/>
  <c r="G24" i="20"/>
  <c r="K30" i="61"/>
  <c r="K31" i="61"/>
  <c r="K32" i="61"/>
  <c r="L28" i="61"/>
  <c r="B25" i="31"/>
  <c r="B25" i="35"/>
  <c r="G25" i="31"/>
  <c r="G25" i="35"/>
  <c r="E23" i="31"/>
  <c r="E23" i="35"/>
  <c r="J21" i="20"/>
  <c r="Q22" i="61"/>
  <c r="C28" i="63"/>
  <c r="P36" i="64"/>
  <c r="P33" i="64"/>
  <c r="P42" i="112"/>
  <c r="G26" i="31"/>
  <c r="G26" i="35"/>
  <c r="E24" i="19"/>
  <c r="E23" i="20"/>
  <c r="F23" i="19"/>
  <c r="F22" i="20"/>
  <c r="R22" i="61"/>
  <c r="G25" i="20"/>
  <c r="G26" i="19"/>
  <c r="L30" i="61"/>
  <c r="L31" i="61"/>
  <c r="L32" i="61"/>
  <c r="M28" i="61"/>
  <c r="D25" i="31"/>
  <c r="D25" i="35"/>
  <c r="L13" i="47"/>
  <c r="B26" i="19"/>
  <c r="B25" i="20"/>
  <c r="M44" i="61"/>
  <c r="M45" i="61"/>
  <c r="M46" i="61"/>
  <c r="N42" i="61"/>
  <c r="Q29" i="61"/>
  <c r="C31" i="63"/>
  <c r="S36" i="64"/>
  <c r="B26" i="31"/>
  <c r="B26" i="35"/>
  <c r="G23" i="61"/>
  <c r="B19" i="63"/>
  <c r="G25" i="61"/>
  <c r="D24" i="20"/>
  <c r="D25" i="19"/>
  <c r="E24" i="31"/>
  <c r="E24" i="35"/>
  <c r="J22" i="20"/>
  <c r="F23" i="31"/>
  <c r="J23" i="31"/>
  <c r="M15" i="47"/>
  <c r="F23" i="35"/>
  <c r="J23" i="35"/>
  <c r="M17" i="47"/>
  <c r="D25" i="20"/>
  <c r="D26" i="19"/>
  <c r="D19" i="63"/>
  <c r="G25" i="64"/>
  <c r="G24" i="61"/>
  <c r="E19" i="63"/>
  <c r="B27" i="31"/>
  <c r="B27" i="35"/>
  <c r="C30" i="63"/>
  <c r="R36" i="64"/>
  <c r="R33" i="64"/>
  <c r="R42" i="112"/>
  <c r="E25" i="31"/>
  <c r="E25" i="35"/>
  <c r="D26" i="31"/>
  <c r="D26" i="35"/>
  <c r="R29" i="61"/>
  <c r="B27" i="19"/>
  <c r="B26" i="20"/>
  <c r="M32" i="61"/>
  <c r="N28" i="61"/>
  <c r="M30" i="61"/>
  <c r="M31" i="61"/>
  <c r="G27" i="19"/>
  <c r="G26" i="20"/>
  <c r="E24" i="20"/>
  <c r="E25" i="19"/>
  <c r="F19" i="63"/>
  <c r="H21" i="61"/>
  <c r="G27" i="31"/>
  <c r="G27" i="35"/>
  <c r="F24" i="31"/>
  <c r="J24" i="31"/>
  <c r="N15" i="47"/>
  <c r="F24" i="35"/>
  <c r="J24" i="35"/>
  <c r="N17" i="47"/>
  <c r="S33" i="64"/>
  <c r="M13" i="47"/>
  <c r="N44" i="61"/>
  <c r="N45" i="61"/>
  <c r="N46" i="61"/>
  <c r="O42" i="61"/>
  <c r="C29" i="63"/>
  <c r="Q36" i="64"/>
  <c r="Q33" i="64"/>
  <c r="Q42" i="112"/>
  <c r="F23" i="20"/>
  <c r="J23" i="20"/>
  <c r="F24" i="19"/>
  <c r="N13" i="47"/>
  <c r="G28" i="31"/>
  <c r="G28" i="35"/>
  <c r="G27" i="20"/>
  <c r="G28" i="19"/>
  <c r="B27" i="20"/>
  <c r="B28" i="19"/>
  <c r="D27" i="31"/>
  <c r="D27" i="35"/>
  <c r="O44" i="61"/>
  <c r="O45" i="61"/>
  <c r="O46" i="61"/>
  <c r="P42" i="61"/>
  <c r="W36" i="64"/>
  <c r="E26" i="19"/>
  <c r="E25" i="20"/>
  <c r="J25" i="35"/>
  <c r="O17" i="47"/>
  <c r="F25" i="31"/>
  <c r="J25" i="31"/>
  <c r="O15" i="47"/>
  <c r="O13" i="47"/>
  <c r="F25" i="35"/>
  <c r="B28" i="31"/>
  <c r="B28" i="35"/>
  <c r="D27" i="19"/>
  <c r="D26" i="20"/>
  <c r="F24" i="20"/>
  <c r="F25" i="19"/>
  <c r="S42" i="112"/>
  <c r="W42" i="112"/>
  <c r="W33" i="64"/>
  <c r="H23" i="61"/>
  <c r="B20" i="63"/>
  <c r="H25" i="61"/>
  <c r="E26" i="31"/>
  <c r="E26" i="35"/>
  <c r="N30" i="61"/>
  <c r="N31" i="61"/>
  <c r="N32" i="61"/>
  <c r="O28" i="61"/>
  <c r="O30" i="61"/>
  <c r="O31" i="61"/>
  <c r="O32" i="61"/>
  <c r="P28" i="61"/>
  <c r="F20" i="63"/>
  <c r="I21" i="61"/>
  <c r="G29" i="31"/>
  <c r="G29" i="35"/>
  <c r="F26" i="19"/>
  <c r="F25" i="20"/>
  <c r="J25" i="20"/>
  <c r="D28" i="31"/>
  <c r="D28" i="35"/>
  <c r="E27" i="31"/>
  <c r="E27" i="35"/>
  <c r="P46" i="61"/>
  <c r="Q42" i="61"/>
  <c r="P44" i="61"/>
  <c r="P45" i="61"/>
  <c r="B29" i="19"/>
  <c r="B29" i="20"/>
  <c r="B28" i="20"/>
  <c r="D20" i="63"/>
  <c r="H25" i="64"/>
  <c r="H24" i="61"/>
  <c r="E20" i="63"/>
  <c r="F26" i="31"/>
  <c r="F26" i="35"/>
  <c r="J26" i="35"/>
  <c r="P17" i="47"/>
  <c r="J24" i="20"/>
  <c r="D28" i="19"/>
  <c r="D27" i="20"/>
  <c r="E27" i="19"/>
  <c r="E26" i="20"/>
  <c r="B29" i="31"/>
  <c r="B29" i="35"/>
  <c r="J26" i="31"/>
  <c r="P15" i="47"/>
  <c r="P13" i="47"/>
  <c r="G29" i="19"/>
  <c r="G29" i="20"/>
  <c r="G28" i="20"/>
  <c r="E28" i="31"/>
  <c r="E28" i="35"/>
  <c r="D28" i="20"/>
  <c r="D29" i="19"/>
  <c r="D29" i="20"/>
  <c r="Q44" i="61"/>
  <c r="Q45" i="61"/>
  <c r="Q46" i="61"/>
  <c r="R42" i="61"/>
  <c r="B30" i="31"/>
  <c r="B30" i="35"/>
  <c r="F26" i="20"/>
  <c r="F27" i="19"/>
  <c r="G30" i="31"/>
  <c r="G30" i="35"/>
  <c r="B31" i="31"/>
  <c r="B31" i="35"/>
  <c r="I23" i="61"/>
  <c r="B21" i="63"/>
  <c r="I25" i="61"/>
  <c r="F27" i="31"/>
  <c r="J27" i="31"/>
  <c r="Q15" i="47"/>
  <c r="Q13" i="47"/>
  <c r="F27" i="35"/>
  <c r="P30" i="61"/>
  <c r="P31" i="61"/>
  <c r="P32" i="61"/>
  <c r="Q28" i="61"/>
  <c r="E28" i="19"/>
  <c r="E27" i="20"/>
  <c r="J27" i="35"/>
  <c r="Q17" i="47"/>
  <c r="G31" i="31"/>
  <c r="G31" i="35"/>
  <c r="D29" i="31"/>
  <c r="D29" i="35"/>
  <c r="E28" i="20"/>
  <c r="E29" i="19"/>
  <c r="E29" i="20"/>
  <c r="D21" i="63"/>
  <c r="I25" i="64"/>
  <c r="I24" i="61"/>
  <c r="E21" i="63"/>
  <c r="F28" i="31"/>
  <c r="J28" i="31"/>
  <c r="R15" i="47"/>
  <c r="F28" i="35"/>
  <c r="J28" i="35"/>
  <c r="R17" i="47"/>
  <c r="D31" i="31"/>
  <c r="D31" i="35"/>
  <c r="Q32" i="61"/>
  <c r="R28" i="61"/>
  <c r="Q30" i="61"/>
  <c r="Q31" i="61"/>
  <c r="J21" i="61"/>
  <c r="F21" i="63"/>
  <c r="D30" i="31"/>
  <c r="D30" i="35"/>
  <c r="E29" i="31"/>
  <c r="E29" i="35"/>
  <c r="F27" i="20"/>
  <c r="J27" i="20"/>
  <c r="F28" i="19"/>
  <c r="R44" i="61"/>
  <c r="R45" i="61"/>
  <c r="R46" i="61"/>
  <c r="S42" i="61"/>
  <c r="J26" i="20"/>
  <c r="F28" i="20"/>
  <c r="F29" i="19"/>
  <c r="F29" i="20"/>
  <c r="J29" i="31"/>
  <c r="S15" i="47"/>
  <c r="R30" i="61"/>
  <c r="R31" i="61"/>
  <c r="R32" i="61"/>
  <c r="J25" i="61"/>
  <c r="J23" i="61"/>
  <c r="B22" i="63"/>
  <c r="R13" i="47"/>
  <c r="E31" i="31"/>
  <c r="E31" i="35"/>
  <c r="J29" i="20"/>
  <c r="F29" i="31"/>
  <c r="F29" i="35"/>
  <c r="J29" i="35"/>
  <c r="S17" i="47"/>
  <c r="B31" i="63"/>
  <c r="S44" i="61"/>
  <c r="S46" i="61"/>
  <c r="F31" i="63"/>
  <c r="E30" i="31"/>
  <c r="E30" i="35"/>
  <c r="J28" i="20"/>
  <c r="D22" i="63"/>
  <c r="J25" i="64"/>
  <c r="J24" i="61"/>
  <c r="E22" i="63"/>
  <c r="F30" i="31"/>
  <c r="F30" i="35"/>
  <c r="J30" i="35"/>
  <c r="T17" i="47"/>
  <c r="J30" i="31"/>
  <c r="T15" i="47"/>
  <c r="D31" i="63"/>
  <c r="S25" i="64"/>
  <c r="S45" i="61"/>
  <c r="E31" i="63"/>
  <c r="K21" i="61"/>
  <c r="F22" i="63"/>
  <c r="S13" i="47"/>
  <c r="F31" i="31"/>
  <c r="J31" i="31"/>
  <c r="U15" i="47"/>
  <c r="F31" i="35"/>
  <c r="J31" i="35"/>
  <c r="U17" i="47"/>
  <c r="V17" i="47"/>
  <c r="U13" i="47"/>
  <c r="V15" i="47"/>
  <c r="T13" i="47"/>
  <c r="K23" i="61"/>
  <c r="B23" i="63"/>
  <c r="K25" i="61"/>
  <c r="D23" i="63"/>
  <c r="K25" i="64"/>
  <c r="K24" i="61"/>
  <c r="E23" i="63"/>
  <c r="F23" i="63"/>
  <c r="L21" i="61"/>
  <c r="V13" i="47"/>
  <c r="L23" i="61"/>
  <c r="B24" i="63"/>
  <c r="L25" i="61"/>
  <c r="D24" i="63"/>
  <c r="L25" i="64"/>
  <c r="L24" i="61"/>
  <c r="E24" i="63"/>
  <c r="F24" i="63"/>
  <c r="M21" i="61"/>
  <c r="M23" i="61"/>
  <c r="B25" i="63"/>
  <c r="M25" i="61"/>
  <c r="D25" i="63"/>
  <c r="M25" i="64"/>
  <c r="M24" i="61"/>
  <c r="E25" i="63"/>
  <c r="N21" i="61"/>
  <c r="F25" i="63"/>
  <c r="N25" i="61"/>
  <c r="N23" i="61"/>
  <c r="B26" i="63"/>
  <c r="D26" i="63"/>
  <c r="N25" i="64"/>
  <c r="N24" i="61"/>
  <c r="E26" i="63"/>
  <c r="O21" i="61"/>
  <c r="F26" i="63"/>
  <c r="O23" i="61"/>
  <c r="B27" i="63"/>
  <c r="O25" i="61"/>
  <c r="D27" i="63"/>
  <c r="O25" i="64"/>
  <c r="O24" i="61"/>
  <c r="E27" i="63"/>
  <c r="F27" i="63"/>
  <c r="P21" i="61"/>
  <c r="P23" i="61"/>
  <c r="B28" i="63"/>
  <c r="P25" i="61"/>
  <c r="D28" i="63"/>
  <c r="P25" i="64"/>
  <c r="P24" i="61"/>
  <c r="E28" i="63"/>
  <c r="F28" i="63"/>
  <c r="Q21" i="61"/>
  <c r="Q23" i="61"/>
  <c r="B29" i="63"/>
  <c r="Q25" i="61"/>
  <c r="R21" i="61"/>
  <c r="F29" i="63"/>
  <c r="D29" i="63"/>
  <c r="Q25" i="64"/>
  <c r="Q24" i="61"/>
  <c r="E29" i="63"/>
  <c r="R25" i="61"/>
  <c r="F30" i="63"/>
  <c r="R23" i="61"/>
  <c r="B30" i="63"/>
  <c r="D30" i="63"/>
  <c r="R25" i="64"/>
  <c r="R24" i="61"/>
  <c r="E30" i="63"/>
  <c r="W25" i="64"/>
  <c r="J14" i="46" l="1"/>
  <c r="D25" i="47" s="1"/>
  <c r="D14" i="46"/>
  <c r="H14" i="46"/>
  <c r="B14" i="46"/>
  <c r="C14" i="46"/>
  <c r="I14" i="46"/>
  <c r="F14" i="46"/>
  <c r="G14" i="46"/>
  <c r="E14" i="46"/>
  <c r="U35" i="47"/>
  <c r="V20" i="64" s="1"/>
  <c r="V38" i="112" s="1"/>
  <c r="U19" i="47"/>
  <c r="U32" i="47" s="1"/>
  <c r="U34" i="47" s="1"/>
  <c r="V18" i="64" s="1"/>
  <c r="V16" i="64" s="1"/>
  <c r="V42" i="57"/>
  <c r="S24" i="47" s="1"/>
  <c r="R42" i="57"/>
  <c r="O24" i="47" s="1"/>
  <c r="N42" i="57"/>
  <c r="K24" i="47" s="1"/>
  <c r="F42" i="57"/>
  <c r="C24" i="47" s="1"/>
  <c r="W42" i="57"/>
  <c r="T24" i="47" s="1"/>
  <c r="S42" i="57"/>
  <c r="P24" i="47" s="1"/>
  <c r="O42" i="57"/>
  <c r="L24" i="47" s="1"/>
  <c r="K42" i="57"/>
  <c r="H24" i="47" s="1"/>
  <c r="G42" i="57"/>
  <c r="D24" i="47" s="1"/>
  <c r="T42" i="57"/>
  <c r="Q24" i="47" s="1"/>
  <c r="P42" i="57"/>
  <c r="M24" i="47" s="1"/>
  <c r="L42" i="57"/>
  <c r="I24" i="47" s="1"/>
  <c r="H42" i="57"/>
  <c r="E24" i="47" s="1"/>
  <c r="Q42" i="57"/>
  <c r="N24" i="47" s="1"/>
  <c r="M42" i="57"/>
  <c r="J24" i="47" s="1"/>
  <c r="I42" i="57"/>
  <c r="F24" i="47" s="1"/>
  <c r="E42" i="57"/>
  <c r="B24" i="47" s="1"/>
  <c r="U45" i="79"/>
  <c r="Q45" i="79"/>
  <c r="M45" i="79"/>
  <c r="I45" i="79"/>
  <c r="E45" i="79"/>
  <c r="W45" i="79"/>
  <c r="S45" i="79"/>
  <c r="O45" i="79"/>
  <c r="K45" i="79"/>
  <c r="G19" i="47"/>
  <c r="G32" i="47" s="1"/>
  <c r="U42" i="57"/>
  <c r="R24" i="47" s="1"/>
  <c r="H17" i="46"/>
  <c r="F17" i="46"/>
  <c r="C17" i="46"/>
  <c r="E17" i="46"/>
  <c r="J17" i="46"/>
  <c r="G25" i="47" s="1"/>
  <c r="G35" i="47" s="1"/>
  <c r="H20" i="64" s="1"/>
  <c r="H38" i="112" s="1"/>
  <c r="G17" i="46"/>
  <c r="I17" i="46"/>
  <c r="D17" i="46"/>
  <c r="B17" i="46"/>
  <c r="F15" i="46"/>
  <c r="G15" i="46"/>
  <c r="E15" i="46"/>
  <c r="J15" i="46"/>
  <c r="E25" i="47" s="1"/>
  <c r="D15" i="46"/>
  <c r="I15" i="46"/>
  <c r="H15" i="46"/>
  <c r="C15" i="46"/>
  <c r="F23" i="46"/>
  <c r="G23" i="46"/>
  <c r="E23" i="46"/>
  <c r="J23" i="46"/>
  <c r="M25" i="47" s="1"/>
  <c r="H23" i="46"/>
  <c r="I23" i="46"/>
  <c r="D23" i="46"/>
  <c r="J22" i="46" l="1"/>
  <c r="L25" i="47" s="1"/>
  <c r="D22" i="46"/>
  <c r="H22" i="46"/>
  <c r="B22" i="46"/>
  <c r="C22" i="46"/>
  <c r="E22" i="46"/>
  <c r="G22" i="46"/>
  <c r="I22" i="46"/>
  <c r="F22" i="46"/>
  <c r="E19" i="47"/>
  <c r="E32" i="47" s="1"/>
  <c r="E34" i="47" s="1"/>
  <c r="F18" i="64" s="1"/>
  <c r="F16" i="64" s="1"/>
  <c r="E35" i="47"/>
  <c r="F20" i="64" s="1"/>
  <c r="F38" i="112" s="1"/>
  <c r="S35" i="47"/>
  <c r="T20" i="64" s="1"/>
  <c r="T38" i="112" s="1"/>
  <c r="S19" i="47"/>
  <c r="S32" i="47" s="1"/>
  <c r="G34" i="47"/>
  <c r="H18" i="64" s="1"/>
  <c r="H16" i="64" s="1"/>
  <c r="B26" i="46"/>
  <c r="C26" i="46"/>
  <c r="E26" i="46"/>
  <c r="F26" i="46"/>
  <c r="G26" i="46"/>
  <c r="I26" i="46"/>
  <c r="J26" i="46"/>
  <c r="P25" i="47" s="1"/>
  <c r="D26" i="46"/>
  <c r="H26" i="46"/>
  <c r="H20" i="46"/>
  <c r="F20" i="46"/>
  <c r="G20" i="46"/>
  <c r="E20" i="46"/>
  <c r="J20" i="46"/>
  <c r="J25" i="47" s="1"/>
  <c r="J35" i="47" s="1"/>
  <c r="K20" i="64" s="1"/>
  <c r="K38" i="112" s="1"/>
  <c r="I20" i="46"/>
  <c r="C20" i="46"/>
  <c r="D20" i="46"/>
  <c r="B20" i="46"/>
  <c r="I19" i="47"/>
  <c r="I32" i="47" s="1"/>
  <c r="I35" i="47"/>
  <c r="J20" i="64" s="1"/>
  <c r="J38" i="112" s="1"/>
  <c r="C35" i="47"/>
  <c r="D20" i="64" s="1"/>
  <c r="D38" i="112" s="1"/>
  <c r="C19" i="47"/>
  <c r="C32" i="47" s="1"/>
  <c r="C34" i="47" s="1"/>
  <c r="D18" i="64" s="1"/>
  <c r="D16" i="64" s="1"/>
  <c r="V17" i="112"/>
  <c r="V19" i="112" s="1"/>
  <c r="V26" i="64"/>
  <c r="V24" i="64" s="1"/>
  <c r="V22" i="64" s="1"/>
  <c r="V21" i="112" s="1"/>
  <c r="V24" i="47"/>
  <c r="J30" i="46"/>
  <c r="T25" i="47" s="1"/>
  <c r="T19" i="47" s="1"/>
  <c r="T32" i="47" s="1"/>
  <c r="D30" i="46"/>
  <c r="H30" i="46"/>
  <c r="B30" i="46"/>
  <c r="C30" i="46"/>
  <c r="I30" i="46"/>
  <c r="E30" i="46"/>
  <c r="F30" i="46"/>
  <c r="G30" i="46"/>
  <c r="H24" i="46"/>
  <c r="F24" i="46"/>
  <c r="G24" i="46"/>
  <c r="E24" i="46"/>
  <c r="J24" i="46"/>
  <c r="N25" i="47" s="1"/>
  <c r="I24" i="46"/>
  <c r="D24" i="46"/>
  <c r="B24" i="46"/>
  <c r="C24" i="46"/>
  <c r="M19" i="47"/>
  <c r="M32" i="47" s="1"/>
  <c r="M34" i="47" s="1"/>
  <c r="N18" i="64" s="1"/>
  <c r="N16" i="64" s="1"/>
  <c r="M35" i="47"/>
  <c r="N20" i="64" s="1"/>
  <c r="N38" i="112" s="1"/>
  <c r="L35" i="47"/>
  <c r="M20" i="64" s="1"/>
  <c r="M38" i="112" s="1"/>
  <c r="L19" i="47"/>
  <c r="L32" i="47" s="1"/>
  <c r="K19" i="47"/>
  <c r="K32" i="47" s="1"/>
  <c r="K34" i="47" s="1"/>
  <c r="L18" i="64" s="1"/>
  <c r="L16" i="64" s="1"/>
  <c r="K35" i="47"/>
  <c r="L20" i="64" s="1"/>
  <c r="L38" i="112" s="1"/>
  <c r="H16" i="46"/>
  <c r="F16" i="46"/>
  <c r="C16" i="46"/>
  <c r="E16" i="46"/>
  <c r="J16" i="46"/>
  <c r="F25" i="47" s="1"/>
  <c r="F19" i="47" s="1"/>
  <c r="F32" i="47" s="1"/>
  <c r="I16" i="46"/>
  <c r="D16" i="46"/>
  <c r="B16" i="46"/>
  <c r="G16" i="46"/>
  <c r="D35" i="47"/>
  <c r="E20" i="64" s="1"/>
  <c r="E38" i="112" s="1"/>
  <c r="D19" i="47"/>
  <c r="D32" i="47" s="1"/>
  <c r="D34" i="47" s="1"/>
  <c r="E18" i="64" s="1"/>
  <c r="E16" i="64" s="1"/>
  <c r="B18" i="46"/>
  <c r="C18" i="46"/>
  <c r="E18" i="46"/>
  <c r="F18" i="46"/>
  <c r="G18" i="46"/>
  <c r="I18" i="46"/>
  <c r="J18" i="46"/>
  <c r="H25" i="47" s="1"/>
  <c r="H19" i="47" s="1"/>
  <c r="H32" i="47" s="1"/>
  <c r="D18" i="46"/>
  <c r="H18" i="46"/>
  <c r="I12" i="46"/>
  <c r="D12" i="46"/>
  <c r="B12" i="46"/>
  <c r="C12" i="46"/>
  <c r="H12" i="46"/>
  <c r="F12" i="46"/>
  <c r="G12" i="46"/>
  <c r="E12" i="46"/>
  <c r="J12" i="46"/>
  <c r="B25" i="47" s="1"/>
  <c r="I28" i="46"/>
  <c r="D28" i="46"/>
  <c r="B28" i="46"/>
  <c r="C28" i="46"/>
  <c r="H28" i="46"/>
  <c r="F28" i="46"/>
  <c r="G28" i="46"/>
  <c r="J28" i="46"/>
  <c r="R25" i="47" s="1"/>
  <c r="R35" i="47" s="1"/>
  <c r="S20" i="64" s="1"/>
  <c r="S38" i="112" s="1"/>
  <c r="E28" i="46"/>
  <c r="N19" i="47"/>
  <c r="N32" i="47" s="1"/>
  <c r="N34" i="47" s="1"/>
  <c r="O18" i="64" s="1"/>
  <c r="O16" i="64" s="1"/>
  <c r="N35" i="47"/>
  <c r="O20" i="64" s="1"/>
  <c r="O38" i="112" s="1"/>
  <c r="Q35" i="47"/>
  <c r="R20" i="64" s="1"/>
  <c r="R38" i="112" s="1"/>
  <c r="Q19" i="47"/>
  <c r="Q32" i="47" s="1"/>
  <c r="P35" i="47"/>
  <c r="Q20" i="64" s="1"/>
  <c r="Q38" i="112" s="1"/>
  <c r="P19" i="47"/>
  <c r="P32" i="47" s="1"/>
  <c r="O19" i="47"/>
  <c r="O32" i="47" s="1"/>
  <c r="O34" i="47" s="1"/>
  <c r="P18" i="64" s="1"/>
  <c r="P16" i="64" s="1"/>
  <c r="O35" i="47"/>
  <c r="P20" i="64" s="1"/>
  <c r="P38" i="112" s="1"/>
  <c r="P26" i="64" l="1"/>
  <c r="P24" i="64" s="1"/>
  <c r="P22" i="64" s="1"/>
  <c r="P21" i="112" s="1"/>
  <c r="P17" i="112"/>
  <c r="P19" i="112" s="1"/>
  <c r="V25" i="47"/>
  <c r="D26" i="64"/>
  <c r="D24" i="64" s="1"/>
  <c r="D22" i="64" s="1"/>
  <c r="D21" i="112" s="1"/>
  <c r="D17" i="112"/>
  <c r="D19" i="112" s="1"/>
  <c r="D25" i="112" s="1"/>
  <c r="P34" i="47"/>
  <c r="Q18" i="64" s="1"/>
  <c r="Q16" i="64" s="1"/>
  <c r="R19" i="47"/>
  <c r="R32" i="47" s="1"/>
  <c r="R34" i="47" s="1"/>
  <c r="S18" i="64" s="1"/>
  <c r="S16" i="64" s="1"/>
  <c r="L34" i="47"/>
  <c r="M18" i="64" s="1"/>
  <c r="M16" i="64" s="1"/>
  <c r="J19" i="47"/>
  <c r="J32" i="47" s="1"/>
  <c r="J34" i="47" s="1"/>
  <c r="K18" i="64" s="1"/>
  <c r="K16" i="64" s="1"/>
  <c r="T35" i="47"/>
  <c r="U20" i="64" s="1"/>
  <c r="U38" i="112" s="1"/>
  <c r="B35" i="47"/>
  <c r="I34" i="47"/>
  <c r="J18" i="64" s="1"/>
  <c r="J16" i="64" s="1"/>
  <c r="N26" i="64"/>
  <c r="N24" i="64" s="1"/>
  <c r="N22" i="64" s="1"/>
  <c r="N21" i="112" s="1"/>
  <c r="N17" i="112"/>
  <c r="N19" i="112" s="1"/>
  <c r="E26" i="64"/>
  <c r="E24" i="64" s="1"/>
  <c r="E22" i="64" s="1"/>
  <c r="E21" i="112" s="1"/>
  <c r="E17" i="112"/>
  <c r="E19" i="112" s="1"/>
  <c r="E25" i="112" s="1"/>
  <c r="H35" i="47"/>
  <c r="I20" i="64" s="1"/>
  <c r="I38" i="112" s="1"/>
  <c r="F35" i="47"/>
  <c r="G20" i="64" s="1"/>
  <c r="G38" i="112" s="1"/>
  <c r="H26" i="64"/>
  <c r="H24" i="64" s="1"/>
  <c r="H22" i="64" s="1"/>
  <c r="H21" i="112" s="1"/>
  <c r="H17" i="112"/>
  <c r="H19" i="112" s="1"/>
  <c r="H25" i="112" s="1"/>
  <c r="F26" i="64"/>
  <c r="F24" i="64" s="1"/>
  <c r="F22" i="64" s="1"/>
  <c r="F21" i="112" s="1"/>
  <c r="F17" i="112"/>
  <c r="F19" i="112" s="1"/>
  <c r="L26" i="64"/>
  <c r="L24" i="64" s="1"/>
  <c r="L22" i="64" s="1"/>
  <c r="L21" i="112" s="1"/>
  <c r="L17" i="112"/>
  <c r="L19" i="112" s="1"/>
  <c r="L25" i="112" s="1"/>
  <c r="O26" i="64"/>
  <c r="O24" i="64" s="1"/>
  <c r="O22" i="64" s="1"/>
  <c r="O21" i="112" s="1"/>
  <c r="O17" i="112"/>
  <c r="O19" i="112" s="1"/>
  <c r="Q34" i="47"/>
  <c r="R18" i="64" s="1"/>
  <c r="R16" i="64" s="1"/>
  <c r="B19" i="47"/>
  <c r="V25" i="112"/>
  <c r="S34" i="47"/>
  <c r="T18" i="64" s="1"/>
  <c r="T16" i="64" s="1"/>
  <c r="D29" i="112" l="1"/>
  <c r="D31" i="112" s="1"/>
  <c r="D37" i="112" s="1"/>
  <c r="D35" i="112" s="1"/>
  <c r="D48" i="112" s="1"/>
  <c r="V19" i="47"/>
  <c r="B32" i="47"/>
  <c r="H31" i="112"/>
  <c r="H37" i="112" s="1"/>
  <c r="H35" i="112" s="1"/>
  <c r="H48" i="112" s="1"/>
  <c r="H29" i="112"/>
  <c r="E29" i="112"/>
  <c r="E31" i="112" s="1"/>
  <c r="E37" i="112" s="1"/>
  <c r="E35" i="112" s="1"/>
  <c r="E48" i="112" s="1"/>
  <c r="J26" i="64"/>
  <c r="J24" i="64" s="1"/>
  <c r="J22" i="64" s="1"/>
  <c r="J21" i="112" s="1"/>
  <c r="J17" i="112"/>
  <c r="J19" i="112" s="1"/>
  <c r="M26" i="64"/>
  <c r="M24" i="64" s="1"/>
  <c r="M22" i="64" s="1"/>
  <c r="M21" i="112" s="1"/>
  <c r="M17" i="112"/>
  <c r="M19" i="112" s="1"/>
  <c r="M25" i="112" s="1"/>
  <c r="H34" i="47"/>
  <c r="I18" i="64" s="1"/>
  <c r="I16" i="64" s="1"/>
  <c r="K26" i="64"/>
  <c r="K24" i="64" s="1"/>
  <c r="K22" i="64" s="1"/>
  <c r="K21" i="112" s="1"/>
  <c r="K17" i="112"/>
  <c r="K19" i="112" s="1"/>
  <c r="K25" i="112" s="1"/>
  <c r="L29" i="112"/>
  <c r="L31" i="112" s="1"/>
  <c r="L37" i="112" s="1"/>
  <c r="L35" i="112" s="1"/>
  <c r="L48" i="112" s="1"/>
  <c r="R26" i="64"/>
  <c r="R24" i="64" s="1"/>
  <c r="R22" i="64" s="1"/>
  <c r="R21" i="112" s="1"/>
  <c r="R17" i="112"/>
  <c r="R19" i="112" s="1"/>
  <c r="R25" i="112" s="1"/>
  <c r="V35" i="47"/>
  <c r="C20" i="64"/>
  <c r="S26" i="64"/>
  <c r="S24" i="64" s="1"/>
  <c r="S22" i="64" s="1"/>
  <c r="S21" i="112" s="1"/>
  <c r="S17" i="112"/>
  <c r="S19" i="112" s="1"/>
  <c r="S25" i="112" s="1"/>
  <c r="F34" i="47"/>
  <c r="G18" i="64" s="1"/>
  <c r="G16" i="64" s="1"/>
  <c r="V29" i="112"/>
  <c r="V31" i="112" s="1"/>
  <c r="V37" i="112" s="1"/>
  <c r="V35" i="112" s="1"/>
  <c r="V48" i="112" s="1"/>
  <c r="T26" i="64"/>
  <c r="T24" i="64" s="1"/>
  <c r="T22" i="64" s="1"/>
  <c r="T21" i="112" s="1"/>
  <c r="T17" i="112"/>
  <c r="T19" i="112" s="1"/>
  <c r="T25" i="112" s="1"/>
  <c r="O25" i="112"/>
  <c r="F25" i="112"/>
  <c r="N25" i="112"/>
  <c r="Q26" i="64"/>
  <c r="Q24" i="64" s="1"/>
  <c r="Q22" i="64" s="1"/>
  <c r="Q21" i="112" s="1"/>
  <c r="Q17" i="112"/>
  <c r="Q19" i="112" s="1"/>
  <c r="P25" i="112"/>
  <c r="T34" i="47"/>
  <c r="U18" i="64" s="1"/>
  <c r="U16" i="64" s="1"/>
  <c r="G26" i="64" l="1"/>
  <c r="G24" i="64" s="1"/>
  <c r="G22" i="64" s="1"/>
  <c r="G21" i="112" s="1"/>
  <c r="G17" i="112"/>
  <c r="G19" i="112" s="1"/>
  <c r="B34" i="47"/>
  <c r="V32" i="47"/>
  <c r="N29" i="112"/>
  <c r="N31" i="112" s="1"/>
  <c r="N37" i="112" s="1"/>
  <c r="N35" i="112" s="1"/>
  <c r="N48" i="112" s="1"/>
  <c r="S29" i="112"/>
  <c r="S31" i="112" s="1"/>
  <c r="S37" i="112" s="1"/>
  <c r="S35" i="112" s="1"/>
  <c r="S48" i="112" s="1"/>
  <c r="R29" i="112"/>
  <c r="R31" i="112" s="1"/>
  <c r="R37" i="112" s="1"/>
  <c r="R35" i="112" s="1"/>
  <c r="R48" i="112" s="1"/>
  <c r="K29" i="112"/>
  <c r="K31" i="112"/>
  <c r="K37" i="112" s="1"/>
  <c r="K35" i="112" s="1"/>
  <c r="K48" i="112" s="1"/>
  <c r="T29" i="112"/>
  <c r="T31" i="112" s="1"/>
  <c r="T37" i="112" s="1"/>
  <c r="T35" i="112" s="1"/>
  <c r="T48" i="112" s="1"/>
  <c r="U17" i="112"/>
  <c r="U19" i="112" s="1"/>
  <c r="U26" i="64"/>
  <c r="U24" i="64" s="1"/>
  <c r="U22" i="64" s="1"/>
  <c r="U21" i="112" s="1"/>
  <c r="P29" i="112"/>
  <c r="P31" i="112"/>
  <c r="P37" i="112" s="1"/>
  <c r="P35" i="112" s="1"/>
  <c r="P48" i="112" s="1"/>
  <c r="F29" i="112"/>
  <c r="F31" i="112" s="1"/>
  <c r="F37" i="112" s="1"/>
  <c r="F35" i="112" s="1"/>
  <c r="F48" i="112" s="1"/>
  <c r="J25" i="112"/>
  <c r="M31" i="112"/>
  <c r="M37" i="112" s="1"/>
  <c r="M35" i="112" s="1"/>
  <c r="M48" i="112" s="1"/>
  <c r="M29" i="112"/>
  <c r="Q25" i="112"/>
  <c r="O29" i="112"/>
  <c r="O31" i="112" s="1"/>
  <c r="O37" i="112" s="1"/>
  <c r="O35" i="112" s="1"/>
  <c r="O48" i="112" s="1"/>
  <c r="C38" i="112"/>
  <c r="W38" i="112" s="1"/>
  <c r="W20" i="64"/>
  <c r="I26" i="64"/>
  <c r="I24" i="64" s="1"/>
  <c r="I22" i="64" s="1"/>
  <c r="I21" i="112" s="1"/>
  <c r="I17" i="112"/>
  <c r="I19" i="112" s="1"/>
  <c r="I25" i="112" s="1"/>
  <c r="Q29" i="112" l="1"/>
  <c r="Q31" i="112" s="1"/>
  <c r="Q37" i="112" s="1"/>
  <c r="Q35" i="112" s="1"/>
  <c r="Q48" i="112" s="1"/>
  <c r="U25" i="112"/>
  <c r="C18" i="64"/>
  <c r="V34" i="47"/>
  <c r="G25" i="112"/>
  <c r="I29" i="112"/>
  <c r="I31" i="112"/>
  <c r="I37" i="112" s="1"/>
  <c r="I35" i="112" s="1"/>
  <c r="I48" i="112" s="1"/>
  <c r="J31" i="112"/>
  <c r="J37" i="112" s="1"/>
  <c r="J35" i="112" s="1"/>
  <c r="J48" i="112" s="1"/>
  <c r="J29" i="112"/>
  <c r="U29" i="112" l="1"/>
  <c r="U31" i="112"/>
  <c r="U37" i="112" s="1"/>
  <c r="U35" i="112" s="1"/>
  <c r="U48" i="112" s="1"/>
  <c r="C16" i="64"/>
  <c r="W18" i="64"/>
  <c r="G29" i="112"/>
  <c r="G31" i="112" s="1"/>
  <c r="G37" i="112" s="1"/>
  <c r="G35" i="112" s="1"/>
  <c r="G48" i="112" s="1"/>
  <c r="W16" i="64" l="1"/>
  <c r="C26" i="64"/>
  <c r="C17" i="112"/>
  <c r="W17" i="112" l="1"/>
  <c r="C19" i="112"/>
  <c r="C24" i="64"/>
  <c r="W26" i="64"/>
  <c r="W24" i="64" l="1"/>
  <c r="C22" i="64"/>
  <c r="W19" i="112"/>
  <c r="C21" i="112" l="1"/>
  <c r="W22" i="64"/>
  <c r="W21" i="112" l="1"/>
  <c r="C25" i="112"/>
  <c r="W25" i="112" l="1"/>
  <c r="C29" i="112"/>
  <c r="W29" i="112" s="1"/>
  <c r="C31" i="112" l="1"/>
  <c r="C37" i="112" l="1"/>
  <c r="W31" i="112"/>
  <c r="C35" i="112" l="1"/>
  <c r="W37" i="112"/>
  <c r="C48" i="112" l="1"/>
  <c r="W35" i="112"/>
  <c r="B52" i="112" l="1"/>
  <c r="B53" i="112"/>
  <c r="W48" i="112"/>
</calcChain>
</file>

<file path=xl/sharedStrings.xml><?xml version="1.0" encoding="utf-8"?>
<sst xmlns="http://schemas.openxmlformats.org/spreadsheetml/2006/main" count="3536" uniqueCount="920">
  <si>
    <t>PROJEÇÃO DA DEMANDA DE PASSAGEIROS</t>
  </si>
  <si>
    <t>DEMANDA PROJETADA</t>
  </si>
  <si>
    <t>QUADRO 7.</t>
  </si>
  <si>
    <t>RECEITA OPERACIONAL</t>
  </si>
  <si>
    <t>COFINS</t>
  </si>
  <si>
    <t>PIS</t>
  </si>
  <si>
    <t>BRUTA</t>
  </si>
  <si>
    <t>LÍQUIDA</t>
  </si>
  <si>
    <t>QUADRO 1.</t>
  </si>
  <si>
    <t>(Passageiros Catracados)</t>
  </si>
  <si>
    <t>Remuneração por passageiro (em R$) -</t>
  </si>
  <si>
    <t xml:space="preserve">PROJEÇÃO DA FROTA </t>
  </si>
  <si>
    <t>QUANTIDADE DE VEÍCULOS</t>
  </si>
  <si>
    <t>RESERVA</t>
  </si>
  <si>
    <t>FROTA TOTAL</t>
  </si>
  <si>
    <t>TÉCNICA</t>
  </si>
  <si>
    <t>OPERACIONAL</t>
  </si>
  <si>
    <t>PATRIMONIAL</t>
  </si>
  <si>
    <t>(em % da F.O.)</t>
  </si>
  <si>
    <t>QUADRO 3.</t>
  </si>
  <si>
    <t>CRONOGRAMA DE FORMAÇÃO DA FROTA</t>
  </si>
  <si>
    <t>ITEM</t>
  </si>
  <si>
    <t>PERÍODO DO CONTRATO</t>
  </si>
  <si>
    <t>VEÍCULOS ADQUIRIDOS</t>
  </si>
  <si>
    <t>A. QUANTIDADE</t>
  </si>
  <si>
    <t>C. PREÇO UNITÁRIO (R$)</t>
  </si>
  <si>
    <t>D. VALOR TOTAL DO INVESTIMENTO (R$)</t>
  </si>
  <si>
    <t>E. VIDA ÚTIL (ANOS)</t>
  </si>
  <si>
    <t>VEÍCULOS VENDIDOS</t>
  </si>
  <si>
    <t>QUADRO 4.A.</t>
  </si>
  <si>
    <t>QUADRO 4.B.</t>
  </si>
  <si>
    <t>QUADRO 4.C.</t>
  </si>
  <si>
    <t>QUADRO 4.D.</t>
  </si>
  <si>
    <t>QUADRO 4.E.</t>
  </si>
  <si>
    <t>QUADRO 4.F.</t>
  </si>
  <si>
    <t>QUADRO 4.G.</t>
  </si>
  <si>
    <t>EVOLUÇÃO DA FROTA POR FAIXA ETÁRIA</t>
  </si>
  <si>
    <t>FAIXA ETÁRIA</t>
  </si>
  <si>
    <t>QUANTIDADE DE VEÍCULOS NO PERÍODO, POR FAIXA ETÁRIA</t>
  </si>
  <si>
    <t>DO VEÍCULO</t>
  </si>
  <si>
    <t>QUADRO 5.A.</t>
  </si>
  <si>
    <t>0 - 1</t>
  </si>
  <si>
    <t>1 - 2</t>
  </si>
  <si>
    <t>2 - 3</t>
  </si>
  <si>
    <t>3 - 4</t>
  </si>
  <si>
    <t>4 - 5</t>
  </si>
  <si>
    <t>5 - 6</t>
  </si>
  <si>
    <t>6 - 7</t>
  </si>
  <si>
    <t>7 - 8</t>
  </si>
  <si>
    <t>8 - 9</t>
  </si>
  <si>
    <t>9 - 10</t>
  </si>
  <si>
    <t>10 - 11</t>
  </si>
  <si>
    <t>QUADRO 5.B.</t>
  </si>
  <si>
    <t>QUADRO 5.C.</t>
  </si>
  <si>
    <t>QUADRO 5.D.</t>
  </si>
  <si>
    <t>QUADRO 5.E.</t>
  </si>
  <si>
    <t>QUADRO 5.F.</t>
  </si>
  <si>
    <t>QUADRO 5.G.</t>
  </si>
  <si>
    <t>QUADRO 6 .</t>
  </si>
  <si>
    <t>TOTAL</t>
  </si>
  <si>
    <t>QUADRO 8.</t>
  </si>
  <si>
    <t>PREÇOS DOS INSUMOS (EM REAIS)</t>
  </si>
  <si>
    <t>TIPO DE VEÍCULO</t>
  </si>
  <si>
    <t>PREÇO UNITÁRIO</t>
  </si>
  <si>
    <t>UNID. MEDIDA</t>
  </si>
  <si>
    <t>PREÇO</t>
  </si>
  <si>
    <t>DIESEL</t>
  </si>
  <si>
    <t>l</t>
  </si>
  <si>
    <t>ENERGIA ELÉTRICA ( p/ TROLEBUS)</t>
  </si>
  <si>
    <t>Kwh</t>
  </si>
  <si>
    <t>OLEO MOTOR</t>
  </si>
  <si>
    <t>OLEO DA CAIXA DE MUDANÇA</t>
  </si>
  <si>
    <t>OLEO DIFERENCIAL</t>
  </si>
  <si>
    <t>OLEO HIDRAULICO</t>
  </si>
  <si>
    <t>FLUIDO FREIO</t>
  </si>
  <si>
    <t>GRAXA</t>
  </si>
  <si>
    <t>Kg</t>
  </si>
  <si>
    <t>SAPATA DE CARVÃO</t>
  </si>
  <si>
    <t>par</t>
  </si>
  <si>
    <t>RODAGEM</t>
  </si>
  <si>
    <t>TIPO DE PNEUS (MEDIDA)</t>
  </si>
  <si>
    <t xml:space="preserve">PARTICIPAÇÃO </t>
  </si>
  <si>
    <t>PREÇO DO INSUMO OU SERVIÇO</t>
  </si>
  <si>
    <t>RELATIVA (%)</t>
  </si>
  <si>
    <t>PNEU NOVO</t>
  </si>
  <si>
    <t>CÂMARA</t>
  </si>
  <si>
    <t>PROTETORES</t>
  </si>
  <si>
    <t>RECAPAGEM</t>
  </si>
  <si>
    <t>Un.</t>
  </si>
  <si>
    <t>PREÇO PONDERADO DO ITEM</t>
  </si>
  <si>
    <t>PESSOAL OPERATIVO</t>
  </si>
  <si>
    <t>CATEGORIA</t>
  </si>
  <si>
    <t>SALÁRIO/MÊS</t>
  </si>
  <si>
    <t>MOTORISTA</t>
  </si>
  <si>
    <t>COBRADOR</t>
  </si>
  <si>
    <t>MANUTENCAO</t>
  </si>
  <si>
    <t>CESTA BÁSICA</t>
  </si>
  <si>
    <t>PLANO SAÚDE</t>
  </si>
  <si>
    <t>B) COMBUSTÍVEL, ÓLEOS E COMPONENTES ELÉTRICOS</t>
  </si>
  <si>
    <t>GÁS</t>
  </si>
  <si>
    <t>OLEO COMPRESSOR</t>
  </si>
  <si>
    <t>C) RODAGEM</t>
  </si>
  <si>
    <t>D) PESSOAL OPERATIVO</t>
  </si>
  <si>
    <t>FISCAL</t>
  </si>
  <si>
    <t>E) BENEFÍCIOS</t>
  </si>
  <si>
    <t>SEGURO DE VIDA</t>
  </si>
  <si>
    <t>PREÇO MENSAL</t>
  </si>
  <si>
    <t>POR FUNCIONÁRIO</t>
  </si>
  <si>
    <t>EQUIPAMENTO</t>
  </si>
  <si>
    <t>VALOR</t>
  </si>
  <si>
    <t>QUADRO 10.</t>
  </si>
  <si>
    <t>COEFICIENTES DE CONSUMO</t>
  </si>
  <si>
    <t>UNID MEDIDA</t>
  </si>
  <si>
    <t>COEFICIENTE DE CONSUMO POR TIPO DE VEÍCULO</t>
  </si>
  <si>
    <t>CONSUMO</t>
  </si>
  <si>
    <t>l/Km</t>
  </si>
  <si>
    <t>ENERGIA ELÉTRICA</t>
  </si>
  <si>
    <t>Kwh/Km</t>
  </si>
  <si>
    <t>l/km</t>
  </si>
  <si>
    <t>kg/km</t>
  </si>
  <si>
    <t>par/km</t>
  </si>
  <si>
    <t>QUADRO 11.</t>
  </si>
  <si>
    <t xml:space="preserve">FAIXA ETÁRIA </t>
  </si>
  <si>
    <t>CUSTO DE PEÇAS E ACESSÓRIOS (% SOBRE VALOR DO VEÍCULO NOVO)</t>
  </si>
  <si>
    <t>QUADRO 12.</t>
  </si>
  <si>
    <t>COEFICIENTES DE CONSUMO DE RODAGEM</t>
  </si>
  <si>
    <t>DEMONSTRAÇÃO DO CÁLCULO DO CONSUMO DE RODAGEM</t>
  </si>
  <si>
    <t>VIDA ÚTIL (KM)</t>
  </si>
  <si>
    <t>PNEUS + RECAPAGENS</t>
  </si>
  <si>
    <t>CÂMARAS</t>
  </si>
  <si>
    <t>QUANTIDADE POR VEÍCULO</t>
  </si>
  <si>
    <t>PNEUS</t>
  </si>
  <si>
    <t>COEFICIENTE DE CONSUMO POR QUILÔMETRO</t>
  </si>
  <si>
    <t>RECAPAGENS POR PNEU</t>
  </si>
  <si>
    <t>QUADRO 13.</t>
  </si>
  <si>
    <t>CATEGORIA PROFISSIONAL</t>
  </si>
  <si>
    <t>FATOR DE UTILIZAÇÃO</t>
  </si>
  <si>
    <t>ENCARGOS</t>
  </si>
  <si>
    <t>(EMPREGADOS POR</t>
  </si>
  <si>
    <t>SOCIAIS</t>
  </si>
  <si>
    <t>VEÍCULO OPERACIONAL)</t>
  </si>
  <si>
    <t>(%)</t>
  </si>
  <si>
    <r>
      <t>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/km</t>
    </r>
  </si>
  <si>
    <t>QUADRO 14.</t>
  </si>
  <si>
    <t>A. HORAS NORMAIS</t>
  </si>
  <si>
    <t>B. HORAS EXTRAS</t>
  </si>
  <si>
    <t>C. FÉRIAS</t>
  </si>
  <si>
    <t>D. FOLGA NORMAL</t>
  </si>
  <si>
    <t>E. FOLGA EM FERIADOS</t>
  </si>
  <si>
    <t>F. FALTAS POR DOENÇA</t>
  </si>
  <si>
    <t>G. ABSENTEÍSMO</t>
  </si>
  <si>
    <t>TOTAL (2)</t>
  </si>
  <si>
    <t>PARA CADA UM DOS ITENS ELENCADOS</t>
  </si>
  <si>
    <t>(2) SOMATÓRIO DOS FATORES APONTADOS DOS ITENS A a G</t>
  </si>
  <si>
    <t>QUADRO 15.</t>
  </si>
  <si>
    <t>COMPOSIÇÃO DOS ENCARGOS SOCIAIS</t>
  </si>
  <si>
    <t>ITEM DE ENCARGO</t>
  </si>
  <si>
    <t>VALOR PERCENTUAL</t>
  </si>
  <si>
    <t>GRUPO A (TOTAL) (1)</t>
  </si>
  <si>
    <t>A.1. INSS</t>
  </si>
  <si>
    <t>A.2. ACIDENTES DE TRABALHO</t>
  </si>
  <si>
    <t>A.3. SALÁRIO EDUCAÇÃO</t>
  </si>
  <si>
    <t>A.4. INCRA</t>
  </si>
  <si>
    <t>A.5. SENAT</t>
  </si>
  <si>
    <t>A.6. SEST</t>
  </si>
  <si>
    <t>A.7. SEBRAE</t>
  </si>
  <si>
    <t>A.8. FGTS</t>
  </si>
  <si>
    <t>A.9.</t>
  </si>
  <si>
    <t>A.10.</t>
  </si>
  <si>
    <t>GRUPO B  (TOTAL) (2)</t>
  </si>
  <si>
    <t>B.1. ABONO DE FÉRIAS</t>
  </si>
  <si>
    <t>B.2. AVISO PREVIO TRABALHADO</t>
  </si>
  <si>
    <t>B.3. LICENÇA PATERNIDADE</t>
  </si>
  <si>
    <t>B.4. LICENÇA FUNERAL</t>
  </si>
  <si>
    <t>B.5. LICENÇA CASAMENTO</t>
  </si>
  <si>
    <t>B.6. DÉCIMO TERCEIRO SALÁRIO</t>
  </si>
  <si>
    <t>B.7. ADICIONAL NOTURNO</t>
  </si>
  <si>
    <t xml:space="preserve">B.8. </t>
  </si>
  <si>
    <t>B.9.</t>
  </si>
  <si>
    <t>B.10.</t>
  </si>
  <si>
    <t>GRUPO C  (TOTAL) (3)</t>
  </si>
  <si>
    <t>C. 1. DEPÓSITO POR RESCISÀO</t>
  </si>
  <si>
    <t>C.2. AVISO PRÉVIO INDENIZADO</t>
  </si>
  <si>
    <t>C.3. INDENIZAÇÃO ADICIONAL</t>
  </si>
  <si>
    <t xml:space="preserve">C.4. </t>
  </si>
  <si>
    <t>C.5.</t>
  </si>
  <si>
    <t>GRUPO D (TOTAL) (4)</t>
  </si>
  <si>
    <t>D.1. Encargos grupo A</t>
  </si>
  <si>
    <t>D.2. Encargos grupo B</t>
  </si>
  <si>
    <t>TOTAL (GRUPOS A+B+C+D)</t>
  </si>
  <si>
    <t>(1) Somatório dos itens A.1. a A.10.</t>
  </si>
  <si>
    <t>(2) Somatório dos itens B.1. a B.10.</t>
  </si>
  <si>
    <t>(3) Somatório dos itens C.1. a C.5.</t>
  </si>
  <si>
    <t>(4) Produto dos itens D.1. a D.2.</t>
  </si>
  <si>
    <t>QUADRO 16.</t>
  </si>
  <si>
    <t>QUADRO 17.</t>
  </si>
  <si>
    <t>ELEMENTO DE CUSTO</t>
  </si>
  <si>
    <t>CUSTO POR QUILOMETRO (R$/KM)</t>
  </si>
  <si>
    <t>QUADRO 18.</t>
  </si>
  <si>
    <t>QUADRO 19.</t>
  </si>
  <si>
    <t>CUSTO POR VEÍCULO</t>
  </si>
  <si>
    <t>QUADRO 20.</t>
  </si>
  <si>
    <t>CUSTO TOTAL DA FROTA</t>
  </si>
  <si>
    <t>QUADRO 21.</t>
  </si>
  <si>
    <t>QUADRO 22.</t>
  </si>
  <si>
    <t>QUADRO 23.</t>
  </si>
  <si>
    <t>SALÁRIO</t>
  </si>
  <si>
    <t>ENC. SOCIAIS</t>
  </si>
  <si>
    <t>VALE-REFEIÇÃO</t>
  </si>
  <si>
    <t>QUADRO 24.</t>
  </si>
  <si>
    <t>DEPRECIAÇÃO DE VEÍCULOS</t>
  </si>
  <si>
    <t>CONSOLIDAÇÃO DOS CUSTOS OPERACIONAIS DOS SERVIÇOS DE TRANSPORTES DE PASSAGEIROS</t>
  </si>
  <si>
    <t>A. CUSTOS VARIÁVEIS (A1+A2+A3)</t>
  </si>
  <si>
    <t>A1.Combustível, Óleos e Componentes Elétricos</t>
  </si>
  <si>
    <t>A2. Peças e Acessórios</t>
  </si>
  <si>
    <t>A3. Rodagem</t>
  </si>
  <si>
    <t>B1. Pessoal Operativo</t>
  </si>
  <si>
    <t>B2. Despesas Administrativas</t>
  </si>
  <si>
    <t>B3. Depreciação de Veículos</t>
  </si>
  <si>
    <t>CUSTO OPERACIONAL SEM DEPRECIAÇÃO</t>
  </si>
  <si>
    <t>QUADRO 25.</t>
  </si>
  <si>
    <t>QUADRO 26</t>
  </si>
  <si>
    <t>CRONOGRAMA FINANCEIRO DA FORMAÇÃO DA FROTA</t>
  </si>
  <si>
    <t>VALOR TOTAL DE AQUISIÇÃO (R$)</t>
  </si>
  <si>
    <t>Recursos próprios (R$)</t>
  </si>
  <si>
    <t>Financiamento (R$)</t>
  </si>
  <si>
    <t>Arrendamento (R$)</t>
  </si>
  <si>
    <t>E. VIDA ÚTIL TOTAL DO VEÍCULO (ANOS)</t>
  </si>
  <si>
    <t>F. VIDA ÚTIL RESTANTE (ANOS)</t>
  </si>
  <si>
    <t>G. VALOR RESIDUAL (%)</t>
  </si>
  <si>
    <t>H. QUANTIDADE</t>
  </si>
  <si>
    <t>I. PREÇO UNITÁRIO DE VENDA</t>
  </si>
  <si>
    <t>J. VALOR TOTAL DE VENDA</t>
  </si>
  <si>
    <t>PROJEÇÃO DOS CUSTOS FINANCEIROS</t>
  </si>
  <si>
    <t>CONDIÇÕES PARA O FINANCIAMENTO DA AQUISIÇÃO DOS VEÍCULOS</t>
  </si>
  <si>
    <t>CONDIÇÃO DE FINANCIAMENTO</t>
  </si>
  <si>
    <t>CONDIÇÕES DE FINANCIAMENTO POR TIPO DE VEÍCULO</t>
  </si>
  <si>
    <t>TAXA DE JUROS (% AO ANO)</t>
  </si>
  <si>
    <t>PRAZO AMORTIZAÇÃO (ANOS)</t>
  </si>
  <si>
    <t>PRAZO CARÊNCIA PRINCIPAL (ANOS)</t>
  </si>
  <si>
    <t>PRAZO CARÊNCIA JUROS (ANOS)</t>
  </si>
  <si>
    <t>JUROS PERÍODO CARÊNCIA (1)</t>
  </si>
  <si>
    <t>(1) INFORMAR UTILIZANDO-SE DOS SEGUINTES CÓDIGOS:</t>
  </si>
  <si>
    <t>QUANDO OS JUROS FOREM CAPITALIZADOS</t>
  </si>
  <si>
    <t>QUANDO OS JUROS FOREM PAGOS AO FINAL DO PERÍODO DE SUA CARÊNCIA</t>
  </si>
  <si>
    <t>QUADRO 29.A.</t>
  </si>
  <si>
    <t>CONDIÇÕES PARA O ARRENDAMENTO (LEASING) DE VEÍCULOS</t>
  </si>
  <si>
    <t>CONDIÇÕES PARA ARRENDAMENTO POR TIPO DE VEÍCULO</t>
  </si>
  <si>
    <t>TIPO DE ARRENDAMENTO (1)</t>
  </si>
  <si>
    <t>PRAZO (ANOS)</t>
  </si>
  <si>
    <t>DESPESA ANUAL COM ARRENDAMENTO (%) (2)</t>
  </si>
  <si>
    <t>VALOR RESIDUAL PARA OPÇÃO DE COMPRA (%) (2)</t>
  </si>
  <si>
    <t>(1) OPERACIONAL OU FINANCEIRO</t>
  </si>
  <si>
    <t>(2) % SOBRE O VALOR DO VEÍCULO ARRENDADO</t>
  </si>
  <si>
    <t>QUADRO 29.B.</t>
  </si>
  <si>
    <t>CRONOGRAMA FINANCEIRO DAS MOVIMENTAÇÕES DE FROTA</t>
  </si>
  <si>
    <t xml:space="preserve"> RECURSOS PRÓPRIOS</t>
  </si>
  <si>
    <t>DESEMBOLSOS DE</t>
  </si>
  <si>
    <t>RECURSOS PRÓPRIOS</t>
  </si>
  <si>
    <t>DESEMBOLSOS COM RECURSOS PRÓPRIOS</t>
  </si>
  <si>
    <t>DESEMBOLSOS (R$)</t>
  </si>
  <si>
    <t>QUADRO 30.B.</t>
  </si>
  <si>
    <t>ITEM DE INVESTIMENTO/DISCRIMINAÇÃO</t>
  </si>
  <si>
    <t>INFORMAÇÃO FINANCEIRA RELATIVA AO PERÍODO, EM REAIS (R$)</t>
  </si>
  <si>
    <t>Saldo devedor inicial</t>
  </si>
  <si>
    <t>Amortização do Principal</t>
  </si>
  <si>
    <t>Pagamento de juros</t>
  </si>
  <si>
    <t>Amortização + Juros</t>
  </si>
  <si>
    <t>Saldo devedor final</t>
  </si>
  <si>
    <t>VEÍCULOS</t>
  </si>
  <si>
    <t>TIPO DE VEÍCULO/DISCRIMINAÇÃO</t>
  </si>
  <si>
    <t>QUADRO 31.A.</t>
  </si>
  <si>
    <t>VALIDADORES ELETRÔNICOS</t>
  </si>
  <si>
    <t>EQUIPAMENTOS DE MONITORAÇÃO</t>
  </si>
  <si>
    <t>QUADRO 31.B.</t>
  </si>
  <si>
    <t>ARRENDAMENTO OPERACIONAL</t>
  </si>
  <si>
    <t>A. Prestações</t>
  </si>
  <si>
    <t>B. Valor residual de opção de compra</t>
  </si>
  <si>
    <t>C. Total de desembolsos (A + B)</t>
  </si>
  <si>
    <t>ARRENDAMENTO FINANCEIRO</t>
  </si>
  <si>
    <t>D. Prestações</t>
  </si>
  <si>
    <t>E. Valor residual de opção de compra</t>
  </si>
  <si>
    <t>F. Total de desembolsos (D + E)</t>
  </si>
  <si>
    <t>CONSOLIDAÇÃO DOS FLUXOS FINANCEIROS RELATIVOS AOS FINANCIAMENTOS</t>
  </si>
  <si>
    <t>SALDO DEVEDOR</t>
  </si>
  <si>
    <t>AMORTIZAÇÃO</t>
  </si>
  <si>
    <t>PAGAMENTO</t>
  </si>
  <si>
    <t xml:space="preserve">AMORTIZAÇÃO </t>
  </si>
  <si>
    <t>INICIAL</t>
  </si>
  <si>
    <t>PRINCIPAL</t>
  </si>
  <si>
    <t>DE JUROS</t>
  </si>
  <si>
    <t>+ JUROS</t>
  </si>
  <si>
    <t>FINAL</t>
  </si>
  <si>
    <t>VALORES EM REAIS</t>
  </si>
  <si>
    <t>DISCRIMINAÇÃO</t>
  </si>
  <si>
    <t>VALOR DAS MOVIMENTAÇÕES DE CAIXA NO PERÍODO</t>
  </si>
  <si>
    <t>A. DEMONSTRATIVO DO RESULTADO ECONÔMICO</t>
  </si>
  <si>
    <t>A.3. RESULTADO OPERACIONAL BRUTO (A.1 - A.2)</t>
  </si>
  <si>
    <t>B.FLUXO DE CAIXA DA CONCESSÃO</t>
  </si>
  <si>
    <t>B.1. FLUXO DE CAIXA OPERACIONAL (B.1.1 + B.1.2)</t>
  </si>
  <si>
    <t>B.4. CAPITAL DE GIRO</t>
  </si>
  <si>
    <t>B.5. VALOR NÃO DEPRECIADO</t>
  </si>
  <si>
    <t xml:space="preserve">A.1. RECEITA LÍQUIDA </t>
  </si>
  <si>
    <t>B.6. FLUXO DE CAIXA LÍQUIDO (B.1. + B.2. - B.3. - B.4. + B.5 )</t>
  </si>
  <si>
    <t>CUSTO DE CAPITAL</t>
  </si>
  <si>
    <t>VAL - VALOR ATUAL LÍQUIDO</t>
  </si>
  <si>
    <t>R$</t>
  </si>
  <si>
    <t>TIR</t>
  </si>
  <si>
    <t>Nº</t>
  </si>
  <si>
    <t>Descrição</t>
  </si>
  <si>
    <t>30A</t>
  </si>
  <si>
    <t>30B</t>
  </si>
  <si>
    <t>31A</t>
  </si>
  <si>
    <t>Projeção de Receita Operacional</t>
  </si>
  <si>
    <t>Projeção de Demanda de Passageiros</t>
  </si>
  <si>
    <t>Projeção de Frota</t>
  </si>
  <si>
    <t>Preço dos Insumos</t>
  </si>
  <si>
    <t>COMBUSTÍVEIS, ÓLEOS E OUTROS</t>
  </si>
  <si>
    <t>Coeficientes de Consumo - Combustíveis,  Óleos e Outros</t>
  </si>
  <si>
    <t>ÍNDICES DE CONSUMO DE PEÇAS E ACESSÓRIOS</t>
  </si>
  <si>
    <t>Coeficientes de Consumo de Rodagem</t>
  </si>
  <si>
    <t>Composição do Fator de Utilização da Função de Motorista</t>
  </si>
  <si>
    <t>Composição dos Encargos Sociais</t>
  </si>
  <si>
    <t>Consolidação dos Custos Operacionais dos Serviços de Transporte de Passageiros - Custo Total da Frota</t>
  </si>
  <si>
    <t>Projeção dos Custos Financeiros - Condições para o Financiamento de Aquisição de Veículos</t>
  </si>
  <si>
    <t>Projeção dos Custos Financeiros - Condições para o Arrendamento (Leasing) de Veículos</t>
  </si>
  <si>
    <t>31B</t>
  </si>
  <si>
    <t>VALOR DE INVESTIMENTO (R$)</t>
  </si>
  <si>
    <t>QUADRO 29.D.</t>
  </si>
  <si>
    <t>TIPO DE INVESTIMENTO/DISCRIMINAÇÃO</t>
  </si>
  <si>
    <t>INVESTIMENTOS EM INSTALAÇÕES E EQUIPAMENTOS</t>
  </si>
  <si>
    <t>TERRENOS</t>
  </si>
  <si>
    <t>EDIFÍCIOS</t>
  </si>
  <si>
    <t>INSTALAÇÕES E BENFEITORIAS</t>
  </si>
  <si>
    <t>VEÍCULOS DE SUPORTE OPERACIONAL</t>
  </si>
  <si>
    <t>VEÍCULOS DE USO ADMINISTRATIVO</t>
  </si>
  <si>
    <t>EQUIPTOS E FERRAMENTAS DE MANUTENÇÃO</t>
  </si>
  <si>
    <t>MOVEIS E UTENSÍLIOS</t>
  </si>
  <si>
    <t>EQUIPAMENTOS DE COMUNICAÇÃO</t>
  </si>
  <si>
    <t>EQUIPTOS DE INFORMÁTICA E SOFTWARE</t>
  </si>
  <si>
    <t>EQUIPAMENTOS DE SEGURANÇA</t>
  </si>
  <si>
    <t>BENS PATRIMONIAIS DIVERSOS</t>
  </si>
  <si>
    <t>TIPO DE IMOBILIZAÇÃO</t>
  </si>
  <si>
    <t>DEPRECIAÇÃO DE INSTALAÇÕES E EQUIPAMENTOS</t>
  </si>
  <si>
    <t>RESIDUAL</t>
  </si>
  <si>
    <t>( % )</t>
  </si>
  <si>
    <t>QUADRO 32.C.</t>
  </si>
  <si>
    <t>QUADRO 32.B.</t>
  </si>
  <si>
    <t>QUADRO 32.A.</t>
  </si>
  <si>
    <t>QUADRO 29.C.</t>
  </si>
  <si>
    <t>QUADRO 29.E.</t>
  </si>
  <si>
    <t>QUADRO 29.F.</t>
  </si>
  <si>
    <t>QUADRO 29.G.</t>
  </si>
  <si>
    <t>QUADRO 29.H.</t>
  </si>
  <si>
    <t>32B</t>
  </si>
  <si>
    <t>32C</t>
  </si>
  <si>
    <t>32A</t>
  </si>
  <si>
    <t>PROJEÇÃO DA RECEITA OPERACIONAL ( em R$ )</t>
  </si>
  <si>
    <t>QUADRO 34.</t>
  </si>
  <si>
    <t xml:space="preserve">ÍNDICE DOS QUADROS </t>
  </si>
  <si>
    <t>QUADRO 4.H.</t>
  </si>
  <si>
    <t>QUADRO 5.H.</t>
  </si>
  <si>
    <t>Índices de Consumo de Peças e Acessórios</t>
  </si>
  <si>
    <t>DEMONSTRATIVO DA UTILIZAÇÃO DA MÃO-DE-OBRA OPERATIVA</t>
  </si>
  <si>
    <t>Demonstrativo da Utilização da Mão-de-Obra Operativa</t>
  </si>
  <si>
    <t>B. IDADE MÉDIA DOS VEÍCULOS NA AQUISIÇÃO (em anos)</t>
  </si>
  <si>
    <t>C. PREÇO MÉDIO UNITÁRIO (R$)</t>
  </si>
  <si>
    <t>QUADRO 31.C.</t>
  </si>
  <si>
    <t>31C</t>
  </si>
  <si>
    <t>VALE REFEIÇÃO</t>
  </si>
  <si>
    <t>Cronograma Financeiro das Movimentações de Frota - Recursos Próprios</t>
  </si>
  <si>
    <t>SEMESTRE</t>
  </si>
  <si>
    <t>SEM</t>
  </si>
  <si>
    <t xml:space="preserve">Alíquota da COFINS (%) - </t>
  </si>
  <si>
    <t xml:space="preserve">Alíquota do PIS (%)- </t>
  </si>
  <si>
    <t>Tecnologias Veiculares</t>
  </si>
  <si>
    <t>NOTAS</t>
  </si>
  <si>
    <t>DESPESAS ADMINISTRATIVAS TOTAIS POR SEMESTRE</t>
  </si>
  <si>
    <t>SEM 2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</si>
  <si>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</si>
  <si>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</si>
  <si>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</si>
  <si>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</si>
  <si>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</si>
  <si>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</si>
  <si>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</si>
  <si>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</si>
  <si>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</si>
  <si>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</si>
  <si>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</si>
  <si>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</si>
  <si>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</si>
  <si>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</si>
  <si>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</si>
  <si>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</si>
  <si>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</si>
  <si>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</si>
  <si>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1</t>
  </si>
  <si>
    <t xml:space="preserve">SEM </t>
  </si>
  <si>
    <t>VALOR TOTAL DE INVESTIMENTO (R$)</t>
  </si>
  <si>
    <t>Composição do Capital dos Investimentos:</t>
  </si>
  <si>
    <t>CONDIÇÕES PARA O FINANCIAMENTO DOS INVESTIMENTOS EM BENS REVERSÍVEIS</t>
  </si>
  <si>
    <t>CRONOGRAMA FINANCEIRO DOS INVESTIMENTOS EM BENS REVERSÍVEIS</t>
  </si>
  <si>
    <t>INVESTIMENTOS EM BENS REVERSÍVEIS</t>
  </si>
  <si>
    <t xml:space="preserve"> CONDIÇÕES DE FINANCIAMENTO</t>
  </si>
  <si>
    <t>Cronograma Financeiro dos Investimentos em Bens Reversíveis</t>
  </si>
  <si>
    <t>Projeção dos Custos Financeiros - Condições para o Financiamento de Investimento em Bens Reversíveis</t>
  </si>
  <si>
    <t>Cronograma Financeiro dos Investimentos em Bens Reversíveis - Recursos Próprios</t>
  </si>
  <si>
    <t>Despesas Administrativas Totais por Semestre</t>
  </si>
  <si>
    <t>Projeção do Percurso Médio Semestral por Veículo Operacional</t>
  </si>
  <si>
    <t>Projeção da Quilometragem Semestral Total por Veículo</t>
  </si>
  <si>
    <t>Demonstrativo dos Custos Semestrais com Peças e Acessórios - Custo por Veículo</t>
  </si>
  <si>
    <t>Demonstrativo dos Custos Semestrais com Peças e Acessórios - Custo Total da Frota</t>
  </si>
  <si>
    <t>0</t>
  </si>
  <si>
    <t>QUADRO 33.D.</t>
  </si>
  <si>
    <t>QUADRO 33.C.</t>
  </si>
  <si>
    <t>QUADRO 33.B.</t>
  </si>
  <si>
    <t>QUADRO 33.A.</t>
  </si>
  <si>
    <t>QUADRO 31.D.</t>
  </si>
  <si>
    <t>QUADRO 30.A</t>
  </si>
  <si>
    <t>4A a 4H</t>
  </si>
  <si>
    <t>Cronograma de Formação da Frota (um quadro para cada tipo de veículo utilizado)</t>
  </si>
  <si>
    <t>5A a 5H</t>
  </si>
  <si>
    <t>Evolução da Frota por Faixa Etária (um quadro para cada tipo de veículo utilizado)</t>
  </si>
  <si>
    <t>29A a 29H</t>
  </si>
  <si>
    <t>Cronograma Financeiro da Formação da Frota (um quadro para cada tipo de veículo utilizado)</t>
  </si>
  <si>
    <t>31D</t>
  </si>
  <si>
    <t>33B</t>
  </si>
  <si>
    <t>33C</t>
  </si>
  <si>
    <t>33D</t>
  </si>
  <si>
    <t>33A</t>
  </si>
  <si>
    <t>CUSTO TOTAL SEMESTRAL (EM REAIS)</t>
  </si>
  <si>
    <t>PROJEÇÃO DA QUILOMETRAGEM  SEMESTRAL TOTAL POR TIPO DE VEÍCULO</t>
  </si>
  <si>
    <t>PERCURSO SEMESTRAL TOTAL DA FROTA (KM)</t>
  </si>
  <si>
    <t>CUSTO SEMESTRAL TOTAL (R$)</t>
  </si>
  <si>
    <t>DEMONSTRATIVO DOS CUSTOS SEMESTRAIS COM PEÇAS E ACESSÓRIOS</t>
  </si>
  <si>
    <t>CUSTO SEMESTRAL, POR FAIXA ETÁRIA, POR VEÍCULO (R$)</t>
  </si>
  <si>
    <t>CUSTO POR PERÍODO SEMESTRAL PARA FROTA OPERACIONAL (R$)</t>
  </si>
  <si>
    <t>CUSTO SEMESTRAL POR VEÍCULO DA FROTA OPERACIONAL</t>
  </si>
  <si>
    <t>PROJEÇÃO DO PERCURSO MÉDIO SEMESTRAL POR VEÍCULO OPERACIONAL</t>
  </si>
  <si>
    <t>TAXA  SEMESTRAL DE DEPRECIAÇÃO E AMORTIZAÇÃO (%)</t>
  </si>
  <si>
    <t>Nº DE SEMESTRES
A SEREM
DEPRECIADOS</t>
  </si>
  <si>
    <t>QUADRO 9</t>
  </si>
  <si>
    <t>QUANTIDADES ADQUIRIDAS NO PERÍODO DO CONTRATO</t>
  </si>
  <si>
    <t>UNITÁRIO</t>
  </si>
  <si>
    <t>(R$)</t>
  </si>
  <si>
    <t>CUSTO TOTAL DE AQUISIÇÃO</t>
  </si>
  <si>
    <t>Notas explicativas:</t>
  </si>
  <si>
    <t>Parte I - Informações do Sistema Ônibus / Subsistema Estrutural</t>
  </si>
  <si>
    <t>Parte II - Informações de Despesas de Operação, Manutenção e Administração de Terminais de Integração e Estações de Transferência.</t>
  </si>
  <si>
    <t>Parte III - Consolidação das Informações no Fluxo de Caixa Econômico</t>
  </si>
  <si>
    <t>35A</t>
  </si>
  <si>
    <t>35B</t>
  </si>
  <si>
    <t>35C</t>
  </si>
  <si>
    <t>35D</t>
  </si>
  <si>
    <t>35E</t>
  </si>
  <si>
    <t>35F</t>
  </si>
  <si>
    <t>35G</t>
  </si>
  <si>
    <t>35H</t>
  </si>
  <si>
    <t xml:space="preserve">Despesas Operacionais e de Manutenção da Central de Operação de Terminais e Equipamentos de Comunicação </t>
  </si>
  <si>
    <t>36A</t>
  </si>
  <si>
    <t>36B</t>
  </si>
  <si>
    <t>36C</t>
  </si>
  <si>
    <t>36D</t>
  </si>
  <si>
    <t>36E</t>
  </si>
  <si>
    <t>36F</t>
  </si>
  <si>
    <t>Despesas de Manutenção e Operação de Estações de Tranferência</t>
  </si>
  <si>
    <t>Despesas de Vigilância de Estações de Transferência</t>
  </si>
  <si>
    <t>Despesas de Limpeza de Estações de Transferência</t>
  </si>
  <si>
    <t>Despesas Adminsitrativas de Estações de Transferência</t>
  </si>
  <si>
    <t>37A</t>
  </si>
  <si>
    <t>37B</t>
  </si>
  <si>
    <t>37C</t>
  </si>
  <si>
    <t>37D</t>
  </si>
  <si>
    <t>Demonstrativo de Cargos e Salários</t>
  </si>
  <si>
    <t xml:space="preserve">Demonstrativo dos Investimentos em Equipamentos de Terminais Existentes </t>
  </si>
  <si>
    <t>Demonstrativo dos Investimentos em Equipamentos de Terminais em Construção</t>
  </si>
  <si>
    <t>Demonstrativo dos Investimentos em Equipamentos de Terminais Planejados</t>
  </si>
  <si>
    <t>Demonstrativo dos Investimentos em Equipamentos de Terminais - Resumo Geral</t>
  </si>
  <si>
    <t>39A</t>
  </si>
  <si>
    <t>39B</t>
  </si>
  <si>
    <t>39C</t>
  </si>
  <si>
    <t>39D</t>
  </si>
  <si>
    <t>Cronograma Financeiro dos Investimentos em Equipamentos dos Terminais - Total</t>
  </si>
  <si>
    <t>Projeção dos Financiamentos em Equipamentos de Terminais</t>
  </si>
  <si>
    <t>Cronograma Financeiro dos Investimentos em Terminais Provisórios e Reforma dos Terminais - Total</t>
  </si>
  <si>
    <t>Projeção dos Financiamentos em Terminais Provisórios e Reforma dos Terminais</t>
  </si>
  <si>
    <t>Condições de Financiamento da Aquisição de Equipamentos dos Terminais</t>
  </si>
  <si>
    <t>40A</t>
  </si>
  <si>
    <t>40B</t>
  </si>
  <si>
    <t>41A</t>
  </si>
  <si>
    <t>41B</t>
  </si>
  <si>
    <t>42A</t>
  </si>
  <si>
    <t>Condições de Financiamento da Construção dos Terminais Provisórios e Reforma dos Terminais</t>
  </si>
  <si>
    <t>Sem</t>
  </si>
  <si>
    <t>TIPO 7</t>
  </si>
  <si>
    <t>TIPO 8</t>
  </si>
  <si>
    <t>QUADRO 44.</t>
  </si>
  <si>
    <t>39E</t>
  </si>
  <si>
    <t>Demonstrativo dos Investimentos em Terminais Provisórios e Reforma de Terminais</t>
  </si>
  <si>
    <t>42B</t>
  </si>
  <si>
    <t>QUADRO 35.A</t>
  </si>
  <si>
    <t>Terminais</t>
  </si>
  <si>
    <t>Ano do Contrato</t>
  </si>
  <si>
    <t>Trimestre</t>
  </si>
  <si>
    <t>Em Construção</t>
  </si>
  <si>
    <t>Amaral Gurgel</t>
  </si>
  <si>
    <t>1º</t>
  </si>
  <si>
    <t>2º</t>
  </si>
  <si>
    <t>Lapa</t>
  </si>
  <si>
    <t>Morro Doce</t>
  </si>
  <si>
    <t>Pirituba</t>
  </si>
  <si>
    <t>Planejados</t>
  </si>
  <si>
    <t>Brasilândia</t>
  </si>
  <si>
    <t>4º</t>
  </si>
  <si>
    <t>Perus</t>
  </si>
  <si>
    <t>5º</t>
  </si>
  <si>
    <t>3º</t>
  </si>
  <si>
    <t>QUADRO 35.B</t>
  </si>
  <si>
    <t>Existentes</t>
  </si>
  <si>
    <t>Casa Verde</t>
  </si>
  <si>
    <t>V.N. Cachoeirinha</t>
  </si>
  <si>
    <t>Princesa Isabel</t>
  </si>
  <si>
    <t>Sumaré</t>
  </si>
  <si>
    <t>Vila Maria</t>
  </si>
  <si>
    <t>QUADRO 35.C</t>
  </si>
  <si>
    <t>A.E. Carvalho</t>
  </si>
  <si>
    <t>Aricanduva</t>
  </si>
  <si>
    <t>Dom Pedro II</t>
  </si>
  <si>
    <t>Penha</t>
  </si>
  <si>
    <t>Itaquera</t>
  </si>
  <si>
    <t>Itaim Paulista</t>
  </si>
  <si>
    <t>São Miguel</t>
  </si>
  <si>
    <t>QUADRO 35.D</t>
  </si>
  <si>
    <t>Cidade Tiradentes</t>
  </si>
  <si>
    <t>Vila Carrão</t>
  </si>
  <si>
    <t>QUADRO 35.E</t>
  </si>
  <si>
    <t>Vila Prudente</t>
  </si>
  <si>
    <t>Sacomã - VLP</t>
  </si>
  <si>
    <t>D.Pedro II - VLP</t>
  </si>
  <si>
    <t>Cohab Teotonio</t>
  </si>
  <si>
    <t>São Lucas</t>
  </si>
  <si>
    <t>QUADRO 35.F</t>
  </si>
  <si>
    <t>Parelheiros</t>
  </si>
  <si>
    <t>Aeroporto</t>
  </si>
  <si>
    <t>Brigadeiro</t>
  </si>
  <si>
    <t>Detran</t>
  </si>
  <si>
    <t>Dona Paulina</t>
  </si>
  <si>
    <t>Grajaú</t>
  </si>
  <si>
    <t>Jardim Eliana</t>
  </si>
  <si>
    <t>Pedreira</t>
  </si>
  <si>
    <t>Varginha</t>
  </si>
  <si>
    <t>Vila Olímpia</t>
  </si>
  <si>
    <t>QUADRO 35.G</t>
  </si>
  <si>
    <t>Bandeira</t>
  </si>
  <si>
    <t>Capelinha</t>
  </si>
  <si>
    <t>Santo Amaro</t>
  </si>
  <si>
    <t>Guarapiranga</t>
  </si>
  <si>
    <t>Jd. Angela</t>
  </si>
  <si>
    <t>QUADRO 35.H</t>
  </si>
  <si>
    <t>João Dias</t>
  </si>
  <si>
    <t>Lgo. Campo Limpo</t>
  </si>
  <si>
    <t>Pinheiros</t>
  </si>
  <si>
    <t>Raposo Tavares</t>
  </si>
  <si>
    <t>Rio Pequeno</t>
  </si>
  <si>
    <t>Vila Sônia-Taboão</t>
  </si>
  <si>
    <t>QUADRO 36.A</t>
  </si>
  <si>
    <t>Despesas Operacionais e de Manutenção da Central de Operação de Terminais e Equipamentos de Comunicação</t>
  </si>
  <si>
    <t>Valores em Reais (R$)</t>
  </si>
  <si>
    <t>Discriminação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</si>
  <si>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</si>
  <si>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</si>
  <si>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</si>
  <si>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</si>
  <si>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</si>
  <si>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</si>
  <si>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</si>
  <si>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</si>
  <si>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</si>
  <si>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</si>
  <si>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1º sem.</t>
  </si>
  <si>
    <t>2º sem.</t>
  </si>
  <si>
    <t>3º sem.</t>
  </si>
  <si>
    <t>4º sem.</t>
  </si>
  <si>
    <t>5º sem.</t>
  </si>
  <si>
    <t>6º sem.</t>
  </si>
  <si>
    <t>7º sem.</t>
  </si>
  <si>
    <t>8º sem.</t>
  </si>
  <si>
    <t>9º sem.</t>
  </si>
  <si>
    <t>10º sem.</t>
  </si>
  <si>
    <t>11º sem.</t>
  </si>
  <si>
    <t>12º sem.</t>
  </si>
  <si>
    <t>13º sem.</t>
  </si>
  <si>
    <t>14º sem.</t>
  </si>
  <si>
    <t>15º sem.</t>
  </si>
  <si>
    <t>16º sem.</t>
  </si>
  <si>
    <t>17º sem.</t>
  </si>
  <si>
    <t>18º sem.</t>
  </si>
  <si>
    <t>19º sem.</t>
  </si>
  <si>
    <t>20º sem.</t>
  </si>
  <si>
    <t>Mão-de-obra (*)</t>
  </si>
  <si>
    <t>Gerente de Operações</t>
  </si>
  <si>
    <t>Supervisor de Operação</t>
  </si>
  <si>
    <t>Operador de Centro de Operações</t>
  </si>
  <si>
    <t>Técnico de Suporte de Rede</t>
  </si>
  <si>
    <t>Técnico de Manutenção</t>
  </si>
  <si>
    <t>Analista de Sistemas</t>
  </si>
  <si>
    <t>Analista Programador</t>
  </si>
  <si>
    <t>Outros (discriminar)</t>
  </si>
  <si>
    <t>Manutenção</t>
  </si>
  <si>
    <t>Materiais / Peças</t>
  </si>
  <si>
    <t>Meios de Comunicação</t>
  </si>
  <si>
    <t xml:space="preserve">Linha Privativa digital (LP) </t>
  </si>
  <si>
    <t>Acesso à Internet ADSL - 512 Kbps</t>
  </si>
  <si>
    <t>Total por semestre</t>
  </si>
  <si>
    <t xml:space="preserve"> Nota : (*) Devem ser considerados os percentuais de encargos sociais e os benefícios</t>
  </si>
  <si>
    <t>QUADRO 36.B</t>
  </si>
  <si>
    <t>Encarregado de Terminal</t>
  </si>
  <si>
    <t>Supervisor de Terminal</t>
  </si>
  <si>
    <t>Agente de Terminal</t>
  </si>
  <si>
    <t>Operador de Campo</t>
  </si>
  <si>
    <t>Equipamentos</t>
  </si>
  <si>
    <t>Veículos auxiliares</t>
  </si>
  <si>
    <t>Radiocomunicador</t>
  </si>
  <si>
    <t>QUADRO 36.C</t>
  </si>
  <si>
    <t>Engenheiro de Manutenção</t>
  </si>
  <si>
    <t>Encarregado de Manutenção Móvel</t>
  </si>
  <si>
    <t>Agente de Manutenção Móvel</t>
  </si>
  <si>
    <t>Agente de Manutenção Fixo</t>
  </si>
  <si>
    <t>Jardineiro</t>
  </si>
  <si>
    <t>Manutenções Especiais</t>
  </si>
  <si>
    <t>Escada Rolante</t>
  </si>
  <si>
    <t>QUADRO 36.D</t>
  </si>
  <si>
    <t>Vigilante Diurno</t>
  </si>
  <si>
    <t>Vigilante Noturno</t>
  </si>
  <si>
    <t>Outras despesas</t>
  </si>
  <si>
    <t>Locomoção</t>
  </si>
  <si>
    <t>Materiais e Equipamentos</t>
  </si>
  <si>
    <t>Outras (discriminar)</t>
  </si>
  <si>
    <t>QUADRO 36.E</t>
  </si>
  <si>
    <t>Encarregado de limpeza</t>
  </si>
  <si>
    <t>Auxiliar de limpeza</t>
  </si>
  <si>
    <t>QUADRO 36.F</t>
  </si>
  <si>
    <t>Auxiliar de Administração</t>
  </si>
  <si>
    <t>Energia Elétrica / Água / Telefone</t>
  </si>
  <si>
    <t>QUADRO 37.A</t>
  </si>
  <si>
    <t>Despesas de Manutenção e Operação de Estações de Transferência</t>
  </si>
  <si>
    <t xml:space="preserve">Engenheiro de Manutenção </t>
  </si>
  <si>
    <t>Técnico de Manutenção Eletrônica</t>
  </si>
  <si>
    <t>Manutenção de equipamentos</t>
  </si>
  <si>
    <t>Painel</t>
  </si>
  <si>
    <t>QUADRO 37.B</t>
  </si>
  <si>
    <t>QUADRO 37.C</t>
  </si>
  <si>
    <t>QUADRO 37.D</t>
  </si>
  <si>
    <t>Despesas Administrativas de Estações de Transferência</t>
  </si>
  <si>
    <t>(a discriminar)</t>
  </si>
  <si>
    <t>QUADRO 38</t>
  </si>
  <si>
    <t>SALÁRIO HORA (em R$)</t>
  </si>
  <si>
    <t>JORNADA DE TRABALHO</t>
  </si>
  <si>
    <t>ENCARGOS SOCIAIS (%)</t>
  </si>
  <si>
    <t xml:space="preserve">Técnico de Manutenção Eletrônica </t>
  </si>
  <si>
    <t>QUADRO 39.A</t>
  </si>
  <si>
    <t>Circuito Fechado de TV</t>
  </si>
  <si>
    <t>Paineis de Mensagens Variáveis</t>
  </si>
  <si>
    <t>Sistema de Áudio</t>
  </si>
  <si>
    <t>Paineis de Vídeo Retroprojetados</t>
  </si>
  <si>
    <t>Posto de Controle Veicular</t>
  </si>
  <si>
    <t>Centro de Operação do terminal</t>
  </si>
  <si>
    <t>QUADRO 39.B</t>
  </si>
  <si>
    <t>QUADRO 39.C</t>
  </si>
  <si>
    <t>QUADRO 39.D</t>
  </si>
  <si>
    <t xml:space="preserve">Demonstrativo dos Investimentos em Equipamentos de Terminais - Resumo Geral </t>
  </si>
  <si>
    <t>QUADRO 39.E</t>
  </si>
  <si>
    <t>Term. Prov. e Reforma de Terminais</t>
  </si>
  <si>
    <t>QUADRO 40.A</t>
  </si>
  <si>
    <t>Cronograma Financeiro dos Investimentos em Equipamentos de Terminais - Total</t>
  </si>
  <si>
    <t>Valor dos Investimentos</t>
  </si>
  <si>
    <t>Recursos Próprios</t>
  </si>
  <si>
    <t>Financiamento</t>
  </si>
  <si>
    <t>QUADRO 40.B</t>
  </si>
  <si>
    <t>Cronograma Financeiro dos Investimentos em Terminais Provisórios e Reformas de Terminais - Total</t>
  </si>
  <si>
    <t>QUADRO 41.A</t>
  </si>
  <si>
    <t>Saldo Devedor Inicial</t>
  </si>
  <si>
    <t>Pagamento de Juros</t>
  </si>
  <si>
    <t>Saldo Devedor Final</t>
  </si>
  <si>
    <t>QUADRO 41.B</t>
  </si>
  <si>
    <t>Projeção dos Financiamentos em Terminais Provisórios e Reforma de Terminais</t>
  </si>
  <si>
    <t>QUADRO 42.A</t>
  </si>
  <si>
    <t>Condições de Financiamento</t>
  </si>
  <si>
    <t>Taxa de juros (% ao ano)</t>
  </si>
  <si>
    <t>Prazo de Amortização (anos)</t>
  </si>
  <si>
    <t>Prazo de Carência Principal (anos)</t>
  </si>
  <si>
    <t>Prazo de Carência Juros (anos)</t>
  </si>
  <si>
    <t>Juros Período de Carência (1)</t>
  </si>
  <si>
    <t>(1) Informar utilizando-se dos seguintes códigos:</t>
  </si>
  <si>
    <t>1 - Quando os juros forem captalizados</t>
  </si>
  <si>
    <t>2 - Quando os juros forem pagos ao final do período de sua carência</t>
  </si>
  <si>
    <t>QUADRO 42.B</t>
  </si>
  <si>
    <t>Condições de Financiamento da Construção de Terminais Provisórios e Reforma dos Terminais</t>
  </si>
  <si>
    <r>
      <t>Metragem Total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</si>
  <si>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(1) QUANTIDADE DE FUNCIONÁRIOS POR VEÍCULO OPERACIONAL,</t>
  </si>
  <si>
    <t>COMPOSIÇÃO DO FATOR DE UTILIZAÇÃO (1)</t>
  </si>
  <si>
    <t>Sutotal Pessoal Administrativo</t>
  </si>
  <si>
    <t>Sutotal Custos Adm. Diversos</t>
  </si>
  <si>
    <t>TOTAL GERAL</t>
  </si>
  <si>
    <t>A. DEMONSTRATIVO DAS DESPESAS</t>
  </si>
  <si>
    <t>A.1.1. Custos relativos à frota de veículos</t>
  </si>
  <si>
    <t>A.1.2 Despesas de Aluguéis de Frota e Garagem</t>
  </si>
  <si>
    <t xml:space="preserve">A.2. OUTROS CUSTOS </t>
  </si>
  <si>
    <t xml:space="preserve">A.2.1.1 Despesas com juros de financiamento </t>
  </si>
  <si>
    <t>A.2.1.2 Tributo sobre Movimentação Financeira</t>
  </si>
  <si>
    <t>A.2.1.  Despesas financeiras</t>
  </si>
  <si>
    <t>A.2. CUSTOS OPERACIONAIS ( Q43-A.1. + Q44-A.1 )</t>
  </si>
  <si>
    <t>A.1.3. Depreciação de Veículos e Instalações</t>
  </si>
  <si>
    <t>B5. Depreciação de Validadores e Equipamentos de Monitoração</t>
  </si>
  <si>
    <t>B4. Depreciação de Instalações e Equipamentos</t>
  </si>
  <si>
    <t>B. CUSTOS FIXOS (B1+B2+B3+B4+B5)</t>
  </si>
  <si>
    <t>QUADRO 28.</t>
  </si>
  <si>
    <t>QUADRO 27</t>
  </si>
  <si>
    <t xml:space="preserve">CUSTO DE DEPRECIAÇÃO (B.3. + B.4.+ B.5.) </t>
  </si>
  <si>
    <t>A.3.  Amortização dos investimentos em bens reversíveis (exceto terminais)</t>
  </si>
  <si>
    <t>A.6. RESULTADO OPERACIONAL ANTES DOS IMPOSTOS  (A.3 - A.4 - A.5 )</t>
  </si>
  <si>
    <t xml:space="preserve">B.INVESTIMENTOS </t>
  </si>
  <si>
    <t>B.1.1. Recursos próprios</t>
  </si>
  <si>
    <t>B.1.2. Amortização do investimento</t>
  </si>
  <si>
    <t>B.1.3. Arrendamento Financeiro</t>
  </si>
  <si>
    <t>QUADRO 43.</t>
  </si>
  <si>
    <t xml:space="preserve">RESUMO DAS DESPESAS OPERACIONAIS E DOS INVESTIMENTOS (PARTE II - TERMINAIS E ESTAÇÕES DE TRANSFERÊNCIA) </t>
  </si>
  <si>
    <t>A.1.1. Despesas Relativas à Operação de Terminais</t>
  </si>
  <si>
    <t>A.1.3. Custo parcial da operação dos Terminais EMTU</t>
  </si>
  <si>
    <t>A.1.2. Despesas Relativas à Operação das Estações de Transf.</t>
  </si>
  <si>
    <t xml:space="preserve">B.3. INVESTIMENTOS (Q44-B.1 + Q43-B.1) </t>
  </si>
  <si>
    <t>A.4. OUTROS CUSTOS ( Q43-A.2 + Q44-A.2 )</t>
  </si>
  <si>
    <t>QUADRO 45.</t>
  </si>
  <si>
    <t>Área de Concessão: 1</t>
  </si>
  <si>
    <t>Área de Concessão: 2</t>
  </si>
  <si>
    <t>Área de Concessão: 3</t>
  </si>
  <si>
    <t>Área de Concessão: 4</t>
  </si>
  <si>
    <t>Área de Concessão: 5</t>
  </si>
  <si>
    <t>Área de Concessão: 6</t>
  </si>
  <si>
    <t>Área de Concessão: 7</t>
  </si>
  <si>
    <t>Área de Concessão: 8</t>
  </si>
  <si>
    <t>BENEFÍCIOS   (discriminar itens)</t>
  </si>
  <si>
    <t>BENEFÍCIOS   (discriminar valores)</t>
  </si>
  <si>
    <t>A.1. CUSTOS OPERACIONAIS (A.1.1 + A.1.2 + A.1.3 )</t>
  </si>
  <si>
    <t>B.1. INVESTIMENTOS (B.1.1 + B.1.2 + B.1.3)</t>
  </si>
  <si>
    <t>RESUMO DAS DESPESAS OPERACIONAIS E DOS INVESTIMENTOS  (PARTE I - SISTEMA ÔNIBUS)</t>
  </si>
  <si>
    <t>A.1. CUSTOS OPERACIONAIS (A.1.1 + A.1.2 + A.1.3)</t>
  </si>
  <si>
    <t>B.1. INVESTIMENTOS (B.1.1 + B.1.2)</t>
  </si>
  <si>
    <t>FLUXO DE CAIXA DA CONCESSÃO - (PARTE III - CONSOLIDADO)</t>
  </si>
  <si>
    <t>B.2. VALOR REALIZADO DO ATIVO PERMANENTE</t>
  </si>
  <si>
    <t>A.8. IMPOSTO DE RENDA E CONTRIBUIÇÃO SOCIAL SOBRE O LUCRO</t>
  </si>
  <si>
    <t>A.9. RESULTADO OPERACIONAL LÍQUIDO (A.6. + A.7. - A.8.)</t>
  </si>
  <si>
    <t>B.1.1. Resultado Operacional Líquido (A.9)</t>
  </si>
  <si>
    <t>A.5. AMORT. INVESTIMENTO EM BENS REVERSÍVEIS (Q43-A.3 + Q44-A.3)</t>
  </si>
  <si>
    <t>Resumo das Despesas Operacionais - (Parte I - Sistema Ônibus)</t>
  </si>
  <si>
    <t>Resumo das Despesas Operacionais - (Parte II - Terminais e Estações de Transferência)</t>
  </si>
  <si>
    <t>Fluxo de Caixa da Concessão - (Parte III - Consolidado)</t>
  </si>
  <si>
    <t>C. DESPESAS COM ALUGUEIS (C1+C2)</t>
  </si>
  <si>
    <t>C.1. Despesas com Aluguel de Veículos</t>
  </si>
  <si>
    <t>C.2. Despesas com Aluguel de Equipamentos/Instalações</t>
  </si>
  <si>
    <t>D. CUSTO OPERACIONAL TOTAL (A+B+C)</t>
  </si>
  <si>
    <t>B.1.2. Valores não Desembolsados (Q43-A.1.3 + A.5)</t>
  </si>
  <si>
    <t>A.7. RESULTADO NÃO OPERACIONAL (VENDA ATIVO - VALOR CONTÁBIL)</t>
  </si>
  <si>
    <t>Ano 0</t>
  </si>
  <si>
    <t>QUADRO 16.A</t>
  </si>
  <si>
    <t>16A</t>
  </si>
  <si>
    <t>Despesa de Manutenção de equipamentos de bilhetagem eletrônica e monitoração, embarcados e das garagens</t>
  </si>
  <si>
    <t>Despesa de Operação e Manutenção dos equipamentos dos COC's (Centro de operação de corredores)</t>
  </si>
  <si>
    <t>Demonstrativo dos Custos Semestrais por Veículo - Combustíveis, Óleos e Outros</t>
  </si>
  <si>
    <t>Demonstrativo dos Custos por Tipo de Veículo - Rodagem</t>
  </si>
  <si>
    <t>Demonstrativo dos Custos Semestrais por Tipo de Veículo - Rodagem</t>
  </si>
  <si>
    <t>Demonstrativo dos Custos por Veículo Operacional - Pessoal Operativo</t>
  </si>
  <si>
    <t>Demonstrativo dos Custos Semestrais por Tipo de Veículo - Pessoal Operativo</t>
  </si>
  <si>
    <t>Demonstrativo dos Custos Semestrais por Tipo de Veículo - Depreciação de Veículos</t>
  </si>
  <si>
    <t>Demonstrativo dos Investimentos e Depreciação em Instalações e Equipamentos</t>
  </si>
  <si>
    <t>Demonstrativo dos Fluxos Financeiros dos Investimentos em Bens Reversíveis</t>
  </si>
  <si>
    <t>Demonstrativo dos Fluxos Financeiros dos Financiamentos - Veículos</t>
  </si>
  <si>
    <t>Demonstrativo dos Fluxos Financeiros dos Arrendamentos - Veículos</t>
  </si>
  <si>
    <t>Demonstrativo dos Custos por Quilômetro - Combustíveis, Óleos e Outros</t>
  </si>
  <si>
    <t>PERCURSO MÉDIO SEMESTRAL POR VEÍCULO OPERACIONAL (KM)</t>
  </si>
  <si>
    <t>A) VEÍCULOS NOVOS SEM RODAGEM</t>
  </si>
  <si>
    <t xml:space="preserve"> </t>
  </si>
  <si>
    <t>DEMONSTRATIVO DOS CUSTOS POR QUILÔMETRO</t>
  </si>
  <si>
    <t>DEMONSTRATIVO DOS CUSTOS SEMESTRAIS POR TIPO DE VEÍCULO</t>
  </si>
  <si>
    <t>DEMONSTRATIVO DOS CUSTOS POR TIPO DE VEÍCULO</t>
  </si>
  <si>
    <t>DEMONSTRATIVO DOS CUSTOS POR VEÍCULO OPERACIONAL</t>
  </si>
  <si>
    <t>DEMONSTRATIVO DOS INVESTIMENTOS E DEPRECIAÇÃO EM INSTALAÇÕES E EQUIPAMENTOS</t>
  </si>
  <si>
    <t>DEMONSTRATIVO DOS FLUXOS FINANCEIROS DOS FINANCIAMENTOS</t>
  </si>
  <si>
    <t>DEMONSTRATIVO DOS FLUXOS FINANCEIROS DOS ARRENDAMENTOS</t>
  </si>
  <si>
    <t>CONDIÇÕES DE FINANCIAMENTO DA AQUISIÇÃO DO SISTEMA DE BILHETAGEM ELETRÔNICA</t>
  </si>
  <si>
    <t>CRONOGRAMA FINANCEIRO DOS INVESTIMENTOS EM SISTEMA DE BILHETAGEM ELETRÔNICA</t>
  </si>
  <si>
    <t>1.1 . Relação dos Terminais de Integração e das Estações de Transferência - Área 1</t>
  </si>
  <si>
    <t>Provisórios (1)</t>
  </si>
  <si>
    <t>Quantidade de Estações de Transferência</t>
  </si>
  <si>
    <t>Notas:</t>
  </si>
  <si>
    <t xml:space="preserve">(1) Refere-se aos terminais planejados que, inicialmente, serão operados como </t>
  </si>
  <si>
    <t>terminais provisórios, com custeio a partir do início do contrato.</t>
  </si>
  <si>
    <t>1.1 . Relação dos Terminais de Integração e das Estações de Transferência - Área 2</t>
  </si>
  <si>
    <t>1.1 . Relação dos Terminais de Integração e das Estações de Transferência - Área 3</t>
  </si>
  <si>
    <t>1.1 . Relação dos Terminais de Integração e das Estações de Transferência - Área 4</t>
  </si>
  <si>
    <t>1.1 . Relação dos Terminais de Integração e das Estações de Transferência - Área 5</t>
  </si>
  <si>
    <t>1.1 . Relação dos Terminais de Integração e das Estações de Transferência - Área 6</t>
  </si>
  <si>
    <t>1.1 . Relação dos Terminais de Integração e das Estações de Transferência - Área 7</t>
  </si>
  <si>
    <t>1.1 . Relação dos Terminais de Integração e das Estações de Transferência - Área 8</t>
  </si>
  <si>
    <t>Cronograma de Implantação da Operação</t>
  </si>
  <si>
    <t>Despesas de Manutenção de Terminais  de Integração</t>
  </si>
  <si>
    <t>Despesas de Vigilância de Terminais  de Integração</t>
  </si>
  <si>
    <t>Despesas de Limpeza de Terminais  de Integração</t>
  </si>
  <si>
    <t>Despesas Administrativas de Terminais  de Integração</t>
  </si>
  <si>
    <t>Despesas de Operação de Terminais  de Integração</t>
  </si>
  <si>
    <t>Relação dos Terminais de Integração e das Estações de Transferência -  Área 2</t>
  </si>
  <si>
    <t>Relação dos Terminais de Integração e das Estações de Transferência -  Área 3</t>
  </si>
  <si>
    <t>Relação dos Terminais de Integração e das Estações de Transferência -  Área 4</t>
  </si>
  <si>
    <t>Relação dos Terminais de Integração e das Estações de Transferência -  Área 5</t>
  </si>
  <si>
    <t>Relação dos Terminais de Integração e das Estações de Transferência -  Área 6</t>
  </si>
  <si>
    <t>Relação dos Terminais de Integração e das Estações de Transferência -  Área 7</t>
  </si>
  <si>
    <t>Relação dos Terminais de Integração e das Estações de Transferência -  Área 8</t>
  </si>
  <si>
    <t>Relação dos Terminais de Integração e das Estações de Transferência -  Área 1</t>
  </si>
  <si>
    <t>Despesas de Operação de Terminais de Integração</t>
  </si>
  <si>
    <t>Despesas de Manutenção de Terminais de Integração</t>
  </si>
  <si>
    <t>Despesas de Vigilância de Terminais de Integração</t>
  </si>
  <si>
    <t>Despesas de Limpeza de Terminais de Integração</t>
  </si>
  <si>
    <t>Despesas Administrativas de Terminais de Integração</t>
  </si>
  <si>
    <t>QUADRO 31.E.</t>
  </si>
  <si>
    <t>INSTALAÇÕES, EQUIPAMENTOS E GARAGEM</t>
  </si>
  <si>
    <t>QUADRO 33.E.</t>
  </si>
  <si>
    <t>CRONOGRAMA FINANCEIRO DOS INVESTIMENTOS EM INSTALAÇÕES, EQUIPAMENTOS E GARAGEM</t>
  </si>
  <si>
    <t>QUADRO 30.C.</t>
  </si>
  <si>
    <t>QUADRO 32.D.</t>
  </si>
  <si>
    <t>30C</t>
  </si>
  <si>
    <t>Cronograma Financeiro dos Investimentos em instalações, equipamentos e garagem</t>
  </si>
  <si>
    <t>33E</t>
  </si>
  <si>
    <t>Demonstrativo dos Fluxos Financeiros dos Financiamentos - instalações, equipamentos e garagem</t>
  </si>
  <si>
    <t>32D</t>
  </si>
  <si>
    <t>Cronograma Financeiro dos Investimentos em instalações, equipamentos e garagem - Recursos próprios</t>
  </si>
  <si>
    <t>31E</t>
  </si>
  <si>
    <t>Projeção dos Custos Financeiros - Condições para o financiamento de instalações, equipamentos e garagem</t>
  </si>
  <si>
    <t>RECEITAS</t>
  </si>
  <si>
    <t>ADICIONAIS</t>
  </si>
  <si>
    <t>QUADRO 2.</t>
  </si>
  <si>
    <t>PREÇO E QUANTIDADES ADQUIRIDAS DO SISTEMA DE BILHETAGEM ELETRÔNICA E EQUIPAMENTOS DE MONITORAÇÃO</t>
  </si>
  <si>
    <t>DEPRECIAÇÃO DO SISTEMA DE BILHETAGEM ELETRÔNICA E EQUIPAMENTOS DE MONITORAÇÃO</t>
  </si>
  <si>
    <t>DESPESAS DE MANUTENÇÃO DE EQUIPAMENTOS DOS CENTROS DE OPERAÇÃO DE CORREDORES (COC's), BILHETAGEM ELETRÔNICA E EQUIPAMENTOS DE MONITORAÇÃO</t>
  </si>
  <si>
    <t>CRONOGRAMA FINANCEIRO DOS INVESTIMENTOS NO SISTEMA DE BILHETAGEM ELETRÔNICA E EQUIPAMENTOS DE MONITORAÇÃO</t>
  </si>
  <si>
    <t>E EQUIPAMENTOS DE MONITORAÇÃO</t>
  </si>
  <si>
    <t>DEMONSTRATIVO DOS FLUXOS FINANCEIROS DOS FINANCIAMENTOS EM SISTEMA DE BILHETAGEM ELETRÔNICA E EQUIPAMENTOS DE MONITORAÇÃO</t>
  </si>
  <si>
    <t xml:space="preserve">VEÍCULOS, SISTEMA DE BILHETAGEM ELETRÔNICA, EQUIPAMENTOS DE MONITORAÇÃO, INSTALAÇÕES, OUTROS EQUIPAMENTOS, GARAGEM E </t>
  </si>
  <si>
    <t>Preço e Custo de Depreciação do Sistema de Bilhetagem Eletrônica e Equipamentos de Monitoração</t>
  </si>
  <si>
    <t>Despesas de Manutenção de Equipamentos dos Centros de Operação dos Corredores (COC's), Bilhetagem Eletrônica e Equipamentos de Monitoração</t>
  </si>
  <si>
    <t>Demonstrativo dos Custos Semestrais por Tipo de Veículo - Depreciação do Sistema de Bilhetagem Eletrônica e Equipamentos de Monitoração</t>
  </si>
  <si>
    <t>Cronograma Financeiro dos Investimentos em Sistema de Bilhetagem Eletônica e Equipamentos de Monitoração</t>
  </si>
  <si>
    <t>Projeção dos Custos Financeiros - Condições de Financiamento da aquisição do Sistema de Bilhetagem Eletrônica e Equipamentos de Monitoração</t>
  </si>
  <si>
    <t>Cronograma Financeiro dos Investimentos em Sistema de Bilhetagem Eletrônica e Equipamentos de Monitoração - Recursos próprios</t>
  </si>
  <si>
    <t>Demonstrativo dos Fluxos Financeiros dos Financiamentos - Sistema de Bilhetagem Eletrônica e Equipamentos de Monitoração</t>
  </si>
  <si>
    <t>Consolidação dos Fluxos Financeiros Relativos aos Financiamentos - Veículos, Sistema de Bilhetagem Eletônica, Equipamentos de Monitoração, Instalações, Outros Equipamentos, Garagem e Investimentos em Bens Reversíveis</t>
  </si>
  <si>
    <t>RECEITA DE</t>
  </si>
  <si>
    <t>SERVIÇOS</t>
  </si>
  <si>
    <t>Alíquota do PIS (%)</t>
  </si>
  <si>
    <t>AO SEMESTRE</t>
  </si>
  <si>
    <t xml:space="preserve">   </t>
  </si>
  <si>
    <t>ANEXO 8.1.6.</t>
  </si>
  <si>
    <t>INSTRUÇÕES PARA ELABORAÇÃO DO</t>
  </si>
  <si>
    <t>FLUXO DE CAIXA ECONÔMICO</t>
  </si>
  <si>
    <t>ESTA PLANILHA PERMITE ACESSO OPERACIONAL</t>
  </si>
  <si>
    <t>Van Atende</t>
  </si>
  <si>
    <t>Uniformes</t>
  </si>
  <si>
    <t>Micro Ônibus</t>
  </si>
  <si>
    <t>Padron</t>
  </si>
  <si>
    <t>Articulados</t>
  </si>
  <si>
    <t>Híbrido Piso Baixo</t>
  </si>
  <si>
    <t>Básico</t>
  </si>
  <si>
    <t>Van</t>
  </si>
  <si>
    <t>Micro</t>
  </si>
  <si>
    <t>Articulado</t>
  </si>
  <si>
    <t>Híbrido</t>
  </si>
  <si>
    <t>TÉCNICO</t>
  </si>
  <si>
    <t>Equipamento de Contagem (Veíc. Básico)</t>
  </si>
  <si>
    <t>Equipamento de Contagem (Veíc. Articulado)</t>
  </si>
  <si>
    <t>Equipamento de Contagem (Veíc. Padron)</t>
  </si>
  <si>
    <t>Equipamento de Contagem (Veíc. Híbrido)</t>
  </si>
  <si>
    <t>Equipamento de Contagem (Veíc. Van)</t>
  </si>
  <si>
    <t>Equipamento de Contagem (Veíc. Micro Ônibus)</t>
  </si>
  <si>
    <t>Bilhetagem Eletrônica (por veículo)</t>
  </si>
  <si>
    <t>Monitoramento de Veículo (por veículo)</t>
  </si>
  <si>
    <t>Aluguel</t>
  </si>
  <si>
    <t>Água / Luz / Telefone</t>
  </si>
  <si>
    <t>Veículos auxiliares / combustível</t>
  </si>
  <si>
    <t>Sinistros / acidentes / assaltos</t>
  </si>
  <si>
    <t>Mat. Escrit. / Despachante</t>
  </si>
  <si>
    <t>Manutenção predial / equipamentos</t>
  </si>
  <si>
    <t>Serv. de Consult. e Advocacia</t>
  </si>
  <si>
    <t>Transp. Valores / Segurança</t>
  </si>
  <si>
    <t>Seguros / Indenização de terceiros</t>
  </si>
  <si>
    <t>IPTU / IPVA</t>
  </si>
  <si>
    <t>Despesas diversas</t>
  </si>
  <si>
    <t>Gerente / Encarregado / Inspetor (Tráfego)</t>
  </si>
  <si>
    <t>Auxiliar / Escalante / Planejamento (Tráfego)</t>
  </si>
  <si>
    <t>Vistoriador / Fiscal (Tráfego)</t>
  </si>
  <si>
    <t>Analista / Gerente / Sup. RH / Encarregado</t>
  </si>
  <si>
    <t>Equipe de Seg. e Medicina do Trabalho</t>
  </si>
  <si>
    <t>Instrutor / Mot. Instrutor</t>
  </si>
  <si>
    <t>Recebedor / Aux, Adm. / Assist. Adm.</t>
  </si>
  <si>
    <t>Recep. / Op. Micro / Boy / Serviços gerais</t>
  </si>
  <si>
    <t>Equipamentos Semafóricos</t>
  </si>
  <si>
    <t>Terminal Vila Prudente</t>
  </si>
  <si>
    <t>Terminal Parque D. Pedro II</t>
  </si>
  <si>
    <t>Terminal Sacomã</t>
  </si>
  <si>
    <t>Central de Operação da Concessionária (Sacomã)</t>
  </si>
  <si>
    <t>Centro de Controle Operacional</t>
  </si>
  <si>
    <t>INSTALAÇÕES E EQUIPAMENTOS</t>
  </si>
  <si>
    <t>Terminais COHAB Teotônio e São Lucas</t>
  </si>
  <si>
    <t>Vale Ref., C. Bás, Seg. vida, Plano Saúde</t>
  </si>
  <si>
    <t>BILHETAGEM</t>
  </si>
  <si>
    <t>Não há</t>
  </si>
  <si>
    <t>COT, COC, CCO</t>
  </si>
  <si>
    <t>CTA e Equip. Semafóricos</t>
  </si>
  <si>
    <t>Instalações, Equip. e Garagem</t>
  </si>
  <si>
    <t>Área de Concessão: 5 (Cinco)</t>
  </si>
  <si>
    <t>Proponente: TransPolitécnica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</si>
</sst>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6" formatCode="&quot;R$ &quot;#,##0.00_);\(&quot;R$ &quot;#,##0.00\)"/>
    <numFmt numFmtId="171" formatCode="_(* #,##0.00_);_(* \(#,##0.00\);_(* &quot;-&quot;??_);_(@_)"/>
    <numFmt numFmtId="180" formatCode="0.0000"/>
    <numFmt numFmtId="181" formatCode="0.000"/>
    <numFmt numFmtId="182" formatCode="#,##0.0000_);\(#,##0.0000\)"/>
    <numFmt numFmtId="183" formatCode="#,##0.000000_);\(#,##0.000000\)"/>
    <numFmt numFmtId="188" formatCode="#,##0.000_);\(#,##0.000\)"/>
    <numFmt numFmtId="198" formatCode="0.000000000"/>
    <numFmt numFmtId="199" formatCode="0.0%"/>
    <numFmt numFmtId="201" formatCode="_(* #,##0_);_(* \(#,##0\);_(* &quot;-&quot;??_);_(@_)"/>
    <numFmt numFmtId="202" formatCode="#,##0.0_);\(#,##0.0\)"/>
  </numFmts>
  <fonts count="41" x14ac:knownFonts="1">
    <font>
      <sz val="10"/>
      <name val="Arial"/>
    </font>
    <font>
      <sz val="10"/>
      <name val="Arial"/>
    </font>
    <font>
      <b/>
      <u/>
      <sz val="14"/>
      <color indexed="8"/>
      <name val="Arial"/>
      <family val="2"/>
    </font>
    <font>
      <sz val="12"/>
      <color indexed="8"/>
      <name val="Arial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name val="Arial"/>
    </font>
    <font>
      <i/>
      <sz val="10"/>
      <color indexed="8"/>
      <name val="Arial"/>
      <family val="2"/>
    </font>
    <font>
      <b/>
      <sz val="14"/>
      <color indexed="8"/>
      <name val="Arial"/>
      <family val="2"/>
    </font>
    <font>
      <b/>
      <i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color indexed="14"/>
      <name val="Arial"/>
      <family val="2"/>
    </font>
    <font>
      <b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10"/>
      <name val="Arial"/>
      <family val="2"/>
    </font>
    <font>
      <sz val="10"/>
      <name val="Courier"/>
    </font>
    <font>
      <b/>
      <u/>
      <sz val="14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11"/>
      <color indexed="8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u/>
      <sz val="11"/>
      <name val="Arial"/>
      <family val="2"/>
    </font>
    <font>
      <b/>
      <sz val="18"/>
      <name val="Arial"/>
      <family val="2"/>
    </font>
    <font>
      <b/>
      <sz val="18"/>
      <color indexed="10"/>
      <name val="Arial"/>
      <family val="2"/>
    </font>
    <font>
      <sz val="10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gray125">
        <fgColor indexed="8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73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10"/>
      </bottom>
      <diagonal/>
    </border>
    <border>
      <left/>
      <right/>
      <top style="medium">
        <color indexed="10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</borders>
  <cellStyleXfs count="6">
    <xf numFmtId="0" fontId="0" fillId="0" borderId="0"/>
    <xf numFmtId="0" fontId="20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710">
    <xf numFmtId="0" fontId="0" fillId="0" borderId="0" xfId="0"/>
    <xf numFmtId="0" fontId="2" fillId="0" borderId="0" xfId="0" applyFont="1" applyFill="1" applyProtection="1"/>
    <xf numFmtId="0" fontId="3" fillId="0" borderId="0" xfId="0" applyFont="1" applyFill="1" applyProtection="1"/>
    <xf numFmtId="0" fontId="0" fillId="0" borderId="0" xfId="0" applyFill="1"/>
    <xf numFmtId="0" fontId="4" fillId="0" borderId="0" xfId="0" applyFont="1" applyFill="1" applyProtection="1"/>
    <xf numFmtId="0" fontId="5" fillId="0" borderId="0" xfId="0" applyFont="1" applyFill="1" applyProtection="1"/>
    <xf numFmtId="0" fontId="5" fillId="0" borderId="1" xfId="0" applyFont="1" applyFill="1" applyBorder="1" applyAlignment="1" applyProtection="1">
      <alignment horizontal="center"/>
    </xf>
    <xf numFmtId="0" fontId="5" fillId="0" borderId="2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5" fillId="0" borderId="5" xfId="0" applyFont="1" applyFill="1" applyBorder="1" applyAlignment="1" applyProtection="1">
      <alignment horizontal="center"/>
    </xf>
    <xf numFmtId="0" fontId="5" fillId="0" borderId="6" xfId="0" applyFont="1" applyFill="1" applyBorder="1" applyAlignment="1" applyProtection="1">
      <alignment horizontal="center"/>
    </xf>
    <xf numFmtId="0" fontId="5" fillId="0" borderId="7" xfId="0" applyFont="1" applyFill="1" applyBorder="1" applyAlignment="1" applyProtection="1">
      <alignment horizontal="center"/>
    </xf>
    <xf numFmtId="0" fontId="5" fillId="0" borderId="8" xfId="0" applyFont="1" applyFill="1" applyBorder="1" applyProtection="1"/>
    <xf numFmtId="0" fontId="4" fillId="0" borderId="0" xfId="0" applyFont="1" applyFill="1" applyAlignment="1" applyProtection="1">
      <alignment horizontal="right"/>
    </xf>
    <xf numFmtId="0" fontId="5" fillId="0" borderId="9" xfId="0" applyFont="1" applyFill="1" applyBorder="1" applyProtection="1"/>
    <xf numFmtId="0" fontId="5" fillId="0" borderId="3" xfId="0" applyFont="1" applyFill="1" applyBorder="1" applyProtection="1"/>
    <xf numFmtId="0" fontId="5" fillId="0" borderId="0" xfId="0" applyFont="1" applyFill="1" applyBorder="1" applyProtection="1"/>
    <xf numFmtId="0" fontId="2" fillId="0" borderId="0" xfId="0" applyFont="1" applyProtection="1"/>
    <xf numFmtId="0" fontId="3" fillId="0" borderId="0" xfId="0" applyFont="1" applyProtection="1"/>
    <xf numFmtId="0" fontId="4" fillId="0" borderId="0" xfId="0" applyFont="1" applyProtection="1"/>
    <xf numFmtId="0" fontId="5" fillId="0" borderId="0" xfId="0" applyFont="1" applyProtection="1"/>
    <xf numFmtId="0" fontId="4" fillId="0" borderId="10" xfId="0" applyFont="1" applyBorder="1" applyAlignment="1" applyProtection="1">
      <alignment horizontal="centerContinuous" vertical="center"/>
    </xf>
    <xf numFmtId="0" fontId="5" fillId="0" borderId="11" xfId="0" applyFont="1" applyBorder="1" applyAlignment="1" applyProtection="1">
      <alignment horizontal="centerContinuous" vertical="center"/>
    </xf>
    <xf numFmtId="0" fontId="6" fillId="0" borderId="1" xfId="0" applyFont="1" applyBorder="1" applyAlignment="1" applyProtection="1">
      <alignment horizontal="center"/>
    </xf>
    <xf numFmtId="0" fontId="5" fillId="0" borderId="12" xfId="0" applyFont="1" applyBorder="1" applyAlignment="1" applyProtection="1">
      <alignment horizontal="centerContinuous" vertical="center"/>
    </xf>
    <xf numFmtId="0" fontId="5" fillId="0" borderId="9" xfId="0" applyFont="1" applyBorder="1" applyProtection="1"/>
    <xf numFmtId="0" fontId="5" fillId="0" borderId="13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5" fillId="0" borderId="4" xfId="0" applyFont="1" applyBorder="1" applyProtection="1"/>
    <xf numFmtId="0" fontId="5" fillId="2" borderId="4" xfId="0" applyFont="1" applyFill="1" applyBorder="1" applyProtection="1"/>
    <xf numFmtId="0" fontId="7" fillId="0" borderId="0" xfId="0" applyFont="1" applyProtection="1"/>
    <xf numFmtId="0" fontId="2" fillId="0" borderId="0" xfId="3" applyFont="1" applyProtection="1"/>
    <xf numFmtId="0" fontId="5" fillId="0" borderId="0" xfId="3" applyFont="1" applyProtection="1"/>
    <xf numFmtId="0" fontId="8" fillId="0" borderId="0" xfId="3"/>
    <xf numFmtId="0" fontId="4" fillId="0" borderId="0" xfId="3" applyFont="1" applyProtection="1"/>
    <xf numFmtId="0" fontId="7" fillId="0" borderId="0" xfId="3" applyFont="1" applyProtection="1"/>
    <xf numFmtId="0" fontId="4" fillId="0" borderId="10" xfId="3" applyFont="1" applyBorder="1" applyAlignment="1" applyProtection="1">
      <alignment horizontal="centerContinuous" vertical="center"/>
    </xf>
    <xf numFmtId="0" fontId="5" fillId="0" borderId="11" xfId="3" applyFont="1" applyBorder="1" applyAlignment="1" applyProtection="1">
      <alignment horizontal="centerContinuous" vertical="center"/>
    </xf>
    <xf numFmtId="0" fontId="5" fillId="0" borderId="12" xfId="3" applyFont="1" applyBorder="1" applyAlignment="1" applyProtection="1">
      <alignment horizontal="centerContinuous" vertical="center"/>
    </xf>
    <xf numFmtId="0" fontId="6" fillId="0" borderId="1" xfId="3" applyFont="1" applyBorder="1" applyAlignment="1" applyProtection="1">
      <alignment horizontal="center"/>
    </xf>
    <xf numFmtId="0" fontId="5" fillId="0" borderId="9" xfId="3" applyFont="1" applyBorder="1" applyProtection="1"/>
    <xf numFmtId="0" fontId="6" fillId="0" borderId="9" xfId="3" applyFont="1" applyBorder="1" applyAlignment="1" applyProtection="1">
      <alignment horizontal="center"/>
    </xf>
    <xf numFmtId="0" fontId="6" fillId="0" borderId="3" xfId="3" applyFont="1" applyBorder="1" applyAlignment="1" applyProtection="1">
      <alignment horizontal="center"/>
    </xf>
    <xf numFmtId="0" fontId="5" fillId="0" borderId="4" xfId="3" applyFont="1" applyBorder="1" applyProtection="1"/>
    <xf numFmtId="0" fontId="5" fillId="2" borderId="4" xfId="3" applyFont="1" applyFill="1" applyBorder="1" applyProtection="1"/>
    <xf numFmtId="0" fontId="9" fillId="0" borderId="0" xfId="0" applyFont="1" applyProtection="1"/>
    <xf numFmtId="0" fontId="5" fillId="0" borderId="14" xfId="0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9" xfId="0" applyFont="1" applyBorder="1" applyAlignment="1" applyProtection="1">
      <alignment horizontal="center"/>
    </xf>
    <xf numFmtId="0" fontId="5" fillId="0" borderId="3" xfId="0" applyFont="1" applyBorder="1" applyAlignment="1" applyProtection="1">
      <alignment horizontal="center"/>
    </xf>
    <xf numFmtId="0" fontId="5" fillId="0" borderId="4" xfId="0" quotePrefix="1" applyFont="1" applyBorder="1" applyAlignment="1" applyProtection="1">
      <alignment horizontal="center"/>
    </xf>
    <xf numFmtId="0" fontId="4" fillId="0" borderId="11" xfId="0" applyFont="1" applyBorder="1" applyAlignment="1" applyProtection="1">
      <alignment horizontal="centerContinuous" vertical="center"/>
    </xf>
    <xf numFmtId="0" fontId="10" fillId="0" borderId="0" xfId="0" applyFont="1" applyProtection="1"/>
    <xf numFmtId="0" fontId="11" fillId="0" borderId="0" xfId="0" applyFont="1" applyProtection="1"/>
    <xf numFmtId="0" fontId="5" fillId="0" borderId="13" xfId="0" applyFont="1" applyBorder="1" applyProtection="1"/>
    <xf numFmtId="39" fontId="5" fillId="0" borderId="13" xfId="0" applyNumberFormat="1" applyFont="1" applyBorder="1" applyAlignment="1" applyProtection="1">
      <alignment horizontal="center"/>
    </xf>
    <xf numFmtId="39" fontId="5" fillId="0" borderId="0" xfId="0" applyNumberFormat="1" applyFont="1" applyProtection="1"/>
    <xf numFmtId="182" fontId="12" fillId="0" borderId="4" xfId="0" applyNumberFormat="1" applyFont="1" applyBorder="1" applyProtection="1"/>
    <xf numFmtId="0" fontId="13" fillId="0" borderId="0" xfId="0" applyFont="1" applyProtection="1"/>
    <xf numFmtId="0" fontId="5" fillId="0" borderId="1" xfId="0" applyFont="1" applyBorder="1" applyProtection="1"/>
    <xf numFmtId="166" fontId="5" fillId="0" borderId="13" xfId="0" applyNumberFormat="1" applyFont="1" applyBorder="1" applyAlignment="1" applyProtection="1">
      <alignment horizontal="center"/>
    </xf>
    <xf numFmtId="0" fontId="5" fillId="0" borderId="13" xfId="0" applyFont="1" applyBorder="1" applyAlignment="1" applyProtection="1">
      <alignment horizontal="center" vertical="center"/>
    </xf>
    <xf numFmtId="39" fontId="12" fillId="0" borderId="4" xfId="0" applyNumberFormat="1" applyFont="1" applyBorder="1" applyProtection="1"/>
    <xf numFmtId="0" fontId="14" fillId="0" borderId="4" xfId="0" applyFont="1" applyBorder="1" applyProtection="1"/>
    <xf numFmtId="0" fontId="16" fillId="0" borderId="0" xfId="0" applyFont="1" applyProtection="1"/>
    <xf numFmtId="166" fontId="14" fillId="0" borderId="0" xfId="0" applyNumberFormat="1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166" fontId="15" fillId="0" borderId="0" xfId="0" applyNumberFormat="1" applyFont="1" applyProtection="1"/>
    <xf numFmtId="0" fontId="14" fillId="0" borderId="0" xfId="0" applyFont="1" applyProtection="1"/>
    <xf numFmtId="166" fontId="5" fillId="0" borderId="2" xfId="0" applyNumberFormat="1" applyFont="1" applyBorder="1" applyAlignment="1" applyProtection="1">
      <alignment horizontal="center"/>
    </xf>
    <xf numFmtId="166" fontId="5" fillId="0" borderId="3" xfId="0" applyNumberFormat="1" applyFont="1" applyBorder="1" applyAlignment="1" applyProtection="1">
      <alignment horizontal="center"/>
    </xf>
    <xf numFmtId="0" fontId="15" fillId="0" borderId="0" xfId="0" applyFont="1" applyProtection="1"/>
    <xf numFmtId="0" fontId="5" fillId="0" borderId="0" xfId="0" applyFont="1" applyAlignment="1" applyProtection="1">
      <alignment horizontal="center"/>
    </xf>
    <xf numFmtId="166" fontId="5" fillId="0" borderId="0" xfId="0" applyNumberFormat="1" applyFont="1" applyAlignment="1" applyProtection="1">
      <alignment horizontal="center"/>
    </xf>
    <xf numFmtId="0" fontId="12" fillId="0" borderId="0" xfId="0" applyFont="1" applyProtection="1"/>
    <xf numFmtId="0" fontId="6" fillId="0" borderId="0" xfId="0" applyFont="1" applyProtection="1"/>
    <xf numFmtId="0" fontId="3" fillId="0" borderId="0" xfId="3" applyFont="1" applyProtection="1"/>
    <xf numFmtId="0" fontId="5" fillId="0" borderId="1" xfId="3" applyFont="1" applyBorder="1" applyProtection="1"/>
    <xf numFmtId="0" fontId="5" fillId="0" borderId="2" xfId="3" applyFont="1" applyBorder="1" applyAlignment="1" applyProtection="1">
      <alignment horizontal="center"/>
    </xf>
    <xf numFmtId="0" fontId="5" fillId="0" borderId="3" xfId="3" applyFont="1" applyBorder="1" applyAlignment="1" applyProtection="1">
      <alignment horizontal="center"/>
    </xf>
    <xf numFmtId="0" fontId="5" fillId="0" borderId="13" xfId="3" applyFont="1" applyBorder="1" applyAlignment="1" applyProtection="1">
      <alignment horizontal="center"/>
    </xf>
    <xf numFmtId="0" fontId="11" fillId="0" borderId="0" xfId="3" applyFont="1" applyProtection="1"/>
    <xf numFmtId="0" fontId="14" fillId="0" borderId="15" xfId="3" applyFont="1" applyBorder="1" applyAlignment="1" applyProtection="1">
      <alignment horizontal="center"/>
    </xf>
    <xf numFmtId="0" fontId="4" fillId="0" borderId="16" xfId="3" applyFont="1" applyBorder="1" applyAlignment="1" applyProtection="1">
      <alignment horizontal="centerContinuous" vertical="center"/>
    </xf>
    <xf numFmtId="0" fontId="5" fillId="0" borderId="17" xfId="3" applyFont="1" applyBorder="1" applyAlignment="1" applyProtection="1">
      <alignment horizontal="centerContinuous" vertical="center"/>
    </xf>
    <xf numFmtId="0" fontId="5" fillId="0" borderId="18" xfId="3" applyFont="1" applyBorder="1" applyAlignment="1" applyProtection="1">
      <alignment horizontal="centerContinuous" vertical="center"/>
    </xf>
    <xf numFmtId="0" fontId="14" fillId="0" borderId="9" xfId="3" applyFont="1" applyBorder="1" applyProtection="1"/>
    <xf numFmtId="0" fontId="14" fillId="0" borderId="19" xfId="3" applyFont="1" applyBorder="1" applyAlignment="1" applyProtection="1">
      <alignment horizontal="center"/>
    </xf>
    <xf numFmtId="0" fontId="14" fillId="0" borderId="4" xfId="3" applyFont="1" applyBorder="1" applyProtection="1"/>
    <xf numFmtId="0" fontId="14" fillId="0" borderId="4" xfId="3" applyFont="1" applyBorder="1" applyAlignment="1" applyProtection="1">
      <alignment horizontal="center"/>
    </xf>
    <xf numFmtId="183" fontId="12" fillId="0" borderId="4" xfId="3" applyNumberFormat="1" applyFont="1" applyBorder="1" applyProtection="1"/>
    <xf numFmtId="0" fontId="5" fillId="0" borderId="4" xfId="3" applyFont="1" applyBorder="1" applyAlignment="1" applyProtection="1">
      <alignment horizontal="center"/>
    </xf>
    <xf numFmtId="0" fontId="6" fillId="0" borderId="0" xfId="3" applyFont="1" applyProtection="1"/>
    <xf numFmtId="0" fontId="10" fillId="0" borderId="0" xfId="3" applyFont="1" applyProtection="1"/>
    <xf numFmtId="0" fontId="5" fillId="0" borderId="1" xfId="3" applyFont="1" applyBorder="1" applyAlignment="1" applyProtection="1">
      <alignment horizontal="center"/>
    </xf>
    <xf numFmtId="0" fontId="6" fillId="0" borderId="20" xfId="3" applyFont="1" applyBorder="1" applyAlignment="1" applyProtection="1">
      <alignment horizontal="centerContinuous" vertical="center"/>
    </xf>
    <xf numFmtId="0" fontId="5" fillId="0" borderId="20" xfId="3" applyFont="1" applyBorder="1" applyAlignment="1" applyProtection="1">
      <alignment horizontal="centerContinuous" vertical="center"/>
    </xf>
    <xf numFmtId="0" fontId="5" fillId="0" borderId="2" xfId="3" applyFont="1" applyBorder="1" applyAlignment="1" applyProtection="1">
      <alignment horizontal="centerContinuous" vertical="center"/>
    </xf>
    <xf numFmtId="0" fontId="5" fillId="0" borderId="9" xfId="3" applyFont="1" applyBorder="1" applyAlignment="1" applyProtection="1">
      <alignment horizontal="center"/>
    </xf>
    <xf numFmtId="0" fontId="5" fillId="0" borderId="0" xfId="3" applyFont="1" applyAlignment="1" applyProtection="1">
      <alignment horizontal="center"/>
    </xf>
    <xf numFmtId="0" fontId="5" fillId="0" borderId="4" xfId="3" applyFont="1" applyBorder="1" applyAlignment="1" applyProtection="1">
      <alignment horizontal="right"/>
    </xf>
    <xf numFmtId="0" fontId="6" fillId="0" borderId="10" xfId="3" applyFont="1" applyBorder="1" applyProtection="1"/>
    <xf numFmtId="0" fontId="5" fillId="0" borderId="13" xfId="3" applyFont="1" applyBorder="1" applyProtection="1"/>
    <xf numFmtId="0" fontId="6" fillId="0" borderId="1" xfId="3" applyFont="1" applyBorder="1" applyProtection="1"/>
    <xf numFmtId="0" fontId="3" fillId="0" borderId="0" xfId="3" applyFont="1" applyAlignment="1" applyProtection="1">
      <alignment horizontal="left" vertical="center"/>
    </xf>
    <xf numFmtId="0" fontId="3" fillId="0" borderId="0" xfId="3" applyFont="1" applyAlignment="1" applyProtection="1">
      <alignment horizontal="center" vertical="center"/>
    </xf>
    <xf numFmtId="0" fontId="6" fillId="0" borderId="9" xfId="3" applyFont="1" applyBorder="1" applyProtection="1"/>
    <xf numFmtId="0" fontId="4" fillId="0" borderId="17" xfId="3" applyFont="1" applyBorder="1" applyAlignment="1" applyProtection="1">
      <alignment horizontal="centerContinuous" vertical="center"/>
    </xf>
    <xf numFmtId="0" fontId="14" fillId="0" borderId="4" xfId="0" applyFont="1" applyBorder="1" applyAlignment="1" applyProtection="1">
      <alignment horizontal="center"/>
    </xf>
    <xf numFmtId="0" fontId="6" fillId="0" borderId="21" xfId="3" applyFont="1" applyBorder="1" applyProtection="1"/>
    <xf numFmtId="182" fontId="6" fillId="0" borderId="21" xfId="3" applyNumberFormat="1" applyFont="1" applyBorder="1" applyAlignment="1" applyProtection="1">
      <alignment horizontal="center"/>
    </xf>
    <xf numFmtId="0" fontId="6" fillId="0" borderId="21" xfId="3" applyFont="1" applyBorder="1" applyAlignment="1" applyProtection="1">
      <alignment horizontal="center"/>
    </xf>
    <xf numFmtId="0" fontId="6" fillId="0" borderId="22" xfId="3" applyFont="1" applyBorder="1" applyProtection="1"/>
    <xf numFmtId="0" fontId="6" fillId="0" borderId="23" xfId="3" applyFont="1" applyBorder="1" applyProtection="1"/>
    <xf numFmtId="0" fontId="6" fillId="0" borderId="13" xfId="3" applyFont="1" applyBorder="1" applyProtection="1"/>
    <xf numFmtId="0" fontId="6" fillId="0" borderId="13" xfId="3" applyFont="1" applyBorder="1" applyAlignment="1" applyProtection="1">
      <alignment horizontal="center"/>
    </xf>
    <xf numFmtId="0" fontId="5" fillId="0" borderId="4" xfId="3" applyFont="1" applyBorder="1" applyAlignment="1" applyProtection="1">
      <alignment horizontal="left"/>
    </xf>
    <xf numFmtId="10" fontId="5" fillId="0" borderId="4" xfId="3" applyNumberFormat="1" applyFont="1" applyBorder="1" applyProtection="1"/>
    <xf numFmtId="0" fontId="6" fillId="0" borderId="4" xfId="3" applyFont="1" applyBorder="1" applyProtection="1"/>
    <xf numFmtId="182" fontId="4" fillId="2" borderId="4" xfId="3" applyNumberFormat="1" applyFont="1" applyFill="1" applyBorder="1" applyProtection="1"/>
    <xf numFmtId="0" fontId="9" fillId="0" borderId="0" xfId="3" applyFont="1" applyProtection="1"/>
    <xf numFmtId="10" fontId="4" fillId="0" borderId="0" xfId="3" applyNumberFormat="1" applyFont="1" applyProtection="1"/>
    <xf numFmtId="0" fontId="7" fillId="0" borderId="13" xfId="3" applyFont="1" applyBorder="1" applyProtection="1"/>
    <xf numFmtId="10" fontId="7" fillId="2" borderId="13" xfId="3" applyNumberFormat="1" applyFont="1" applyFill="1" applyBorder="1" applyProtection="1"/>
    <xf numFmtId="10" fontId="7" fillId="0" borderId="0" xfId="3" applyNumberFormat="1" applyFont="1" applyProtection="1"/>
    <xf numFmtId="0" fontId="5" fillId="0" borderId="0" xfId="3" applyFont="1" applyAlignment="1" applyProtection="1">
      <alignment horizontal="left"/>
    </xf>
    <xf numFmtId="10" fontId="5" fillId="2" borderId="4" xfId="3" applyNumberFormat="1" applyFont="1" applyFill="1" applyBorder="1" applyProtection="1"/>
    <xf numFmtId="0" fontId="3" fillId="0" borderId="13" xfId="3" applyFont="1" applyBorder="1" applyProtection="1"/>
    <xf numFmtId="10" fontId="3" fillId="2" borderId="13" xfId="3" applyNumberFormat="1" applyFont="1" applyFill="1" applyBorder="1" applyProtection="1"/>
    <xf numFmtId="10" fontId="12" fillId="0" borderId="0" xfId="3" applyNumberFormat="1" applyFont="1" applyProtection="1"/>
    <xf numFmtId="0" fontId="6" fillId="0" borderId="2" xfId="3" applyFont="1" applyBorder="1" applyAlignment="1" applyProtection="1">
      <alignment horizontal="centerContinuous" vertical="center"/>
    </xf>
    <xf numFmtId="0" fontId="6" fillId="0" borderId="3" xfId="3" applyFont="1" applyBorder="1" applyAlignment="1" applyProtection="1">
      <alignment horizontal="centerContinuous" vertical="center"/>
    </xf>
    <xf numFmtId="39" fontId="5" fillId="0" borderId="0" xfId="3" applyNumberFormat="1" applyFont="1" applyProtection="1"/>
    <xf numFmtId="0" fontId="12" fillId="0" borderId="0" xfId="3" applyFont="1" applyProtection="1"/>
    <xf numFmtId="39" fontId="6" fillId="2" borderId="13" xfId="3" applyNumberFormat="1" applyFont="1" applyFill="1" applyBorder="1" applyProtection="1"/>
    <xf numFmtId="183" fontId="5" fillId="0" borderId="0" xfId="3" applyNumberFormat="1" applyFont="1" applyProtection="1"/>
    <xf numFmtId="0" fontId="14" fillId="0" borderId="0" xfId="3" applyFont="1" applyProtection="1"/>
    <xf numFmtId="0" fontId="6" fillId="0" borderId="10" xfId="3" applyFont="1" applyBorder="1" applyAlignment="1" applyProtection="1">
      <alignment horizontal="centerContinuous" vertical="center"/>
    </xf>
    <xf numFmtId="0" fontId="6" fillId="0" borderId="11" xfId="3" applyFont="1" applyBorder="1" applyAlignment="1" applyProtection="1">
      <alignment horizontal="centerContinuous" vertical="center"/>
    </xf>
    <xf numFmtId="0" fontId="6" fillId="0" borderId="12" xfId="3" applyFont="1" applyBorder="1" applyAlignment="1" applyProtection="1">
      <alignment horizontal="centerContinuous" vertical="center"/>
    </xf>
    <xf numFmtId="39" fontId="5" fillId="2" borderId="4" xfId="3" applyNumberFormat="1" applyFont="1" applyFill="1" applyBorder="1" applyProtection="1"/>
    <xf numFmtId="0" fontId="6" fillId="0" borderId="24" xfId="3" applyFont="1" applyBorder="1" applyAlignment="1" applyProtection="1">
      <alignment horizontal="centerContinuous" vertical="center"/>
    </xf>
    <xf numFmtId="0" fontId="6" fillId="0" borderId="17" xfId="3" applyFont="1" applyBorder="1" applyAlignment="1" applyProtection="1">
      <alignment horizontal="centerContinuous" vertical="center"/>
    </xf>
    <xf numFmtId="39" fontId="6" fillId="2" borderId="4" xfId="3" applyNumberFormat="1" applyFont="1" applyFill="1" applyBorder="1" applyProtection="1"/>
    <xf numFmtId="0" fontId="6" fillId="0" borderId="13" xfId="0" applyFont="1" applyBorder="1" applyAlignment="1" applyProtection="1">
      <alignment horizontal="center"/>
    </xf>
    <xf numFmtId="0" fontId="4" fillId="0" borderId="11" xfId="3" applyFont="1" applyBorder="1" applyAlignment="1" applyProtection="1">
      <alignment horizontal="centerContinuous" vertical="center"/>
    </xf>
    <xf numFmtId="171" fontId="5" fillId="2" borderId="4" xfId="5" applyFont="1" applyFill="1" applyBorder="1" applyProtection="1"/>
    <xf numFmtId="4" fontId="5" fillId="2" borderId="4" xfId="5" applyNumberFormat="1" applyFont="1" applyFill="1" applyBorder="1" applyProtection="1"/>
    <xf numFmtId="0" fontId="5" fillId="2" borderId="25" xfId="3" applyFont="1" applyFill="1" applyBorder="1" applyProtection="1"/>
    <xf numFmtId="0" fontId="17" fillId="0" borderId="11" xfId="3" applyFont="1" applyBorder="1" applyAlignment="1" applyProtection="1">
      <alignment horizontal="centerContinuous" vertical="center"/>
    </xf>
    <xf numFmtId="0" fontId="3" fillId="0" borderId="12" xfId="3" applyFont="1" applyBorder="1" applyAlignment="1" applyProtection="1">
      <alignment horizontal="centerContinuous" vertical="center"/>
    </xf>
    <xf numFmtId="0" fontId="3" fillId="0" borderId="9" xfId="3" applyFont="1" applyBorder="1" applyProtection="1"/>
    <xf numFmtId="180" fontId="6" fillId="2" borderId="4" xfId="3" applyNumberFormat="1" applyFont="1" applyFill="1" applyBorder="1" applyProtection="1"/>
    <xf numFmtId="0" fontId="5" fillId="0" borderId="26" xfId="0" applyFont="1" applyBorder="1" applyProtection="1"/>
    <xf numFmtId="39" fontId="5" fillId="2" borderId="27" xfId="3" applyNumberFormat="1" applyFont="1" applyFill="1" applyBorder="1" applyProtection="1"/>
    <xf numFmtId="171" fontId="5" fillId="0" borderId="4" xfId="5" applyFont="1" applyBorder="1" applyProtection="1"/>
    <xf numFmtId="171" fontId="6" fillId="3" borderId="4" xfId="5" applyFont="1" applyFill="1" applyBorder="1" applyProtection="1"/>
    <xf numFmtId="171" fontId="5" fillId="0" borderId="0" xfId="5" applyFont="1" applyProtection="1"/>
    <xf numFmtId="171" fontId="5" fillId="3" borderId="4" xfId="5" applyFont="1" applyFill="1" applyBorder="1" applyProtection="1"/>
    <xf numFmtId="171" fontId="8" fillId="0" borderId="0" xfId="5" applyFont="1"/>
    <xf numFmtId="171" fontId="4" fillId="3" borderId="4" xfId="5" applyFont="1" applyFill="1" applyBorder="1" applyProtection="1"/>
    <xf numFmtId="0" fontId="4" fillId="0" borderId="14" xfId="3" applyFont="1" applyBorder="1" applyProtection="1"/>
    <xf numFmtId="2" fontId="5" fillId="3" borderId="4" xfId="0" applyNumberFormat="1" applyFont="1" applyFill="1" applyBorder="1" applyProtection="1"/>
    <xf numFmtId="9" fontId="5" fillId="0" borderId="4" xfId="4" applyFont="1" applyBorder="1" applyProtection="1"/>
    <xf numFmtId="0" fontId="5" fillId="0" borderId="4" xfId="3" applyFont="1" applyFill="1" applyBorder="1" applyProtection="1"/>
    <xf numFmtId="0" fontId="5" fillId="3" borderId="4" xfId="3" applyFont="1" applyFill="1" applyBorder="1" applyProtection="1"/>
    <xf numFmtId="0" fontId="21" fillId="0" borderId="0" xfId="2" applyFont="1" applyProtection="1"/>
    <xf numFmtId="0" fontId="8" fillId="0" borderId="0" xfId="2"/>
    <xf numFmtId="0" fontId="22" fillId="0" borderId="0" xfId="2" applyFont="1" applyProtection="1"/>
    <xf numFmtId="0" fontId="23" fillId="0" borderId="0" xfId="2" applyFont="1" applyProtection="1"/>
    <xf numFmtId="0" fontId="24" fillId="0" borderId="0" xfId="2" applyFont="1" applyProtection="1"/>
    <xf numFmtId="10" fontId="24" fillId="0" borderId="0" xfId="2" applyNumberFormat="1" applyFont="1" applyProtection="1"/>
    <xf numFmtId="0" fontId="24" fillId="0" borderId="9" xfId="2" applyFont="1" applyBorder="1" applyProtection="1"/>
    <xf numFmtId="0" fontId="19" fillId="0" borderId="13" xfId="2" applyFont="1" applyBorder="1" applyAlignment="1" applyProtection="1">
      <alignment horizontal="center"/>
    </xf>
    <xf numFmtId="0" fontId="19" fillId="0" borderId="4" xfId="2" applyFont="1" applyBorder="1" applyProtection="1"/>
    <xf numFmtId="0" fontId="25" fillId="0" borderId="0" xfId="2" applyFont="1" applyProtection="1"/>
    <xf numFmtId="0" fontId="8" fillId="0" borderId="0" xfId="2" applyProtection="1"/>
    <xf numFmtId="0" fontId="8" fillId="0" borderId="0" xfId="2" applyAlignment="1" applyProtection="1">
      <alignment horizontal="centerContinuous"/>
    </xf>
    <xf numFmtId="0" fontId="19" fillId="0" borderId="9" xfId="2" applyFont="1" applyBorder="1" applyProtection="1"/>
    <xf numFmtId="0" fontId="19" fillId="0" borderId="0" xfId="2" applyFont="1" applyProtection="1"/>
    <xf numFmtId="0" fontId="27" fillId="0" borderId="0" xfId="2" applyFont="1" applyProtection="1"/>
    <xf numFmtId="0" fontId="27" fillId="0" borderId="9" xfId="2" applyFont="1" applyBorder="1" applyProtection="1"/>
    <xf numFmtId="0" fontId="27" fillId="0" borderId="4" xfId="2" applyFont="1" applyBorder="1" applyProtection="1"/>
    <xf numFmtId="0" fontId="19" fillId="0" borderId="4" xfId="2" applyFont="1" applyBorder="1" applyAlignment="1" applyProtection="1">
      <alignment horizontal="right"/>
    </xf>
    <xf numFmtId="0" fontId="22" fillId="0" borderId="0" xfId="2" applyFont="1" applyAlignment="1" applyProtection="1">
      <alignment horizontal="centerContinuous" vertical="center"/>
    </xf>
    <xf numFmtId="0" fontId="8" fillId="0" borderId="0" xfId="2" applyAlignment="1" applyProtection="1">
      <alignment horizontal="centerContinuous" vertical="center"/>
    </xf>
    <xf numFmtId="0" fontId="23" fillId="0" borderId="0" xfId="2" applyFont="1" applyAlignment="1" applyProtection="1">
      <alignment horizontal="centerContinuous" vertical="center"/>
    </xf>
    <xf numFmtId="0" fontId="27" fillId="0" borderId="1" xfId="2" applyFont="1" applyBorder="1" applyAlignment="1" applyProtection="1">
      <alignment horizontal="center"/>
    </xf>
    <xf numFmtId="0" fontId="27" fillId="0" borderId="2" xfId="2" applyFont="1" applyBorder="1" applyAlignment="1" applyProtection="1">
      <alignment horizontal="center"/>
    </xf>
    <xf numFmtId="0" fontId="27" fillId="0" borderId="9" xfId="2" applyFont="1" applyBorder="1" applyAlignment="1" applyProtection="1">
      <alignment horizontal="center"/>
    </xf>
    <xf numFmtId="0" fontId="27" fillId="0" borderId="3" xfId="2" applyFont="1" applyBorder="1" applyAlignment="1" applyProtection="1">
      <alignment horizontal="center"/>
    </xf>
    <xf numFmtId="0" fontId="19" fillId="0" borderId="4" xfId="2" applyFont="1" applyBorder="1" applyAlignment="1" applyProtection="1">
      <alignment horizontal="center"/>
    </xf>
    <xf numFmtId="171" fontId="19" fillId="3" borderId="4" xfId="2" applyNumberFormat="1" applyFont="1" applyFill="1" applyBorder="1" applyProtection="1"/>
    <xf numFmtId="0" fontId="27" fillId="0" borderId="0" xfId="2" applyFont="1" applyAlignment="1" applyProtection="1">
      <alignment horizontal="centerContinuous" vertical="center"/>
    </xf>
    <xf numFmtId="0" fontId="27" fillId="0" borderId="13" xfId="2" applyFont="1" applyBorder="1" applyAlignment="1" applyProtection="1">
      <alignment horizontal="centerContinuous" vertical="center"/>
    </xf>
    <xf numFmtId="0" fontId="27" fillId="0" borderId="14" xfId="2" applyFont="1" applyBorder="1" applyProtection="1"/>
    <xf numFmtId="0" fontId="27" fillId="0" borderId="0" xfId="2" applyFont="1" applyAlignment="1" applyProtection="1">
      <alignment horizontal="center"/>
    </xf>
    <xf numFmtId="0" fontId="8" fillId="0" borderId="0" xfId="2" applyFont="1" applyProtection="1"/>
    <xf numFmtId="0" fontId="19" fillId="3" borderId="4" xfId="2" applyFont="1" applyFill="1" applyBorder="1" applyProtection="1"/>
    <xf numFmtId="0" fontId="22" fillId="0" borderId="1" xfId="2" applyFont="1" applyBorder="1" applyProtection="1"/>
    <xf numFmtId="0" fontId="22" fillId="4" borderId="0" xfId="2" applyFont="1" applyFill="1" applyProtection="1"/>
    <xf numFmtId="0" fontId="27" fillId="4" borderId="4" xfId="2" applyFont="1" applyFill="1" applyBorder="1" applyProtection="1"/>
    <xf numFmtId="2" fontId="8" fillId="0" borderId="0" xfId="2" applyNumberFormat="1"/>
    <xf numFmtId="9" fontId="27" fillId="0" borderId="28" xfId="4" applyFont="1" applyBorder="1" applyProtection="1"/>
    <xf numFmtId="0" fontId="22" fillId="0" borderId="0" xfId="2" applyFont="1" applyAlignment="1" applyProtection="1">
      <alignment horizontal="left" vertical="center"/>
    </xf>
    <xf numFmtId="0" fontId="26" fillId="0" borderId="0" xfId="2" applyFont="1" applyAlignment="1" applyProtection="1">
      <alignment horizontal="left"/>
    </xf>
    <xf numFmtId="0" fontId="27" fillId="0" borderId="0" xfId="2" applyFont="1" applyAlignment="1" applyProtection="1">
      <alignment vertical="center"/>
    </xf>
    <xf numFmtId="0" fontId="8" fillId="0" borderId="0" xfId="2" applyAlignment="1" applyProtection="1">
      <alignment vertical="center"/>
    </xf>
    <xf numFmtId="0" fontId="23" fillId="0" borderId="0" xfId="2" applyFont="1" applyAlignment="1" applyProtection="1">
      <alignment vertical="center"/>
    </xf>
    <xf numFmtId="0" fontId="8" fillId="0" borderId="0" xfId="2" applyAlignment="1"/>
    <xf numFmtId="0" fontId="8" fillId="0" borderId="0" xfId="2" applyFont="1"/>
    <xf numFmtId="0" fontId="4" fillId="0" borderId="26" xfId="0" applyFont="1" applyBorder="1" applyAlignment="1" applyProtection="1">
      <alignment horizontal="centerContinuous" vertical="center"/>
    </xf>
    <xf numFmtId="0" fontId="5" fillId="0" borderId="26" xfId="0" applyFont="1" applyBorder="1" applyAlignment="1" applyProtection="1">
      <alignment horizontal="centerContinuous" vertical="center"/>
    </xf>
    <xf numFmtId="0" fontId="3" fillId="0" borderId="26" xfId="0" applyFont="1" applyBorder="1" applyAlignment="1" applyProtection="1">
      <alignment horizontal="centerContinuous" vertical="center"/>
    </xf>
    <xf numFmtId="0" fontId="6" fillId="0" borderId="4" xfId="0" applyFont="1" applyBorder="1" applyAlignment="1" applyProtection="1">
      <alignment horizontal="centerContinuous" vertical="center"/>
    </xf>
    <xf numFmtId="0" fontId="5" fillId="0" borderId="4" xfId="0" applyFont="1" applyBorder="1" applyAlignment="1" applyProtection="1">
      <alignment horizontal="centerContinuous" vertical="center"/>
    </xf>
    <xf numFmtId="0" fontId="3" fillId="0" borderId="4" xfId="0" applyFont="1" applyBorder="1" applyAlignment="1" applyProtection="1">
      <alignment horizontal="centerContinuous" vertical="center"/>
    </xf>
    <xf numFmtId="0" fontId="4" fillId="0" borderId="4" xfId="0" applyFont="1" applyBorder="1" applyAlignment="1" applyProtection="1">
      <alignment horizontal="centerContinuous" vertical="center"/>
    </xf>
    <xf numFmtId="0" fontId="2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4" fillId="0" borderId="26" xfId="0" applyFont="1" applyBorder="1" applyAlignment="1" applyProtection="1">
      <alignment horizontal="center" vertical="center"/>
    </xf>
    <xf numFmtId="0" fontId="6" fillId="0" borderId="26" xfId="0" applyFont="1" applyBorder="1" applyAlignment="1" applyProtection="1">
      <alignment horizontal="center" vertical="center"/>
    </xf>
    <xf numFmtId="0" fontId="6" fillId="0" borderId="29" xfId="0" applyFont="1" applyBorder="1" applyAlignment="1" applyProtection="1">
      <alignment horizontal="center" vertical="center"/>
    </xf>
    <xf numFmtId="0" fontId="5" fillId="0" borderId="25" xfId="0" applyFont="1" applyBorder="1" applyAlignment="1" applyProtection="1">
      <alignment vertical="center"/>
    </xf>
    <xf numFmtId="0" fontId="5" fillId="0" borderId="25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25" xfId="2" applyFont="1" applyBorder="1" applyProtection="1"/>
    <xf numFmtId="0" fontId="8" fillId="0" borderId="26" xfId="2" applyBorder="1" applyProtection="1"/>
    <xf numFmtId="0" fontId="19" fillId="0" borderId="4" xfId="0" applyFont="1" applyBorder="1"/>
    <xf numFmtId="0" fontId="0" fillId="0" borderId="4" xfId="0" applyBorder="1"/>
    <xf numFmtId="0" fontId="5" fillId="0" borderId="25" xfId="3" applyFont="1" applyBorder="1" applyAlignment="1" applyProtection="1">
      <alignment horizontal="center"/>
    </xf>
    <xf numFmtId="0" fontId="27" fillId="0" borderId="29" xfId="0" applyFont="1" applyFill="1" applyBorder="1" applyAlignment="1">
      <alignment horizontal="center" vertical="center"/>
    </xf>
    <xf numFmtId="0" fontId="27" fillId="5" borderId="4" xfId="0" applyFont="1" applyFill="1" applyBorder="1"/>
    <xf numFmtId="0" fontId="27" fillId="5" borderId="27" xfId="0" applyFont="1" applyFill="1" applyBorder="1"/>
    <xf numFmtId="0" fontId="27" fillId="0" borderId="4" xfId="0" applyFont="1" applyFill="1" applyBorder="1"/>
    <xf numFmtId="2" fontId="8" fillId="3" borderId="4" xfId="2" applyNumberFormat="1" applyFill="1" applyBorder="1"/>
    <xf numFmtId="2" fontId="22" fillId="3" borderId="4" xfId="2" applyNumberFormat="1" applyFont="1" applyFill="1" applyBorder="1"/>
    <xf numFmtId="0" fontId="27" fillId="0" borderId="30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9" fontId="19" fillId="0" borderId="27" xfId="4" applyFont="1" applyBorder="1" applyAlignment="1">
      <alignment horizontal="center"/>
    </xf>
    <xf numFmtId="171" fontId="27" fillId="0" borderId="4" xfId="5" applyFont="1" applyBorder="1" applyAlignment="1" applyProtection="1">
      <alignment horizontal="center"/>
    </xf>
    <xf numFmtId="171" fontId="8" fillId="0" borderId="4" xfId="5" applyFont="1" applyBorder="1"/>
    <xf numFmtId="171" fontId="19" fillId="0" borderId="4" xfId="5" applyFont="1" applyBorder="1" applyProtection="1"/>
    <xf numFmtId="171" fontId="8" fillId="0" borderId="4" xfId="5" applyFont="1" applyBorder="1" applyProtection="1"/>
    <xf numFmtId="171" fontId="26" fillId="0" borderId="4" xfId="5" applyFont="1" applyBorder="1" applyProtection="1"/>
    <xf numFmtId="171" fontId="27" fillId="0" borderId="27" xfId="5" applyFont="1" applyFill="1" applyBorder="1"/>
    <xf numFmtId="9" fontId="28" fillId="3" borderId="4" xfId="4" applyFont="1" applyFill="1" applyBorder="1" applyAlignment="1">
      <alignment horizontal="center"/>
    </xf>
    <xf numFmtId="0" fontId="6" fillId="0" borderId="14" xfId="3" applyFont="1" applyBorder="1" applyAlignment="1" applyProtection="1">
      <alignment horizontal="center"/>
    </xf>
    <xf numFmtId="0" fontId="6" fillId="0" borderId="31" xfId="3" applyFont="1" applyBorder="1" applyAlignment="1" applyProtection="1">
      <alignment horizontal="center"/>
    </xf>
    <xf numFmtId="0" fontId="5" fillId="0" borderId="32" xfId="0" applyFont="1" applyBorder="1" applyAlignment="1" applyProtection="1">
      <alignment horizontal="center"/>
    </xf>
    <xf numFmtId="0" fontId="5" fillId="0" borderId="31" xfId="0" applyFont="1" applyBorder="1" applyAlignment="1" applyProtection="1">
      <alignment horizontal="center"/>
    </xf>
    <xf numFmtId="0" fontId="4" fillId="0" borderId="33" xfId="0" applyFont="1" applyBorder="1" applyAlignment="1" applyProtection="1">
      <alignment horizontal="centerContinuous" vertical="center"/>
    </xf>
    <xf numFmtId="0" fontId="5" fillId="0" borderId="34" xfId="0" applyFont="1" applyBorder="1" applyAlignment="1" applyProtection="1">
      <alignment horizontal="centerContinuous" vertical="center"/>
    </xf>
    <xf numFmtId="0" fontId="5" fillId="0" borderId="35" xfId="0" applyFont="1" applyBorder="1" applyAlignment="1" applyProtection="1">
      <alignment horizontal="centerContinuous" vertical="center"/>
    </xf>
    <xf numFmtId="0" fontId="6" fillId="0" borderId="32" xfId="3" applyFont="1" applyBorder="1" applyProtection="1"/>
    <xf numFmtId="0" fontId="5" fillId="0" borderId="29" xfId="3" applyFont="1" applyBorder="1" applyAlignment="1" applyProtection="1">
      <alignment horizontal="center"/>
    </xf>
    <xf numFmtId="0" fontId="8" fillId="0" borderId="30" xfId="2" applyBorder="1" applyProtection="1"/>
    <xf numFmtId="0" fontId="23" fillId="0" borderId="0" xfId="2" applyFont="1" applyBorder="1" applyProtection="1"/>
    <xf numFmtId="0" fontId="5" fillId="0" borderId="14" xfId="3" applyFont="1" applyBorder="1" applyAlignment="1" applyProtection="1">
      <alignment horizontal="center"/>
    </xf>
    <xf numFmtId="0" fontId="5" fillId="0" borderId="31" xfId="3" applyFont="1" applyBorder="1" applyAlignment="1" applyProtection="1">
      <alignment horizontal="center"/>
    </xf>
    <xf numFmtId="0" fontId="6" fillId="0" borderId="33" xfId="3" applyFont="1" applyBorder="1" applyAlignment="1" applyProtection="1">
      <alignment horizontal="centerContinuous" vertical="center"/>
    </xf>
    <xf numFmtId="0" fontId="6" fillId="0" borderId="34" xfId="3" applyFont="1" applyBorder="1" applyAlignment="1" applyProtection="1">
      <alignment horizontal="centerContinuous" vertical="center"/>
    </xf>
    <xf numFmtId="0" fontId="4" fillId="0" borderId="34" xfId="3" applyFont="1" applyBorder="1" applyAlignment="1" applyProtection="1">
      <alignment horizontal="centerContinuous" vertical="center"/>
    </xf>
    <xf numFmtId="0" fontId="4" fillId="0" borderId="35" xfId="3" applyFont="1" applyBorder="1" applyAlignment="1" applyProtection="1">
      <alignment horizontal="centerContinuous" vertical="center"/>
    </xf>
    <xf numFmtId="0" fontId="27" fillId="0" borderId="32" xfId="2" applyFont="1" applyBorder="1" applyProtection="1"/>
    <xf numFmtId="0" fontId="27" fillId="0" borderId="14" xfId="2" applyFont="1" applyBorder="1" applyAlignment="1" applyProtection="1">
      <alignment horizontal="center"/>
    </xf>
    <xf numFmtId="0" fontId="27" fillId="0" borderId="31" xfId="2" applyFont="1" applyBorder="1" applyAlignment="1" applyProtection="1">
      <alignment horizontal="center"/>
    </xf>
    <xf numFmtId="0" fontId="6" fillId="0" borderId="10" xfId="0" applyFont="1" applyBorder="1" applyAlignment="1" applyProtection="1">
      <alignment horizontal="center"/>
    </xf>
    <xf numFmtId="0" fontId="6" fillId="0" borderId="12" xfId="3" applyFont="1" applyBorder="1" applyAlignment="1" applyProtection="1">
      <alignment horizontal="center"/>
    </xf>
    <xf numFmtId="39" fontId="6" fillId="2" borderId="25" xfId="3" applyNumberFormat="1" applyFont="1" applyFill="1" applyBorder="1" applyProtection="1"/>
    <xf numFmtId="0" fontId="6" fillId="0" borderId="36" xfId="3" applyFont="1" applyBorder="1" applyAlignment="1" applyProtection="1">
      <alignment horizontal="center"/>
    </xf>
    <xf numFmtId="182" fontId="6" fillId="0" borderId="13" xfId="3" applyNumberFormat="1" applyFont="1" applyBorder="1" applyAlignment="1" applyProtection="1">
      <alignment horizontal="center"/>
    </xf>
    <xf numFmtId="182" fontId="6" fillId="0" borderId="10" xfId="3" applyNumberFormat="1" applyFont="1" applyBorder="1" applyAlignment="1" applyProtection="1">
      <alignment horizontal="centerContinuous" vertical="center"/>
    </xf>
    <xf numFmtId="0" fontId="19" fillId="0" borderId="32" xfId="2" applyFont="1" applyBorder="1" applyProtection="1"/>
    <xf numFmtId="16" fontId="5" fillId="0" borderId="0" xfId="3" applyNumberFormat="1" applyFont="1" applyProtection="1"/>
    <xf numFmtId="0" fontId="33" fillId="0" borderId="0" xfId="3" applyFont="1" applyProtection="1"/>
    <xf numFmtId="0" fontId="34" fillId="0" borderId="14" xfId="3" applyFont="1" applyBorder="1" applyAlignment="1" applyProtection="1">
      <alignment horizontal="center"/>
    </xf>
    <xf numFmtId="0" fontId="8" fillId="0" borderId="0" xfId="3" applyAlignment="1">
      <alignment horizontal="center"/>
    </xf>
    <xf numFmtId="1" fontId="5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33" fillId="0" borderId="4" xfId="3" applyFont="1" applyBorder="1" applyProtection="1"/>
    <xf numFmtId="0" fontId="19" fillId="0" borderId="9" xfId="2" applyFont="1" applyBorder="1" applyAlignment="1" applyProtection="1">
      <alignment horizontal="center"/>
    </xf>
    <xf numFmtId="0" fontId="19" fillId="0" borderId="37" xfId="2" applyFont="1" applyBorder="1" applyAlignment="1" applyProtection="1">
      <alignment horizontal="center"/>
    </xf>
    <xf numFmtId="0" fontId="19" fillId="0" borderId="38" xfId="2" applyFont="1" applyBorder="1" applyAlignment="1" applyProtection="1">
      <alignment horizontal="center"/>
    </xf>
    <xf numFmtId="0" fontId="19" fillId="0" borderId="3" xfId="2" applyFont="1" applyBorder="1" applyAlignment="1" applyProtection="1">
      <alignment horizontal="center"/>
    </xf>
    <xf numFmtId="0" fontId="19" fillId="0" borderId="33" xfId="2" applyFont="1" applyBorder="1" applyAlignment="1" applyProtection="1">
      <alignment horizontal="centerContinuous" vertical="center"/>
    </xf>
    <xf numFmtId="0" fontId="19" fillId="0" borderId="34" xfId="2" applyFont="1" applyBorder="1" applyAlignment="1" applyProtection="1">
      <alignment horizontal="centerContinuous" vertical="center"/>
    </xf>
    <xf numFmtId="0" fontId="19" fillId="0" borderId="39" xfId="2" applyFont="1" applyBorder="1" applyAlignment="1" applyProtection="1">
      <alignment horizontal="centerContinuous" vertical="center"/>
    </xf>
    <xf numFmtId="0" fontId="19" fillId="0" borderId="40" xfId="2" applyFont="1" applyBorder="1" applyAlignment="1" applyProtection="1">
      <alignment horizontal="centerContinuous" vertical="center"/>
    </xf>
    <xf numFmtId="0" fontId="19" fillId="0" borderId="36" xfId="2" applyFont="1" applyBorder="1" applyAlignment="1" applyProtection="1">
      <alignment horizontal="centerContinuous" vertical="center"/>
    </xf>
    <xf numFmtId="0" fontId="19" fillId="0" borderId="41" xfId="2" applyFont="1" applyBorder="1" applyAlignment="1" applyProtection="1">
      <alignment horizontal="centerContinuous" vertical="center"/>
    </xf>
    <xf numFmtId="10" fontId="8" fillId="0" borderId="0" xfId="2" applyNumberFormat="1"/>
    <xf numFmtId="0" fontId="14" fillId="0" borderId="25" xfId="0" applyFont="1" applyBorder="1" applyAlignment="1" applyProtection="1">
      <alignment horizontal="center" vertical="center"/>
    </xf>
    <xf numFmtId="0" fontId="17" fillId="0" borderId="25" xfId="0" applyFont="1" applyBorder="1" applyAlignment="1" applyProtection="1">
      <alignment horizontal="center" vertical="center"/>
    </xf>
    <xf numFmtId="0" fontId="5" fillId="0" borderId="42" xfId="0" applyFont="1" applyBorder="1" applyProtection="1"/>
    <xf numFmtId="0" fontId="3" fillId="0" borderId="43" xfId="0" applyFont="1" applyBorder="1" applyProtection="1"/>
    <xf numFmtId="0" fontId="4" fillId="0" borderId="34" xfId="0" applyFont="1" applyBorder="1" applyAlignment="1" applyProtection="1">
      <alignment horizontal="centerContinuous" vertical="center"/>
    </xf>
    <xf numFmtId="0" fontId="5" fillId="0" borderId="39" xfId="0" applyFont="1" applyBorder="1" applyAlignment="1" applyProtection="1">
      <alignment horizontal="centerContinuous" vertical="center"/>
    </xf>
    <xf numFmtId="198" fontId="5" fillId="0" borderId="0" xfId="3" applyNumberFormat="1" applyFont="1" applyBorder="1" applyProtection="1"/>
    <xf numFmtId="0" fontId="5" fillId="0" borderId="10" xfId="0" applyFont="1" applyBorder="1" applyAlignment="1" applyProtection="1">
      <alignment horizontal="center"/>
    </xf>
    <xf numFmtId="0" fontId="5" fillId="0" borderId="12" xfId="3" applyFont="1" applyBorder="1" applyAlignment="1" applyProtection="1">
      <alignment horizontal="center"/>
    </xf>
    <xf numFmtId="0" fontId="5" fillId="0" borderId="36" xfId="3" applyFont="1" applyBorder="1" applyAlignment="1" applyProtection="1">
      <alignment horizontal="center"/>
    </xf>
    <xf numFmtId="0" fontId="5" fillId="0" borderId="25" xfId="0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0" fontId="4" fillId="0" borderId="29" xfId="0" applyFont="1" applyBorder="1" applyAlignment="1" applyProtection="1">
      <alignment horizontal="center" vertical="center"/>
    </xf>
    <xf numFmtId="0" fontId="27" fillId="0" borderId="13" xfId="2" applyFont="1" applyBorder="1" applyAlignment="1" applyProtection="1">
      <alignment horizontal="center" vertical="center"/>
    </xf>
    <xf numFmtId="0" fontId="5" fillId="0" borderId="0" xfId="3" applyFont="1" applyBorder="1" applyProtection="1"/>
    <xf numFmtId="0" fontId="7" fillId="0" borderId="0" xfId="3" applyFont="1" applyBorder="1" applyProtection="1"/>
    <xf numFmtId="171" fontId="5" fillId="6" borderId="4" xfId="5" applyFont="1" applyFill="1" applyBorder="1" applyProtection="1"/>
    <xf numFmtId="0" fontId="19" fillId="0" borderId="0" xfId="0" applyFont="1" applyBorder="1" applyProtection="1"/>
    <xf numFmtId="39" fontId="19" fillId="0" borderId="0" xfId="0" applyNumberFormat="1" applyFont="1" applyBorder="1" applyProtection="1"/>
    <xf numFmtId="0" fontId="0" fillId="0" borderId="0" xfId="0" applyBorder="1"/>
    <xf numFmtId="0" fontId="8" fillId="0" borderId="0" xfId="3" applyBorder="1"/>
    <xf numFmtId="37" fontId="19" fillId="0" borderId="0" xfId="0" applyNumberFormat="1" applyFont="1" applyBorder="1" applyProtection="1"/>
    <xf numFmtId="0" fontId="19" fillId="0" borderId="0" xfId="0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centerContinuous"/>
    </xf>
    <xf numFmtId="0" fontId="19" fillId="0" borderId="0" xfId="0" applyFont="1" applyBorder="1" applyAlignment="1" applyProtection="1">
      <alignment horizontal="right"/>
    </xf>
    <xf numFmtId="0" fontId="4" fillId="0" borderId="44" xfId="3" applyFont="1" applyBorder="1" applyProtection="1"/>
    <xf numFmtId="0" fontId="4" fillId="0" borderId="44" xfId="3" applyFont="1" applyBorder="1" applyAlignment="1" applyProtection="1">
      <alignment horizontal="centerContinuous" vertical="center"/>
    </xf>
    <xf numFmtId="0" fontId="5" fillId="0" borderId="44" xfId="3" applyFont="1" applyBorder="1" applyAlignment="1" applyProtection="1">
      <alignment horizontal="centerContinuous" vertical="center"/>
    </xf>
    <xf numFmtId="0" fontId="4" fillId="0" borderId="45" xfId="3" applyFont="1" applyBorder="1" applyProtection="1"/>
    <xf numFmtId="0" fontId="2" fillId="0" borderId="0" xfId="3" applyFont="1" applyAlignment="1" applyProtection="1"/>
    <xf numFmtId="0" fontId="4" fillId="0" borderId="0" xfId="3" applyFont="1" applyAlignment="1" applyProtection="1"/>
    <xf numFmtId="0" fontId="5" fillId="0" borderId="0" xfId="3" applyFont="1" applyAlignment="1" applyProtection="1"/>
    <xf numFmtId="0" fontId="7" fillId="0" borderId="0" xfId="3" applyFont="1" applyAlignment="1" applyProtection="1"/>
    <xf numFmtId="0" fontId="6" fillId="0" borderId="1" xfId="3" applyFont="1" applyBorder="1" applyAlignment="1" applyProtection="1"/>
    <xf numFmtId="0" fontId="5" fillId="0" borderId="9" xfId="3" applyFont="1" applyBorder="1" applyAlignment="1" applyProtection="1"/>
    <xf numFmtId="0" fontId="5" fillId="0" borderId="4" xfId="3" applyFont="1" applyBorder="1" applyAlignment="1" applyProtection="1"/>
    <xf numFmtId="0" fontId="8" fillId="0" borderId="0" xfId="3" applyAlignment="1"/>
    <xf numFmtId="0" fontId="34" fillId="0" borderId="45" xfId="3" applyFont="1" applyBorder="1" applyAlignment="1" applyProtection="1">
      <alignment horizontal="center"/>
    </xf>
    <xf numFmtId="0" fontId="4" fillId="0" borderId="46" xfId="3" applyFont="1" applyBorder="1" applyAlignment="1" applyProtection="1">
      <alignment horizontal="centerContinuous" vertical="center"/>
    </xf>
    <xf numFmtId="0" fontId="6" fillId="0" borderId="4" xfId="3" applyFont="1" applyBorder="1" applyAlignment="1" applyProtection="1">
      <alignment horizontal="center"/>
    </xf>
    <xf numFmtId="0" fontId="6" fillId="0" borderId="42" xfId="3" applyFont="1" applyBorder="1" applyAlignment="1" applyProtection="1">
      <alignment horizontal="center"/>
    </xf>
    <xf numFmtId="0" fontId="6" fillId="0" borderId="0" xfId="3" applyFont="1" applyBorder="1" applyAlignment="1" applyProtection="1">
      <alignment horizontal="center"/>
    </xf>
    <xf numFmtId="171" fontId="5" fillId="0" borderId="25" xfId="5" applyFont="1" applyBorder="1" applyProtection="1"/>
    <xf numFmtId="0" fontId="6" fillId="0" borderId="43" xfId="3" applyFont="1" applyBorder="1" applyAlignment="1" applyProtection="1">
      <alignment horizontal="center"/>
    </xf>
    <xf numFmtId="0" fontId="5" fillId="0" borderId="47" xfId="3" applyFont="1" applyBorder="1" applyAlignment="1" applyProtection="1">
      <alignment horizontal="center"/>
    </xf>
    <xf numFmtId="0" fontId="3" fillId="0" borderId="37" xfId="3" applyFont="1" applyBorder="1" applyProtection="1"/>
    <xf numFmtId="0" fontId="5" fillId="0" borderId="48" xfId="3" applyFont="1" applyBorder="1" applyAlignment="1" applyProtection="1">
      <alignment horizontal="center"/>
    </xf>
    <xf numFmtId="0" fontId="5" fillId="0" borderId="38" xfId="3" applyFont="1" applyBorder="1" applyAlignment="1" applyProtection="1">
      <alignment horizontal="center"/>
    </xf>
    <xf numFmtId="0" fontId="5" fillId="0" borderId="37" xfId="3" applyFont="1" applyBorder="1" applyAlignment="1" applyProtection="1">
      <alignment horizontal="center"/>
    </xf>
    <xf numFmtId="171" fontId="5" fillId="3" borderId="25" xfId="5" applyFont="1" applyFill="1" applyBorder="1" applyProtection="1"/>
    <xf numFmtId="0" fontId="19" fillId="0" borderId="25" xfId="2" applyFont="1" applyBorder="1" applyProtection="1"/>
    <xf numFmtId="0" fontId="27" fillId="0" borderId="0" xfId="2" applyFont="1" applyBorder="1" applyProtection="1"/>
    <xf numFmtId="0" fontId="19" fillId="0" borderId="0" xfId="2" applyFont="1" applyBorder="1" applyProtection="1"/>
    <xf numFmtId="0" fontId="8" fillId="0" borderId="0" xfId="2" applyBorder="1"/>
    <xf numFmtId="0" fontId="19" fillId="0" borderId="0" xfId="2" applyFont="1" applyBorder="1" applyAlignment="1" applyProtection="1">
      <alignment horizontal="right"/>
    </xf>
    <xf numFmtId="0" fontId="19" fillId="0" borderId="0" xfId="2" applyFont="1" applyBorder="1" applyAlignment="1" applyProtection="1">
      <alignment horizontal="centerContinuous" vertical="center"/>
    </xf>
    <xf numFmtId="0" fontId="24" fillId="0" borderId="0" xfId="2" applyFont="1" applyBorder="1" applyProtection="1"/>
    <xf numFmtId="0" fontId="19" fillId="0" borderId="13" xfId="2" applyFont="1" applyBorder="1" applyProtection="1"/>
    <xf numFmtId="0" fontId="19" fillId="0" borderId="0" xfId="2" applyFont="1" applyBorder="1" applyAlignment="1" applyProtection="1">
      <alignment horizontal="left" vertical="center"/>
    </xf>
    <xf numFmtId="0" fontId="19" fillId="0" borderId="36" xfId="2" applyFont="1" applyBorder="1" applyAlignment="1" applyProtection="1">
      <alignment horizontal="left" vertical="center"/>
    </xf>
    <xf numFmtId="0" fontId="19" fillId="0" borderId="36" xfId="2" applyFont="1" applyBorder="1" applyAlignment="1" applyProtection="1">
      <alignment horizontal="center"/>
    </xf>
    <xf numFmtId="0" fontId="8" fillId="6" borderId="0" xfId="2" applyFill="1"/>
    <xf numFmtId="2" fontId="8" fillId="6" borderId="0" xfId="2" applyNumberFormat="1" applyFill="1"/>
    <xf numFmtId="0" fontId="27" fillId="0" borderId="9" xfId="2" quotePrefix="1" applyFont="1" applyBorder="1" applyAlignment="1" applyProtection="1">
      <alignment horizontal="center"/>
    </xf>
    <xf numFmtId="0" fontId="5" fillId="0" borderId="0" xfId="0" quotePrefix="1" applyFont="1" applyBorder="1" applyAlignment="1" applyProtection="1">
      <alignment horizontal="center"/>
    </xf>
    <xf numFmtId="0" fontId="5" fillId="0" borderId="0" xfId="0" applyFont="1" applyBorder="1" applyProtection="1"/>
    <xf numFmtId="183" fontId="12" fillId="0" borderId="4" xfId="3" applyNumberFormat="1" applyFont="1" applyFill="1" applyBorder="1" applyProtection="1"/>
    <xf numFmtId="0" fontId="5" fillId="0" borderId="0" xfId="0" quotePrefix="1" applyFont="1" applyFill="1" applyBorder="1" applyAlignment="1" applyProtection="1">
      <alignment horizontal="center"/>
    </xf>
    <xf numFmtId="39" fontId="5" fillId="0" borderId="0" xfId="3" applyNumberFormat="1" applyFont="1" applyFill="1" applyBorder="1" applyProtection="1"/>
    <xf numFmtId="0" fontId="8" fillId="0" borderId="0" xfId="3" applyFill="1" applyBorder="1"/>
    <xf numFmtId="0" fontId="5" fillId="0" borderId="25" xfId="3" quotePrefix="1" applyFont="1" applyBorder="1" applyAlignment="1" applyProtection="1">
      <alignment horizontal="center"/>
    </xf>
    <xf numFmtId="0" fontId="28" fillId="0" borderId="0" xfId="2" applyFont="1"/>
    <xf numFmtId="0" fontId="28" fillId="0" borderId="0" xfId="3" applyFont="1"/>
    <xf numFmtId="0" fontId="28" fillId="0" borderId="0" xfId="3" applyFont="1" applyAlignment="1"/>
    <xf numFmtId="0" fontId="6" fillId="0" borderId="9" xfId="3" quotePrefix="1" applyFont="1" applyBorder="1" applyAlignment="1" applyProtection="1">
      <alignment horizontal="center"/>
    </xf>
    <xf numFmtId="0" fontId="5" fillId="0" borderId="9" xfId="3" quotePrefix="1" applyFont="1" applyBorder="1" applyAlignment="1" applyProtection="1">
      <alignment horizontal="center"/>
    </xf>
    <xf numFmtId="171" fontId="8" fillId="0" borderId="0" xfId="3" applyNumberFormat="1"/>
    <xf numFmtId="201" fontId="19" fillId="3" borderId="4" xfId="5" applyNumberFormat="1" applyFont="1" applyFill="1" applyBorder="1"/>
    <xf numFmtId="171" fontId="19" fillId="3" borderId="4" xfId="5" applyNumberFormat="1" applyFont="1" applyFill="1" applyBorder="1"/>
    <xf numFmtId="201" fontId="8" fillId="0" borderId="4" xfId="5" applyNumberFormat="1" applyFont="1" applyBorder="1"/>
    <xf numFmtId="0" fontId="27" fillId="0" borderId="49" xfId="2" applyFont="1" applyBorder="1" applyProtection="1"/>
    <xf numFmtId="0" fontId="5" fillId="0" borderId="50" xfId="3" applyFont="1" applyBorder="1" applyAlignment="1" applyProtection="1">
      <alignment horizontal="center"/>
    </xf>
    <xf numFmtId="0" fontId="5" fillId="0" borderId="51" xfId="3" quotePrefix="1" applyFont="1" applyBorder="1" applyAlignment="1" applyProtection="1">
      <alignment horizontal="center"/>
    </xf>
    <xf numFmtId="201" fontId="27" fillId="0" borderId="4" xfId="5" applyNumberFormat="1" applyFont="1" applyBorder="1" applyAlignment="1" applyProtection="1">
      <alignment horizontal="center"/>
    </xf>
    <xf numFmtId="201" fontId="19" fillId="0" borderId="4" xfId="5" applyNumberFormat="1" applyFont="1" applyBorder="1" applyProtection="1"/>
    <xf numFmtId="201" fontId="8" fillId="0" borderId="4" xfId="5" applyNumberFormat="1" applyFont="1" applyBorder="1" applyProtection="1"/>
    <xf numFmtId="201" fontId="26" fillId="0" borderId="4" xfId="5" applyNumberFormat="1" applyFont="1" applyBorder="1" applyProtection="1"/>
    <xf numFmtId="0" fontId="35" fillId="0" borderId="0" xfId="0" applyFont="1" applyAlignment="1">
      <alignment vertical="center"/>
    </xf>
    <xf numFmtId="0" fontId="27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52" xfId="0" applyFont="1" applyBorder="1" applyAlignment="1">
      <alignment horizontal="left" vertical="center"/>
    </xf>
    <xf numFmtId="201" fontId="19" fillId="0" borderId="52" xfId="5" applyNumberFormat="1" applyFont="1" applyBorder="1" applyAlignment="1">
      <alignment vertical="center"/>
    </xf>
    <xf numFmtId="0" fontId="19" fillId="0" borderId="52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9" fillId="0" borderId="52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201" fontId="19" fillId="0" borderId="8" xfId="5" applyNumberFormat="1" applyFont="1" applyBorder="1" applyAlignment="1">
      <alignment vertical="center"/>
    </xf>
    <xf numFmtId="0" fontId="19" fillId="0" borderId="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7" fillId="0" borderId="7" xfId="0" applyFont="1" applyBorder="1" applyAlignment="1">
      <alignment horizontal="left" vertical="center"/>
    </xf>
    <xf numFmtId="201" fontId="19" fillId="0" borderId="7" xfId="5" applyNumberFormat="1" applyFont="1" applyBorder="1" applyAlignment="1">
      <alignment vertical="center"/>
    </xf>
    <xf numFmtId="0" fontId="19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7" xfId="0" applyFont="1" applyBorder="1" applyAlignment="1">
      <alignment vertical="center"/>
    </xf>
    <xf numFmtId="0" fontId="0" fillId="0" borderId="5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0" fillId="0" borderId="52" xfId="0" applyBorder="1" applyAlignment="1">
      <alignment vertical="center"/>
    </xf>
    <xf numFmtId="201" fontId="1" fillId="0" borderId="52" xfId="5" applyNumberFormat="1" applyBorder="1" applyAlignment="1">
      <alignment vertical="center"/>
    </xf>
    <xf numFmtId="0" fontId="0" fillId="0" borderId="55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201" fontId="1" fillId="0" borderId="8" xfId="5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01" fontId="1" fillId="0" borderId="7" xfId="5" applyNumberFormat="1" applyBorder="1" applyAlignment="1">
      <alignment vertical="center"/>
    </xf>
    <xf numFmtId="201" fontId="1" fillId="0" borderId="52" xfId="5" applyNumberFormat="1" applyFont="1" applyBorder="1" applyAlignment="1">
      <alignment vertical="center"/>
    </xf>
    <xf numFmtId="201" fontId="1" fillId="0" borderId="8" xfId="5" applyNumberFormat="1" applyFont="1" applyBorder="1" applyAlignment="1">
      <alignment vertical="center"/>
    </xf>
    <xf numFmtId="0" fontId="31" fillId="0" borderId="52" xfId="0" applyFont="1" applyBorder="1" applyAlignment="1">
      <alignment vertical="center"/>
    </xf>
    <xf numFmtId="201" fontId="31" fillId="0" borderId="52" xfId="5" applyNumberFormat="1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30" fillId="0" borderId="43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27" fillId="0" borderId="57" xfId="0" applyFont="1" applyBorder="1" applyAlignment="1">
      <alignment vertical="center"/>
    </xf>
    <xf numFmtId="0" fontId="0" fillId="0" borderId="58" xfId="0" applyBorder="1" applyAlignment="1">
      <alignment vertical="center"/>
    </xf>
    <xf numFmtId="0" fontId="0" fillId="0" borderId="59" xfId="0" applyBorder="1" applyAlignment="1">
      <alignment vertical="center"/>
    </xf>
    <xf numFmtId="0" fontId="0" fillId="0" borderId="43" xfId="0" applyBorder="1" applyAlignment="1">
      <alignment vertical="center"/>
    </xf>
    <xf numFmtId="0" fontId="19" fillId="0" borderId="43" xfId="0" applyFont="1" applyBorder="1" applyAlignment="1">
      <alignment vertical="center"/>
    </xf>
    <xf numFmtId="0" fontId="27" fillId="3" borderId="43" xfId="0" applyFont="1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35" fillId="0" borderId="0" xfId="0" applyFont="1"/>
    <xf numFmtId="0" fontId="19" fillId="0" borderId="0" xfId="0" applyFont="1" applyAlignment="1">
      <alignment vertical="center"/>
    </xf>
    <xf numFmtId="0" fontId="27" fillId="0" borderId="0" xfId="0" applyFont="1" applyBorder="1"/>
    <xf numFmtId="0" fontId="0" fillId="0" borderId="0" xfId="0" applyAlignment="1">
      <alignment horizontal="right"/>
    </xf>
    <xf numFmtId="0" fontId="30" fillId="0" borderId="43" xfId="0" applyFont="1" applyBorder="1" applyAlignment="1">
      <alignment horizontal="center"/>
    </xf>
    <xf numFmtId="0" fontId="19" fillId="0" borderId="43" xfId="0" applyFont="1" applyBorder="1"/>
    <xf numFmtId="0" fontId="0" fillId="0" borderId="43" xfId="0" applyBorder="1"/>
    <xf numFmtId="0" fontId="0" fillId="3" borderId="43" xfId="0" applyFill="1" applyBorder="1"/>
    <xf numFmtId="0" fontId="30" fillId="0" borderId="57" xfId="0" applyFont="1" applyBorder="1" applyAlignment="1">
      <alignment horizontal="center"/>
    </xf>
    <xf numFmtId="0" fontId="30" fillId="0" borderId="59" xfId="0" applyFont="1" applyBorder="1" applyAlignment="1">
      <alignment horizontal="center"/>
    </xf>
    <xf numFmtId="0" fontId="0" fillId="0" borderId="59" xfId="0" applyBorder="1"/>
    <xf numFmtId="0" fontId="0" fillId="0" borderId="0" xfId="0" applyFill="1" applyBorder="1"/>
    <xf numFmtId="0" fontId="27" fillId="0" borderId="0" xfId="0" applyFont="1" applyFill="1" applyBorder="1"/>
    <xf numFmtId="0" fontId="27" fillId="0" borderId="0" xfId="0" applyFont="1"/>
    <xf numFmtId="0" fontId="27" fillId="0" borderId="0" xfId="0" applyFont="1" applyFill="1"/>
    <xf numFmtId="0" fontId="27" fillId="0" borderId="43" xfId="0" applyFont="1" applyBorder="1" applyAlignment="1">
      <alignment vertical="center"/>
    </xf>
    <xf numFmtId="0" fontId="31" fillId="0" borderId="0" xfId="0" applyFont="1" applyFill="1" applyBorder="1"/>
    <xf numFmtId="0" fontId="0" fillId="0" borderId="43" xfId="0" applyBorder="1" applyAlignment="1">
      <alignment horizontal="center"/>
    </xf>
    <xf numFmtId="0" fontId="27" fillId="3" borderId="43" xfId="0" applyFont="1" applyFill="1" applyBorder="1"/>
    <xf numFmtId="0" fontId="0" fillId="0" borderId="57" xfId="0" applyBorder="1"/>
    <xf numFmtId="0" fontId="0" fillId="0" borderId="54" xfId="0" applyBorder="1"/>
    <xf numFmtId="0" fontId="27" fillId="3" borderId="57" xfId="0" applyFont="1" applyFill="1" applyBorder="1"/>
    <xf numFmtId="0" fontId="19" fillId="0" borderId="0" xfId="0" applyFont="1" applyFill="1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27" fillId="0" borderId="4" xfId="2" applyFont="1" applyBorder="1" applyAlignment="1" applyProtection="1">
      <alignment horizontal="left" vertical="center" wrapText="1"/>
    </xf>
    <xf numFmtId="0" fontId="22" fillId="0" borderId="14" xfId="2" applyFont="1" applyBorder="1" applyAlignment="1" applyProtection="1">
      <alignment horizontal="center"/>
    </xf>
    <xf numFmtId="0" fontId="0" fillId="3" borderId="43" xfId="0" applyFill="1" applyBorder="1" applyAlignment="1">
      <alignment horizontal="center" vertical="center"/>
    </xf>
    <xf numFmtId="171" fontId="19" fillId="3" borderId="4" xfId="5" applyFont="1" applyFill="1" applyBorder="1" applyProtection="1"/>
    <xf numFmtId="0" fontId="22" fillId="0" borderId="32" xfId="2" applyFont="1" applyBorder="1" applyAlignment="1" applyProtection="1">
      <alignment horizontal="center"/>
    </xf>
    <xf numFmtId="0" fontId="22" fillId="0" borderId="32" xfId="2" applyFont="1" applyBorder="1" applyProtection="1"/>
    <xf numFmtId="0" fontId="8" fillId="0" borderId="0" xfId="2" applyFill="1"/>
    <xf numFmtId="2" fontId="8" fillId="0" borderId="0" xfId="2" applyNumberFormat="1" applyFill="1"/>
    <xf numFmtId="171" fontId="19" fillId="3" borderId="60" xfId="5" applyFont="1" applyFill="1" applyBorder="1" applyProtection="1"/>
    <xf numFmtId="171" fontId="19" fillId="3" borderId="26" xfId="5" applyFont="1" applyFill="1" applyBorder="1" applyProtection="1"/>
    <xf numFmtId="171" fontId="19" fillId="3" borderId="43" xfId="5" applyFont="1" applyFill="1" applyBorder="1" applyProtection="1"/>
    <xf numFmtId="171" fontId="19" fillId="0" borderId="43" xfId="5" applyFont="1" applyFill="1" applyBorder="1" applyProtection="1"/>
    <xf numFmtId="0" fontId="27" fillId="0" borderId="26" xfId="2" applyFont="1" applyBorder="1" applyProtection="1"/>
    <xf numFmtId="0" fontId="27" fillId="0" borderId="42" xfId="2" applyFont="1" applyBorder="1" applyProtection="1"/>
    <xf numFmtId="171" fontId="5" fillId="0" borderId="4" xfId="5" applyFont="1" applyFill="1" applyBorder="1" applyProtection="1"/>
    <xf numFmtId="0" fontId="4" fillId="0" borderId="1" xfId="3" applyFont="1" applyBorder="1" applyAlignment="1" applyProtection="1">
      <alignment horizontal="center"/>
    </xf>
    <xf numFmtId="0" fontId="5" fillId="0" borderId="4" xfId="3" applyFont="1" applyBorder="1" applyAlignment="1" applyProtection="1">
      <alignment wrapText="1"/>
    </xf>
    <xf numFmtId="201" fontId="5" fillId="2" borderId="25" xfId="5" applyNumberFormat="1" applyFont="1" applyFill="1" applyBorder="1" applyAlignment="1" applyProtection="1">
      <alignment vertical="center"/>
    </xf>
    <xf numFmtId="0" fontId="33" fillId="0" borderId="61" xfId="3" applyFont="1" applyBorder="1" applyAlignment="1" applyProtection="1">
      <alignment wrapText="1"/>
    </xf>
    <xf numFmtId="0" fontId="32" fillId="0" borderId="0" xfId="0" applyFont="1" applyFill="1" applyBorder="1"/>
    <xf numFmtId="0" fontId="27" fillId="0" borderId="43" xfId="0" applyFont="1" applyBorder="1" applyAlignment="1">
      <alignment horizontal="center" vertical="center"/>
    </xf>
    <xf numFmtId="0" fontId="5" fillId="0" borderId="0" xfId="3" applyFont="1" applyBorder="1" applyAlignment="1" applyProtection="1">
      <alignment horizontal="center"/>
    </xf>
    <xf numFmtId="171" fontId="5" fillId="0" borderId="0" xfId="5" applyFont="1" applyBorder="1" applyProtection="1"/>
    <xf numFmtId="2" fontId="5" fillId="0" borderId="4" xfId="0" applyNumberFormat="1" applyFont="1" applyFill="1" applyBorder="1" applyProtection="1"/>
    <xf numFmtId="0" fontId="19" fillId="0" borderId="54" xfId="0" applyFont="1" applyBorder="1" applyAlignment="1">
      <alignment horizontal="center" vertical="center"/>
    </xf>
    <xf numFmtId="0" fontId="19" fillId="0" borderId="56" xfId="0" applyFont="1" applyBorder="1" applyAlignment="1">
      <alignment horizontal="center" vertical="center"/>
    </xf>
    <xf numFmtId="0" fontId="0" fillId="0" borderId="62" xfId="0" applyBorder="1" applyProtection="1"/>
    <xf numFmtId="0" fontId="0" fillId="0" borderId="0" xfId="0" applyProtection="1"/>
    <xf numFmtId="0" fontId="38" fillId="0" borderId="0" xfId="0" applyFont="1" applyAlignment="1" applyProtection="1">
      <alignment horizontal="center"/>
    </xf>
    <xf numFmtId="0" fontId="0" fillId="0" borderId="63" xfId="0" applyBorder="1" applyProtection="1"/>
    <xf numFmtId="10" fontId="5" fillId="6" borderId="64" xfId="4" applyNumberFormat="1" applyFont="1" applyFill="1" applyBorder="1" applyAlignment="1" applyProtection="1">
      <alignment horizontal="center"/>
    </xf>
    <xf numFmtId="0" fontId="28" fillId="0" borderId="0" xfId="3" applyFont="1" applyProtection="1"/>
    <xf numFmtId="0" fontId="8" fillId="0" borderId="0" xfId="3" applyProtection="1"/>
    <xf numFmtId="0" fontId="28" fillId="0" borderId="0" xfId="2" applyFont="1" applyProtection="1"/>
    <xf numFmtId="0" fontId="27" fillId="0" borderId="7" xfId="0" applyFont="1" applyFill="1" applyBorder="1" applyAlignment="1" applyProtection="1">
      <alignment horizontal="center" vertical="center"/>
    </xf>
    <xf numFmtId="0" fontId="27" fillId="0" borderId="65" xfId="0" applyFont="1" applyFill="1" applyBorder="1" applyAlignment="1" applyProtection="1">
      <alignment horizontal="center" vertical="center"/>
    </xf>
    <xf numFmtId="0" fontId="27" fillId="0" borderId="52" xfId="0" applyFont="1" applyFill="1" applyBorder="1" applyAlignment="1" applyProtection="1">
      <alignment horizontal="center" vertical="center"/>
    </xf>
    <xf numFmtId="0" fontId="27" fillId="0" borderId="8" xfId="0" applyFont="1" applyFill="1" applyBorder="1" applyAlignment="1" applyProtection="1">
      <alignment horizontal="center" vertical="center"/>
    </xf>
    <xf numFmtId="0" fontId="19" fillId="0" borderId="4" xfId="0" applyFont="1" applyBorder="1" applyProtection="1"/>
    <xf numFmtId="0" fontId="0" fillId="0" borderId="4" xfId="0" applyBorder="1" applyProtection="1"/>
    <xf numFmtId="171" fontId="0" fillId="0" borderId="4" xfId="5" applyFont="1" applyBorder="1" applyProtection="1"/>
    <xf numFmtId="0" fontId="0" fillId="0" borderId="21" xfId="0" applyBorder="1" applyProtection="1"/>
    <xf numFmtId="171" fontId="0" fillId="0" borderId="21" xfId="5" applyFont="1" applyBorder="1" applyProtection="1"/>
    <xf numFmtId="201" fontId="8" fillId="0" borderId="21" xfId="5" applyNumberFormat="1" applyFont="1" applyBorder="1" applyProtection="1"/>
    <xf numFmtId="0" fontId="0" fillId="0" borderId="58" xfId="0" applyBorder="1" applyProtection="1"/>
    <xf numFmtId="171" fontId="8" fillId="0" borderId="58" xfId="5" applyFont="1" applyBorder="1" applyProtection="1"/>
    <xf numFmtId="0" fontId="8" fillId="0" borderId="0" xfId="2" applyBorder="1" applyProtection="1"/>
    <xf numFmtId="0" fontId="27" fillId="0" borderId="25" xfId="0" applyFont="1" applyFill="1" applyBorder="1" applyProtection="1"/>
    <xf numFmtId="0" fontId="27" fillId="5" borderId="51" xfId="0" applyFont="1" applyFill="1" applyBorder="1" applyProtection="1"/>
    <xf numFmtId="171" fontId="27" fillId="3" borderId="51" xfId="5" applyFont="1" applyFill="1" applyBorder="1" applyProtection="1"/>
    <xf numFmtId="201" fontId="27" fillId="3" borderId="25" xfId="5" applyNumberFormat="1" applyFont="1" applyFill="1" applyBorder="1" applyProtection="1"/>
    <xf numFmtId="171" fontId="8" fillId="3" borderId="25" xfId="5" applyFont="1" applyFill="1" applyBorder="1" applyProtection="1"/>
    <xf numFmtId="0" fontId="27" fillId="0" borderId="30" xfId="0" applyFont="1" applyFill="1" applyBorder="1" applyAlignment="1" applyProtection="1">
      <alignment horizontal="center" vertical="center" wrapText="1"/>
    </xf>
    <xf numFmtId="0" fontId="27" fillId="0" borderId="29" xfId="0" applyFont="1" applyBorder="1" applyAlignment="1" applyProtection="1">
      <alignment horizontal="center"/>
    </xf>
    <xf numFmtId="0" fontId="27" fillId="0" borderId="25" xfId="0" applyFont="1" applyBorder="1" applyAlignment="1" applyProtection="1">
      <alignment horizontal="center"/>
    </xf>
    <xf numFmtId="0" fontId="19" fillId="3" borderId="4" xfId="0" applyFont="1" applyFill="1" applyBorder="1" applyProtection="1"/>
    <xf numFmtId="9" fontId="19" fillId="0" borderId="27" xfId="4" applyFont="1" applyBorder="1" applyProtection="1"/>
    <xf numFmtId="0" fontId="19" fillId="0" borderId="4" xfId="0" applyFont="1" applyFill="1" applyBorder="1" applyProtection="1"/>
    <xf numFmtId="9" fontId="28" fillId="3" borderId="4" xfId="4" applyFont="1" applyFill="1" applyBorder="1" applyAlignment="1" applyProtection="1">
      <alignment horizontal="center"/>
    </xf>
    <xf numFmtId="201" fontId="19" fillId="3" borderId="4" xfId="5" applyNumberFormat="1" applyFont="1" applyFill="1" applyBorder="1" applyProtection="1"/>
    <xf numFmtId="171" fontId="19" fillId="3" borderId="4" xfId="5" applyNumberFormat="1" applyFont="1" applyFill="1" applyBorder="1" applyProtection="1"/>
    <xf numFmtId="2" fontId="8" fillId="3" borderId="4" xfId="2" applyNumberFormat="1" applyFill="1" applyBorder="1" applyProtection="1"/>
    <xf numFmtId="0" fontId="27" fillId="0" borderId="4" xfId="0" applyFont="1" applyFill="1" applyBorder="1" applyProtection="1"/>
    <xf numFmtId="0" fontId="27" fillId="5" borderId="27" xfId="0" applyFont="1" applyFill="1" applyBorder="1" applyProtection="1"/>
    <xf numFmtId="0" fontId="27" fillId="5" borderId="4" xfId="0" applyFont="1" applyFill="1" applyBorder="1" applyProtection="1"/>
    <xf numFmtId="2" fontId="22" fillId="3" borderId="4" xfId="2" applyNumberFormat="1" applyFont="1" applyFill="1" applyBorder="1" applyProtection="1"/>
    <xf numFmtId="0" fontId="28" fillId="0" borderId="0" xfId="0" applyFont="1" applyProtection="1"/>
    <xf numFmtId="166" fontId="12" fillId="0" borderId="0" xfId="0" applyNumberFormat="1" applyFont="1" applyProtection="1"/>
    <xf numFmtId="166" fontId="5" fillId="0" borderId="10" xfId="0" applyNumberFormat="1" applyFont="1" applyBorder="1" applyAlignment="1" applyProtection="1">
      <alignment horizontal="centerContinuous" vertical="center"/>
    </xf>
    <xf numFmtId="0" fontId="0" fillId="0" borderId="0" xfId="0" applyBorder="1" applyProtection="1"/>
    <xf numFmtId="0" fontId="8" fillId="0" borderId="44" xfId="3" applyBorder="1" applyProtection="1"/>
    <xf numFmtId="0" fontId="8" fillId="0" borderId="0" xfId="3" applyBorder="1" applyProtection="1"/>
    <xf numFmtId="0" fontId="28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8" fillId="0" borderId="0" xfId="0" applyFont="1" applyFill="1" applyProtection="1"/>
    <xf numFmtId="0" fontId="0" fillId="0" borderId="0" xfId="0" applyFill="1" applyProtection="1"/>
    <xf numFmtId="0" fontId="22" fillId="0" borderId="0" xfId="0" applyFont="1" applyProtection="1"/>
    <xf numFmtId="0" fontId="0" fillId="0" borderId="36" xfId="0" applyBorder="1" applyProtection="1"/>
    <xf numFmtId="0" fontId="0" fillId="0" borderId="48" xfId="0" applyBorder="1" applyProtection="1"/>
    <xf numFmtId="0" fontId="0" fillId="0" borderId="66" xfId="0" applyBorder="1" applyProtection="1"/>
    <xf numFmtId="0" fontId="0" fillId="0" borderId="38" xfId="0" applyBorder="1" applyProtection="1"/>
    <xf numFmtId="0" fontId="32" fillId="0" borderId="0" xfId="0" applyFont="1" applyProtection="1"/>
    <xf numFmtId="0" fontId="31" fillId="0" borderId="0" xfId="0" applyFont="1" applyProtection="1"/>
    <xf numFmtId="0" fontId="32" fillId="0" borderId="48" xfId="0" applyFont="1" applyBorder="1" applyAlignment="1" applyProtection="1">
      <alignment horizontal="left"/>
    </xf>
    <xf numFmtId="0" fontId="32" fillId="0" borderId="48" xfId="0" applyFont="1" applyBorder="1" applyProtection="1"/>
    <xf numFmtId="0" fontId="31" fillId="0" borderId="67" xfId="0" applyFont="1" applyBorder="1" applyAlignment="1" applyProtection="1">
      <alignment horizontal="left"/>
    </xf>
    <xf numFmtId="0" fontId="31" fillId="0" borderId="67" xfId="0" applyFont="1" applyBorder="1" applyProtection="1"/>
    <xf numFmtId="0" fontId="31" fillId="0" borderId="68" xfId="0" applyFont="1" applyBorder="1" applyAlignment="1" applyProtection="1">
      <alignment horizontal="left"/>
    </xf>
    <xf numFmtId="0" fontId="31" fillId="0" borderId="68" xfId="0" applyFont="1" applyBorder="1" applyProtection="1"/>
    <xf numFmtId="0" fontId="31" fillId="0" borderId="68" xfId="0" applyFont="1" applyBorder="1" applyAlignment="1" applyProtection="1">
      <alignment horizontal="left" vertical="center"/>
    </xf>
    <xf numFmtId="0" fontId="31" fillId="0" borderId="68" xfId="0" applyFont="1" applyBorder="1" applyAlignment="1" applyProtection="1">
      <alignment horizontal="left" vertical="center" wrapText="1"/>
    </xf>
    <xf numFmtId="0" fontId="31" fillId="0" borderId="69" xfId="0" applyFont="1" applyBorder="1" applyProtection="1"/>
    <xf numFmtId="0" fontId="31" fillId="0" borderId="70" xfId="0" applyFont="1" applyBorder="1" applyAlignment="1" applyProtection="1">
      <alignment horizontal="left" vertical="center"/>
    </xf>
    <xf numFmtId="0" fontId="31" fillId="0" borderId="70" xfId="0" applyFont="1" applyBorder="1" applyAlignment="1" applyProtection="1">
      <alignment horizontal="left" vertical="center" wrapText="1"/>
    </xf>
    <xf numFmtId="0" fontId="31" fillId="0" borderId="0" xfId="0" applyFont="1" applyBorder="1" applyAlignment="1" applyProtection="1">
      <alignment horizontal="left" vertical="center"/>
    </xf>
    <xf numFmtId="0" fontId="31" fillId="0" borderId="0" xfId="0" applyFont="1" applyBorder="1" applyAlignment="1" applyProtection="1">
      <alignment horizontal="left" vertical="center" wrapText="1"/>
    </xf>
    <xf numFmtId="0" fontId="32" fillId="0" borderId="0" xfId="0" applyFont="1" applyBorder="1" applyAlignment="1" applyProtection="1">
      <alignment horizontal="left" vertical="center"/>
    </xf>
    <xf numFmtId="0" fontId="31" fillId="0" borderId="70" xfId="0" applyFont="1" applyBorder="1" applyProtection="1"/>
    <xf numFmtId="0" fontId="31" fillId="0" borderId="69" xfId="0" applyFont="1" applyBorder="1" applyAlignment="1" applyProtection="1">
      <alignment horizontal="left" vertical="center"/>
    </xf>
    <xf numFmtId="0" fontId="31" fillId="0" borderId="71" xfId="0" applyFont="1" applyBorder="1" applyProtection="1"/>
    <xf numFmtId="0" fontId="31" fillId="0" borderId="38" xfId="0" applyFont="1" applyBorder="1" applyAlignment="1" applyProtection="1">
      <alignment horizontal="left"/>
    </xf>
    <xf numFmtId="0" fontId="31" fillId="0" borderId="38" xfId="0" applyFont="1" applyBorder="1" applyProtection="1"/>
    <xf numFmtId="39" fontId="5" fillId="6" borderId="13" xfId="0" applyNumberFormat="1" applyFont="1" applyFill="1" applyBorder="1" applyProtection="1"/>
    <xf numFmtId="9" fontId="5" fillId="0" borderId="4" xfId="3" applyNumberFormat="1" applyFont="1" applyBorder="1" applyProtection="1"/>
    <xf numFmtId="39" fontId="12" fillId="0" borderId="4" xfId="3" applyNumberFormat="1" applyFont="1" applyBorder="1" applyProtection="1"/>
    <xf numFmtId="202" fontId="12" fillId="0" borderId="4" xfId="3" applyNumberFormat="1" applyFont="1" applyBorder="1" applyProtection="1"/>
    <xf numFmtId="182" fontId="12" fillId="0" borderId="4" xfId="0" applyNumberFormat="1" applyFont="1" applyFill="1" applyBorder="1" applyProtection="1"/>
    <xf numFmtId="39" fontId="12" fillId="0" borderId="4" xfId="0" applyNumberFormat="1" applyFont="1" applyFill="1" applyBorder="1" applyProtection="1"/>
    <xf numFmtId="0" fontId="19" fillId="0" borderId="0" xfId="0" applyFont="1" applyProtection="1"/>
    <xf numFmtId="180" fontId="5" fillId="0" borderId="4" xfId="0" applyNumberFormat="1" applyFont="1" applyBorder="1" applyAlignment="1" applyProtection="1">
      <alignment horizontal="center"/>
    </xf>
    <xf numFmtId="166" fontId="15" fillId="0" borderId="4" xfId="0" applyNumberFormat="1" applyFont="1" applyFill="1" applyBorder="1" applyProtection="1"/>
    <xf numFmtId="0" fontId="3" fillId="0" borderId="4" xfId="0" applyFont="1" applyFill="1" applyBorder="1" applyProtection="1"/>
    <xf numFmtId="0" fontId="14" fillId="0" borderId="4" xfId="0" applyFont="1" applyFill="1" applyBorder="1" applyProtection="1"/>
    <xf numFmtId="39" fontId="12" fillId="0" borderId="4" xfId="0" applyNumberFormat="1" applyFont="1" applyFill="1" applyBorder="1" applyAlignment="1" applyProtection="1">
      <alignment horizontal="right"/>
    </xf>
    <xf numFmtId="39" fontId="5" fillId="0" borderId="4" xfId="0" applyNumberFormat="1" applyFont="1" applyFill="1" applyBorder="1" applyProtection="1"/>
    <xf numFmtId="39" fontId="12" fillId="0" borderId="4" xfId="3" applyNumberFormat="1" applyFont="1" applyFill="1" applyBorder="1" applyProtection="1"/>
    <xf numFmtId="0" fontId="8" fillId="0" borderId="4" xfId="3" applyFill="1" applyBorder="1"/>
    <xf numFmtId="182" fontId="5" fillId="0" borderId="22" xfId="3" applyNumberFormat="1" applyFont="1" applyBorder="1" applyAlignment="1" applyProtection="1">
      <alignment horizontal="center"/>
    </xf>
    <xf numFmtId="0" fontId="6" fillId="0" borderId="22" xfId="3" applyFont="1" applyBorder="1" applyAlignment="1" applyProtection="1">
      <alignment horizontal="center"/>
    </xf>
    <xf numFmtId="182" fontId="5" fillId="0" borderId="23" xfId="3" applyNumberFormat="1" applyFont="1" applyBorder="1" applyAlignment="1" applyProtection="1">
      <alignment horizontal="center"/>
    </xf>
    <xf numFmtId="0" fontId="6" fillId="0" borderId="23" xfId="3" applyFont="1" applyBorder="1" applyAlignment="1" applyProtection="1">
      <alignment horizontal="center"/>
    </xf>
    <xf numFmtId="0" fontId="19" fillId="0" borderId="4" xfId="3" applyFont="1" applyFill="1" applyBorder="1"/>
    <xf numFmtId="188" fontId="5" fillId="0" borderId="4" xfId="3" applyNumberFormat="1" applyFont="1" applyFill="1" applyBorder="1" applyProtection="1"/>
    <xf numFmtId="188" fontId="19" fillId="0" borderId="4" xfId="3" applyNumberFormat="1" applyFont="1" applyFill="1" applyBorder="1"/>
    <xf numFmtId="0" fontId="3" fillId="0" borderId="4" xfId="3" applyFont="1" applyFill="1" applyBorder="1" applyProtection="1"/>
    <xf numFmtId="171" fontId="19" fillId="0" borderId="25" xfId="5" applyFont="1" applyFill="1" applyBorder="1" applyProtection="1"/>
    <xf numFmtId="171" fontId="19" fillId="0" borderId="4" xfId="5" applyFont="1" applyFill="1" applyBorder="1" applyProtection="1"/>
    <xf numFmtId="201" fontId="19" fillId="0" borderId="4" xfId="5" applyNumberFormat="1" applyFont="1" applyBorder="1" applyAlignment="1" applyProtection="1">
      <alignment horizontal="center"/>
    </xf>
    <xf numFmtId="9" fontId="19" fillId="0" borderId="27" xfId="4" applyFont="1" applyBorder="1" applyAlignment="1" applyProtection="1"/>
    <xf numFmtId="10" fontId="5" fillId="0" borderId="4" xfId="3" applyNumberFormat="1" applyFont="1" applyFill="1" applyBorder="1" applyProtection="1"/>
    <xf numFmtId="10" fontId="5" fillId="0" borderId="26" xfId="4" applyNumberFormat="1" applyFont="1" applyFill="1" applyBorder="1" applyAlignment="1" applyProtection="1">
      <alignment horizontal="center"/>
    </xf>
    <xf numFmtId="180" fontId="5" fillId="2" borderId="4" xfId="3" applyNumberFormat="1" applyFont="1" applyFill="1" applyBorder="1" applyProtection="1"/>
    <xf numFmtId="181" fontId="3" fillId="0" borderId="72" xfId="3" applyNumberFormat="1" applyFont="1" applyFill="1" applyBorder="1" applyProtection="1"/>
    <xf numFmtId="181" fontId="3" fillId="0" borderId="4" xfId="3" applyNumberFormat="1" applyFont="1" applyFill="1" applyBorder="1" applyProtection="1"/>
    <xf numFmtId="0" fontId="5" fillId="0" borderId="4" xfId="3" applyFont="1" applyFill="1" applyBorder="1" applyAlignment="1" applyProtection="1">
      <alignment horizontal="left"/>
    </xf>
    <xf numFmtId="181" fontId="8" fillId="0" borderId="72" xfId="3" applyNumberFormat="1" applyFill="1" applyBorder="1"/>
    <xf numFmtId="181" fontId="8" fillId="0" borderId="4" xfId="3" applyNumberFormat="1" applyFill="1" applyBorder="1"/>
    <xf numFmtId="171" fontId="5" fillId="0" borderId="4" xfId="3" applyNumberFormat="1" applyFont="1" applyBorder="1" applyProtection="1"/>
    <xf numFmtId="10" fontId="5" fillId="6" borderId="4" xfId="4" applyNumberFormat="1" applyFont="1" applyFill="1" applyBorder="1" applyProtection="1"/>
    <xf numFmtId="0" fontId="19" fillId="0" borderId="4" xfId="0" applyFont="1" applyFill="1" applyBorder="1" applyAlignment="1">
      <alignment horizontal="center"/>
    </xf>
    <xf numFmtId="0" fontId="6" fillId="0" borderId="4" xfId="3" applyFont="1" applyBorder="1" applyAlignment="1" applyProtection="1">
      <alignment horizontal="left"/>
    </xf>
    <xf numFmtId="1" fontId="5" fillId="0" borderId="4" xfId="0" applyNumberFormat="1" applyFont="1" applyFill="1" applyBorder="1" applyProtection="1"/>
    <xf numFmtId="199" fontId="5" fillId="0" borderId="4" xfId="3" applyNumberFormat="1" applyFont="1" applyFill="1" applyBorder="1" applyProtection="1"/>
    <xf numFmtId="171" fontId="40" fillId="0" borderId="0" xfId="3" applyNumberFormat="1" applyFont="1" applyProtection="1"/>
    <xf numFmtId="171" fontId="24" fillId="0" borderId="4" xfId="2" applyNumberFormat="1" applyFont="1" applyBorder="1" applyProtection="1"/>
    <xf numFmtId="0" fontId="24" fillId="0" borderId="4" xfId="2" applyFont="1" applyBorder="1" applyProtection="1"/>
    <xf numFmtId="171" fontId="40" fillId="0" borderId="0" xfId="5" applyFont="1" applyBorder="1" applyProtection="1"/>
    <xf numFmtId="10" fontId="40" fillId="0" borderId="4" xfId="2" applyNumberFormat="1" applyFont="1" applyBorder="1" applyAlignment="1" applyProtection="1">
      <alignment horizontal="right"/>
    </xf>
    <xf numFmtId="0" fontId="40" fillId="0" borderId="4" xfId="2" applyFont="1" applyBorder="1" applyAlignment="1" applyProtection="1">
      <alignment horizontal="right"/>
    </xf>
    <xf numFmtId="37" fontId="40" fillId="0" borderId="4" xfId="2" applyNumberFormat="1" applyFont="1" applyBorder="1" applyProtection="1"/>
    <xf numFmtId="0" fontId="40" fillId="0" borderId="4" xfId="2" applyFont="1" applyBorder="1" applyProtection="1"/>
    <xf numFmtId="10" fontId="40" fillId="0" borderId="4" xfId="2" applyNumberFormat="1" applyFont="1" applyBorder="1" applyProtection="1"/>
    <xf numFmtId="10" fontId="40" fillId="0" borderId="25" xfId="2" applyNumberFormat="1" applyFont="1" applyBorder="1" applyAlignment="1" applyProtection="1">
      <alignment horizontal="right"/>
    </xf>
    <xf numFmtId="182" fontId="5" fillId="0" borderId="26" xfId="5" applyNumberFormat="1" applyFont="1" applyFill="1" applyBorder="1" applyAlignment="1" applyProtection="1">
      <alignment horizontal="center"/>
    </xf>
    <xf numFmtId="171" fontId="19" fillId="0" borderId="4" xfId="2" applyNumberFormat="1" applyFont="1" applyBorder="1" applyProtection="1"/>
    <xf numFmtId="10" fontId="12" fillId="0" borderId="4" xfId="2" applyNumberFormat="1" applyFont="1" applyBorder="1" applyAlignment="1" applyProtection="1">
      <alignment horizontal="right"/>
    </xf>
    <xf numFmtId="0" fontId="12" fillId="0" borderId="4" xfId="2" applyFont="1" applyBorder="1" applyAlignment="1" applyProtection="1">
      <alignment horizontal="right"/>
    </xf>
    <xf numFmtId="0" fontId="12" fillId="0" borderId="4" xfId="2" applyFont="1" applyBorder="1" applyProtection="1"/>
    <xf numFmtId="199" fontId="5" fillId="2" borderId="25" xfId="4" applyNumberFormat="1" applyFont="1" applyFill="1" applyBorder="1" applyAlignment="1" applyProtection="1">
      <alignment horizontal="center" vertical="center"/>
    </xf>
    <xf numFmtId="199" fontId="5" fillId="2" borderId="4" xfId="4" applyNumberFormat="1" applyFont="1" applyFill="1" applyBorder="1" applyAlignment="1" applyProtection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10" fontId="19" fillId="0" borderId="43" xfId="0" applyNumberFormat="1" applyFont="1" applyBorder="1" applyAlignment="1">
      <alignment horizontal="center" vertical="center" wrapText="1"/>
    </xf>
    <xf numFmtId="2" fontId="19" fillId="0" borderId="43" xfId="0" applyNumberFormat="1" applyFont="1" applyBorder="1" applyAlignment="1">
      <alignment horizontal="center" vertical="center" wrapText="1"/>
    </xf>
    <xf numFmtId="171" fontId="0" fillId="0" borderId="43" xfId="5" applyFont="1" applyBorder="1"/>
    <xf numFmtId="171" fontId="0" fillId="3" borderId="43" xfId="5" applyFont="1" applyFill="1" applyBorder="1"/>
    <xf numFmtId="171" fontId="27" fillId="3" borderId="43" xfId="5" applyFont="1" applyFill="1" applyBorder="1"/>
    <xf numFmtId="171" fontId="0" fillId="3" borderId="43" xfId="5" applyFont="1" applyFill="1" applyBorder="1" applyAlignment="1">
      <alignment horizontal="center" vertical="center"/>
    </xf>
    <xf numFmtId="171" fontId="0" fillId="0" borderId="43" xfId="5" applyFont="1" applyBorder="1" applyAlignment="1">
      <alignment vertical="center"/>
    </xf>
    <xf numFmtId="171" fontId="19" fillId="3" borderId="27" xfId="5" applyFont="1" applyFill="1" applyBorder="1" applyProtection="1"/>
    <xf numFmtId="171" fontId="19" fillId="3" borderId="27" xfId="2" applyNumberFormat="1" applyFont="1" applyFill="1" applyBorder="1" applyProtection="1"/>
    <xf numFmtId="171" fontId="19" fillId="0" borderId="27" xfId="2" applyNumberFormat="1" applyFont="1" applyBorder="1" applyProtection="1"/>
    <xf numFmtId="0" fontId="19" fillId="0" borderId="27" xfId="2" applyFont="1" applyBorder="1" applyProtection="1"/>
    <xf numFmtId="171" fontId="19" fillId="3" borderId="42" xfId="2" applyNumberFormat="1" applyFont="1" applyFill="1" applyBorder="1" applyProtection="1"/>
    <xf numFmtId="171" fontId="19" fillId="3" borderId="43" xfId="2" applyNumberFormat="1" applyFont="1" applyFill="1" applyBorder="1" applyProtection="1"/>
    <xf numFmtId="171" fontId="19" fillId="0" borderId="4" xfId="2" applyNumberFormat="1" applyFont="1" applyFill="1" applyBorder="1" applyProtection="1"/>
    <xf numFmtId="171" fontId="19" fillId="3" borderId="60" xfId="2" applyNumberFormat="1" applyFont="1" applyFill="1" applyBorder="1" applyProtection="1"/>
    <xf numFmtId="2" fontId="19" fillId="3" borderId="4" xfId="2" applyNumberFormat="1" applyFont="1" applyFill="1" applyBorder="1" applyProtection="1"/>
    <xf numFmtId="171" fontId="19" fillId="0" borderId="0" xfId="5" applyFont="1" applyProtection="1"/>
    <xf numFmtId="0" fontId="19" fillId="3" borderId="27" xfId="2" applyFont="1" applyFill="1" applyBorder="1" applyProtection="1"/>
    <xf numFmtId="2" fontId="19" fillId="0" borderId="0" xfId="2" applyNumberFormat="1" applyFont="1" applyFill="1" applyBorder="1" applyProtection="1"/>
    <xf numFmtId="171" fontId="19" fillId="0" borderId="0" xfId="5" applyFont="1" applyFill="1" applyBorder="1" applyProtection="1"/>
    <xf numFmtId="2" fontId="19" fillId="0" borderId="4" xfId="2" applyNumberFormat="1" applyFont="1" applyFill="1" applyBorder="1" applyProtection="1"/>
    <xf numFmtId="2" fontId="19" fillId="0" borderId="4" xfId="2" applyNumberFormat="1" applyFont="1" applyBorder="1" applyProtection="1"/>
    <xf numFmtId="10" fontId="28" fillId="0" borderId="0" xfId="2" applyNumberFormat="1" applyFont="1"/>
    <xf numFmtId="2" fontId="28" fillId="0" borderId="0" xfId="2" applyNumberFormat="1" applyFont="1"/>
    <xf numFmtId="0" fontId="19" fillId="0" borderId="1" xfId="2" applyFont="1" applyBorder="1" applyAlignment="1" applyProtection="1">
      <alignment horizontal="center"/>
    </xf>
    <xf numFmtId="0" fontId="19" fillId="0" borderId="2" xfId="2" applyFont="1" applyBorder="1" applyAlignment="1" applyProtection="1">
      <alignment horizontal="center"/>
    </xf>
    <xf numFmtId="0" fontId="19" fillId="0" borderId="9" xfId="2" quotePrefix="1" applyFont="1" applyBorder="1" applyAlignment="1" applyProtection="1">
      <alignment horizontal="center"/>
    </xf>
    <xf numFmtId="199" fontId="19" fillId="0" borderId="28" xfId="4" applyNumberFormat="1" applyFont="1" applyBorder="1" applyProtection="1"/>
    <xf numFmtId="171" fontId="19" fillId="3" borderId="28" xfId="5" applyFont="1" applyFill="1" applyBorder="1" applyProtection="1"/>
    <xf numFmtId="199" fontId="19" fillId="3" borderId="28" xfId="4" applyNumberFormat="1" applyFont="1" applyFill="1" applyBorder="1" applyProtection="1"/>
    <xf numFmtId="0" fontId="19" fillId="0" borderId="0" xfId="0" applyFont="1"/>
    <xf numFmtId="0" fontId="5" fillId="3" borderId="4" xfId="5" applyNumberFormat="1" applyFont="1" applyFill="1" applyBorder="1" applyProtection="1"/>
    <xf numFmtId="0" fontId="5" fillId="0" borderId="4" xfId="5" applyNumberFormat="1" applyFont="1" applyBorder="1" applyProtection="1"/>
    <xf numFmtId="0" fontId="39" fillId="0" borderId="0" xfId="0" applyFont="1" applyAlignment="1" applyProtection="1">
      <alignment horizontal="center"/>
    </xf>
    <xf numFmtId="0" fontId="4" fillId="0" borderId="44" xfId="3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4" fillId="0" borderId="34" xfId="0" applyFont="1" applyBorder="1" applyAlignment="1" applyProtection="1">
      <alignment horizontal="center" vertical="center"/>
    </xf>
    <xf numFmtId="0" fontId="4" fillId="0" borderId="35" xfId="0" applyFont="1" applyBorder="1" applyAlignment="1" applyProtection="1">
      <alignment horizontal="center" vertical="center"/>
    </xf>
    <xf numFmtId="0" fontId="6" fillId="0" borderId="57" xfId="3" applyFont="1" applyBorder="1" applyAlignment="1" applyProtection="1">
      <alignment horizontal="center" vertical="center"/>
    </xf>
    <xf numFmtId="0" fontId="6" fillId="0" borderId="58" xfId="3" applyFont="1" applyBorder="1" applyAlignment="1" applyProtection="1">
      <alignment horizontal="center" vertical="center"/>
    </xf>
    <xf numFmtId="0" fontId="6" fillId="0" borderId="59" xfId="3" applyFont="1" applyBorder="1" applyAlignment="1" applyProtection="1">
      <alignment horizontal="center" vertical="center"/>
    </xf>
    <xf numFmtId="0" fontId="29" fillId="0" borderId="26" xfId="0" applyFont="1" applyFill="1" applyBorder="1" applyAlignment="1" applyProtection="1">
      <alignment horizontal="center" vertical="center" wrapText="1"/>
    </xf>
    <xf numFmtId="0" fontId="30" fillId="0" borderId="29" xfId="0" applyFont="1" applyBorder="1" applyAlignment="1" applyProtection="1"/>
    <xf numFmtId="0" fontId="30" fillId="0" borderId="25" xfId="0" applyFont="1" applyBorder="1" applyAlignment="1" applyProtection="1"/>
    <xf numFmtId="0" fontId="6" fillId="0" borderId="33" xfId="3" applyFont="1" applyBorder="1" applyAlignment="1" applyProtection="1">
      <alignment horizontal="center" vertical="center"/>
    </xf>
    <xf numFmtId="0" fontId="6" fillId="0" borderId="34" xfId="3" applyFont="1" applyBorder="1" applyAlignment="1" applyProtection="1">
      <alignment horizontal="center" vertical="center"/>
    </xf>
    <xf numFmtId="0" fontId="6" fillId="0" borderId="35" xfId="3" applyFont="1" applyBorder="1" applyAlignment="1" applyProtection="1">
      <alignment horizontal="center" vertical="center"/>
    </xf>
    <xf numFmtId="0" fontId="29" fillId="0" borderId="26" xfId="0" applyFont="1" applyFill="1" applyBorder="1" applyAlignment="1">
      <alignment horizontal="center" vertical="center" wrapText="1"/>
    </xf>
    <xf numFmtId="0" fontId="30" fillId="0" borderId="29" xfId="0" applyFont="1" applyBorder="1" applyAlignment="1"/>
    <xf numFmtId="0" fontId="30" fillId="0" borderId="25" xfId="0" applyFont="1" applyBorder="1" applyAlignment="1"/>
    <xf numFmtId="0" fontId="27" fillId="0" borderId="34" xfId="3" applyFont="1" applyBorder="1" applyAlignment="1">
      <alignment horizontal="center"/>
    </xf>
    <xf numFmtId="0" fontId="27" fillId="0" borderId="35" xfId="3" applyFont="1" applyBorder="1" applyAlignment="1">
      <alignment horizontal="center"/>
    </xf>
    <xf numFmtId="0" fontId="27" fillId="0" borderId="1" xfId="2" applyFont="1" applyBorder="1" applyAlignment="1" applyProtection="1">
      <alignment horizontal="center" vertical="center"/>
    </xf>
    <xf numFmtId="0" fontId="0" fillId="0" borderId="9" xfId="0" applyBorder="1" applyAlignment="1">
      <alignment horizontal="center" vertical="center"/>
    </xf>
    <xf numFmtId="0" fontId="27" fillId="0" borderId="33" xfId="2" applyFont="1" applyBorder="1" applyAlignment="1" applyProtection="1">
      <alignment horizontal="center" vertical="center"/>
    </xf>
    <xf numFmtId="0" fontId="27" fillId="0" borderId="34" xfId="2" applyFont="1" applyBorder="1" applyAlignment="1" applyProtection="1">
      <alignment horizontal="center" vertical="center"/>
    </xf>
    <xf numFmtId="0" fontId="27" fillId="0" borderId="35" xfId="2" applyFont="1" applyBorder="1" applyAlignment="1" applyProtection="1">
      <alignment horizontal="center" vertical="center"/>
    </xf>
    <xf numFmtId="0" fontId="23" fillId="0" borderId="0" xfId="2" applyFont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0" xfId="2" applyFont="1" applyAlignment="1" applyProtection="1">
      <alignment horizontal="center"/>
    </xf>
    <xf numFmtId="0" fontId="27" fillId="0" borderId="43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43" xfId="0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/>
    </xf>
    <xf numFmtId="0" fontId="0" fillId="0" borderId="43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0" fillId="0" borderId="43" xfId="0" applyFont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30" fillId="0" borderId="59" xfId="0" applyFont="1" applyBorder="1" applyAlignment="1">
      <alignment horizontal="center"/>
    </xf>
    <xf numFmtId="0" fontId="30" fillId="0" borderId="57" xfId="0" applyFont="1" applyBorder="1" applyAlignment="1">
      <alignment horizont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0" fillId="0" borderId="54" xfId="0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30" fillId="0" borderId="57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27" fillId="0" borderId="57" xfId="0" applyFont="1" applyFill="1" applyBorder="1" applyAlignment="1">
      <alignment horizontal="left" vertical="center" wrapText="1"/>
    </xf>
    <xf numFmtId="0" fontId="27" fillId="0" borderId="59" xfId="0" applyFont="1" applyFill="1" applyBorder="1" applyAlignment="1">
      <alignment horizontal="left" vertical="center" wrapText="1"/>
    </xf>
    <xf numFmtId="0" fontId="27" fillId="0" borderId="10" xfId="2" applyFont="1" applyBorder="1" applyAlignment="1" applyProtection="1">
      <alignment horizontal="center" vertical="center"/>
    </xf>
    <xf numFmtId="0" fontId="27" fillId="0" borderId="11" xfId="2" applyFont="1" applyBorder="1" applyAlignment="1" applyProtection="1">
      <alignment horizontal="center" vertical="center"/>
    </xf>
    <xf numFmtId="0" fontId="27" fillId="0" borderId="12" xfId="2" applyFont="1" applyBorder="1" applyAlignment="1" applyProtection="1">
      <alignment horizontal="center" vertical="center"/>
    </xf>
    <xf numFmtId="0" fontId="19" fillId="0" borderId="10" xfId="2" applyFont="1" applyBorder="1" applyAlignment="1" applyProtection="1">
      <alignment horizontal="center" vertical="center"/>
    </xf>
    <xf numFmtId="0" fontId="19" fillId="0" borderId="11" xfId="2" applyFont="1" applyBorder="1" applyAlignment="1" applyProtection="1">
      <alignment horizontal="center" vertical="center"/>
    </xf>
    <xf numFmtId="0" fontId="19" fillId="0" borderId="12" xfId="2" applyFont="1" applyBorder="1" applyAlignment="1" applyProtection="1">
      <alignment horizontal="center" vertical="center"/>
    </xf>
  </cellXfs>
  <cellStyles count="6">
    <cellStyle name="Indefinido" xfId="1"/>
    <cellStyle name="Normal" xfId="0" builtinId="0"/>
    <cellStyle name="Normal_Anexo40" xfId="2"/>
    <cellStyle name="Normal_Fluxo Edital" xfId="3"/>
    <cellStyle name="Porcentagem" xfId="4" builtinId="5"/>
    <cellStyle name="Vírgula" xfId="5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4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3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3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3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3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2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2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69850</xdr:rowOff>
    </xdr:from>
    <xdr:to>
      <xdr:col>0</xdr:col>
      <xdr:colOff>0</xdr:colOff>
      <xdr:row>0</xdr:row>
      <xdr:rowOff>952500</xdr:rowOff>
    </xdr:to>
    <xdr:pic>
      <xdr:nvPicPr>
        <xdr:cNvPr id="1029" name="Imagem 1" descr="SMTC">
          <a:extLst>
            <a:ext uri="{FF2B5EF4-FFF2-40B4-BE49-F238E27FC236}">
              <a16:creationId xmlns:a16="http://schemas.microsoft.com/office/drawing/2014/main" id="{2B54A513-A67E-4D59-B1E8-6308238A9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850"/>
          <a:ext cx="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82550</xdr:colOff>
      <xdr:row>0</xdr:row>
      <xdr:rowOff>190500</xdr:rowOff>
    </xdr:from>
    <xdr:ext cx="912283" cy="1498600"/>
    <xdr:sp macro="" textlink="">
      <xdr:nvSpPr>
        <xdr:cNvPr id="1026" name="Retângulo 2">
          <a:extLst>
            <a:ext uri="{FF2B5EF4-FFF2-40B4-BE49-F238E27FC236}">
              <a16:creationId xmlns:a16="http://schemas.microsoft.com/office/drawing/2014/main" id="{E3D065EA-DCE8-4FCC-948E-013E23A52BB3}"/>
            </a:ext>
          </a:extLst>
        </xdr:cNvPr>
        <xdr:cNvSpPr>
          <a:spLocks noChangeArrowheads="1"/>
        </xdr:cNvSpPr>
      </xdr:nvSpPr>
      <xdr:spPr bwMode="auto">
        <a:xfrm>
          <a:off x="7778750" y="190500"/>
          <a:ext cx="90805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pt-BR" sz="9500" b="0" i="0" u="none" strike="noStrike" baseline="0">
              <a:solidFill>
                <a:srgbClr val="FF0000"/>
              </a:solidFill>
              <a:latin typeface="SPTRANS"/>
            </a:rPr>
            <a:t></a:t>
          </a:r>
        </a:p>
      </xdr:txBody>
    </xdr:sp>
    <xdr:clientData/>
  </xdr:oneCellAnchor>
  <xdr:twoCellAnchor>
    <xdr:from>
      <xdr:col>4</xdr:col>
      <xdr:colOff>0</xdr:colOff>
      <xdr:row>8</xdr:row>
      <xdr:rowOff>82550</xdr:rowOff>
    </xdr:from>
    <xdr:to>
      <xdr:col>11</xdr:col>
      <xdr:colOff>139700</xdr:colOff>
      <xdr:row>16</xdr:row>
      <xdr:rowOff>82550</xdr:rowOff>
    </xdr:to>
    <xdr:pic>
      <xdr:nvPicPr>
        <xdr:cNvPr id="1031" name="Imagem 3" descr="Logosec_cor">
          <a:extLst>
            <a:ext uri="{FF2B5EF4-FFF2-40B4-BE49-F238E27FC236}">
              <a16:creationId xmlns:a16="http://schemas.microsoft.com/office/drawing/2014/main" id="{36498069-BDE2-40FB-8BCB-D248267F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0" y="1797050"/>
          <a:ext cx="46291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400050</xdr:colOff>
      <xdr:row>32</xdr:row>
      <xdr:rowOff>25400</xdr:rowOff>
    </xdr:from>
    <xdr:to>
      <xdr:col>14</xdr:col>
      <xdr:colOff>539750</xdr:colOff>
      <xdr:row>34</xdr:row>
      <xdr:rowOff>146050</xdr:rowOff>
    </xdr:to>
    <xdr:pic>
      <xdr:nvPicPr>
        <xdr:cNvPr id="1032" name="Imagem 4" descr="Paulo Carimbo">
          <a:extLst>
            <a:ext uri="{FF2B5EF4-FFF2-40B4-BE49-F238E27FC236}">
              <a16:creationId xmlns:a16="http://schemas.microsoft.com/office/drawing/2014/main" id="{348800B0-58A1-4F19-A9D7-1FDC2131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6692900"/>
          <a:ext cx="14224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22</xdr:row>
      <xdr:rowOff>165100</xdr:rowOff>
    </xdr:from>
    <xdr:to>
      <xdr:col>11</xdr:col>
      <xdr:colOff>120650</xdr:colOff>
      <xdr:row>25</xdr:row>
      <xdr:rowOff>76200</xdr:rowOff>
    </xdr:to>
    <xdr:pic>
      <xdr:nvPicPr>
        <xdr:cNvPr id="10243" name="Imagem 1" descr="Paulo Carimbo">
          <a:extLst>
            <a:ext uri="{FF2B5EF4-FFF2-40B4-BE49-F238E27FC236}">
              <a16:creationId xmlns:a16="http://schemas.microsoft.com/office/drawing/2014/main" id="{D6AFD894-7E37-4F64-B9FA-5A1CE9C58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22</xdr:row>
      <xdr:rowOff>165100</xdr:rowOff>
    </xdr:from>
    <xdr:to>
      <xdr:col>21</xdr:col>
      <xdr:colOff>38100</xdr:colOff>
      <xdr:row>25</xdr:row>
      <xdr:rowOff>76200</xdr:rowOff>
    </xdr:to>
    <xdr:pic>
      <xdr:nvPicPr>
        <xdr:cNvPr id="10244" name="Imagem 2" descr="Paulo Carimbo">
          <a:extLst>
            <a:ext uri="{FF2B5EF4-FFF2-40B4-BE49-F238E27FC236}">
              <a16:creationId xmlns:a16="http://schemas.microsoft.com/office/drawing/2014/main" id="{6CD0978B-1793-4045-A57E-A001612A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9950" y="4540250"/>
          <a:ext cx="14097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50800</xdr:colOff>
      <xdr:row>15</xdr:row>
      <xdr:rowOff>95250</xdr:rowOff>
    </xdr:from>
    <xdr:to>
      <xdr:col>20</xdr:col>
      <xdr:colOff>330200</xdr:colOff>
      <xdr:row>16</xdr:row>
      <xdr:rowOff>222250</xdr:rowOff>
    </xdr:to>
    <xdr:pic>
      <xdr:nvPicPr>
        <xdr:cNvPr id="102403" name="Imagem 2" descr="Paulo Carimbo">
          <a:extLst>
            <a:ext uri="{FF2B5EF4-FFF2-40B4-BE49-F238E27FC236}">
              <a16:creationId xmlns:a16="http://schemas.microsoft.com/office/drawing/2014/main" id="{DF96ED31-7181-4559-A376-B701BEA15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5226050"/>
          <a:ext cx="1422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539750</xdr:colOff>
      <xdr:row>20</xdr:row>
      <xdr:rowOff>127000</xdr:rowOff>
    </xdr:from>
    <xdr:to>
      <xdr:col>2</xdr:col>
      <xdr:colOff>1955800</xdr:colOff>
      <xdr:row>22</xdr:row>
      <xdr:rowOff>50800</xdr:rowOff>
    </xdr:to>
    <xdr:pic>
      <xdr:nvPicPr>
        <xdr:cNvPr id="103426" name="Imagem 1" descr="Paulo Carimbo">
          <a:extLst>
            <a:ext uri="{FF2B5EF4-FFF2-40B4-BE49-F238E27FC236}">
              <a16:creationId xmlns:a16="http://schemas.microsoft.com/office/drawing/2014/main" id="{2A102A20-B5E2-4326-923B-316FC8DAA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6184900"/>
          <a:ext cx="1416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539750</xdr:colOff>
      <xdr:row>20</xdr:row>
      <xdr:rowOff>127000</xdr:rowOff>
    </xdr:from>
    <xdr:to>
      <xdr:col>2</xdr:col>
      <xdr:colOff>1955800</xdr:colOff>
      <xdr:row>22</xdr:row>
      <xdr:rowOff>50800</xdr:rowOff>
    </xdr:to>
    <xdr:pic>
      <xdr:nvPicPr>
        <xdr:cNvPr id="104450" name="Imagem 1" descr="Paulo Carimbo">
          <a:extLst>
            <a:ext uri="{FF2B5EF4-FFF2-40B4-BE49-F238E27FC236}">
              <a16:creationId xmlns:a16="http://schemas.microsoft.com/office/drawing/2014/main" id="{F85677A3-80D2-42A1-B62D-5EDB1924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5613400"/>
          <a:ext cx="1416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28</xdr:row>
      <xdr:rowOff>146050</xdr:rowOff>
    </xdr:from>
    <xdr:to>
      <xdr:col>11</xdr:col>
      <xdr:colOff>298450</xdr:colOff>
      <xdr:row>31</xdr:row>
      <xdr:rowOff>57150</xdr:rowOff>
    </xdr:to>
    <xdr:pic>
      <xdr:nvPicPr>
        <xdr:cNvPr id="105475" name="Imagem 1" descr="Paulo Carimbo">
          <a:extLst>
            <a:ext uri="{FF2B5EF4-FFF2-40B4-BE49-F238E27FC236}">
              <a16:creationId xmlns:a16="http://schemas.microsoft.com/office/drawing/2014/main" id="{24DB9EC9-0256-47F3-A619-6F1AF6E78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58737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50800</xdr:colOff>
      <xdr:row>28</xdr:row>
      <xdr:rowOff>146050</xdr:rowOff>
    </xdr:from>
    <xdr:to>
      <xdr:col>22</xdr:col>
      <xdr:colOff>317500</xdr:colOff>
      <xdr:row>31</xdr:row>
      <xdr:rowOff>57150</xdr:rowOff>
    </xdr:to>
    <xdr:pic>
      <xdr:nvPicPr>
        <xdr:cNvPr id="105476" name="Imagem 2" descr="Paulo Carimbo">
          <a:extLst>
            <a:ext uri="{FF2B5EF4-FFF2-40B4-BE49-F238E27FC236}">
              <a16:creationId xmlns:a16="http://schemas.microsoft.com/office/drawing/2014/main" id="{38CEADB2-5C95-481A-A5B4-9111EFB13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16150" y="58737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28</xdr:row>
      <xdr:rowOff>184150</xdr:rowOff>
    </xdr:from>
    <xdr:to>
      <xdr:col>10</xdr:col>
      <xdr:colOff>819150</xdr:colOff>
      <xdr:row>31</xdr:row>
      <xdr:rowOff>101600</xdr:rowOff>
    </xdr:to>
    <xdr:pic>
      <xdr:nvPicPr>
        <xdr:cNvPr id="106499" name="Imagem 1" descr="Paulo Carimbo">
          <a:extLst>
            <a:ext uri="{FF2B5EF4-FFF2-40B4-BE49-F238E27FC236}">
              <a16:creationId xmlns:a16="http://schemas.microsoft.com/office/drawing/2014/main" id="{86CEBAA5-9E00-4300-8F0B-1A7E217A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4400" y="59118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609600</xdr:colOff>
      <xdr:row>28</xdr:row>
      <xdr:rowOff>184150</xdr:rowOff>
    </xdr:from>
    <xdr:to>
      <xdr:col>21</xdr:col>
      <xdr:colOff>819150</xdr:colOff>
      <xdr:row>31</xdr:row>
      <xdr:rowOff>101600</xdr:rowOff>
    </xdr:to>
    <xdr:pic>
      <xdr:nvPicPr>
        <xdr:cNvPr id="106500" name="Imagem 2" descr="Paulo Carimbo">
          <a:extLst>
            <a:ext uri="{FF2B5EF4-FFF2-40B4-BE49-F238E27FC236}">
              <a16:creationId xmlns:a16="http://schemas.microsoft.com/office/drawing/2014/main" id="{C16DDB40-CB55-479D-91A4-164E8CF13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5900" y="59118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51</xdr:row>
      <xdr:rowOff>165100</xdr:rowOff>
    </xdr:from>
    <xdr:to>
      <xdr:col>11</xdr:col>
      <xdr:colOff>387350</xdr:colOff>
      <xdr:row>54</xdr:row>
      <xdr:rowOff>101600</xdr:rowOff>
    </xdr:to>
    <xdr:pic>
      <xdr:nvPicPr>
        <xdr:cNvPr id="107523" name="Imagem 1" descr="Paulo Carimbo">
          <a:extLst>
            <a:ext uri="{FF2B5EF4-FFF2-40B4-BE49-F238E27FC236}">
              <a16:creationId xmlns:a16="http://schemas.microsoft.com/office/drawing/2014/main" id="{EB102D59-01DF-42AE-AEF9-A1F32BE5E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16400" y="10267950"/>
          <a:ext cx="14033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51</xdr:row>
      <xdr:rowOff>114300</xdr:rowOff>
    </xdr:from>
    <xdr:to>
      <xdr:col>22</xdr:col>
      <xdr:colOff>285750</xdr:colOff>
      <xdr:row>54</xdr:row>
      <xdr:rowOff>50800</xdr:rowOff>
    </xdr:to>
    <xdr:pic>
      <xdr:nvPicPr>
        <xdr:cNvPr id="107524" name="Imagem 2" descr="Paulo Carimbo">
          <a:extLst>
            <a:ext uri="{FF2B5EF4-FFF2-40B4-BE49-F238E27FC236}">
              <a16:creationId xmlns:a16="http://schemas.microsoft.com/office/drawing/2014/main" id="{0CDD7E64-591F-4AB2-A1F9-7BEE2E19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67250" y="10217150"/>
          <a:ext cx="14224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22</xdr:row>
      <xdr:rowOff>165100</xdr:rowOff>
    </xdr:from>
    <xdr:to>
      <xdr:col>12</xdr:col>
      <xdr:colOff>203200</xdr:colOff>
      <xdr:row>25</xdr:row>
      <xdr:rowOff>76200</xdr:rowOff>
    </xdr:to>
    <xdr:pic>
      <xdr:nvPicPr>
        <xdr:cNvPr id="11267" name="Imagem 1" descr="Paulo Carimbo">
          <a:extLst>
            <a:ext uri="{FF2B5EF4-FFF2-40B4-BE49-F238E27FC236}">
              <a16:creationId xmlns:a16="http://schemas.microsoft.com/office/drawing/2014/main" id="{5A38B5B6-AAD1-42D7-956C-D4E91AC16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4540250"/>
          <a:ext cx="14224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22</xdr:row>
      <xdr:rowOff>165100</xdr:rowOff>
    </xdr:from>
    <xdr:to>
      <xdr:col>22</xdr:col>
      <xdr:colOff>120650</xdr:colOff>
      <xdr:row>25</xdr:row>
      <xdr:rowOff>76200</xdr:rowOff>
    </xdr:to>
    <xdr:pic>
      <xdr:nvPicPr>
        <xdr:cNvPr id="11268" name="Imagem 2" descr="Paulo Carimbo">
          <a:extLst>
            <a:ext uri="{FF2B5EF4-FFF2-40B4-BE49-F238E27FC236}">
              <a16:creationId xmlns:a16="http://schemas.microsoft.com/office/drawing/2014/main" id="{55A142E5-2AE8-481C-A615-AED21318C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235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22</xdr:row>
      <xdr:rowOff>165100</xdr:rowOff>
    </xdr:from>
    <xdr:to>
      <xdr:col>12</xdr:col>
      <xdr:colOff>279400</xdr:colOff>
      <xdr:row>25</xdr:row>
      <xdr:rowOff>76200</xdr:rowOff>
    </xdr:to>
    <xdr:pic>
      <xdr:nvPicPr>
        <xdr:cNvPr id="12291" name="Imagem 1" descr="Paulo Carimbo">
          <a:extLst>
            <a:ext uri="{FF2B5EF4-FFF2-40B4-BE49-F238E27FC236}">
              <a16:creationId xmlns:a16="http://schemas.microsoft.com/office/drawing/2014/main" id="{0482467D-7B0C-4751-BEE7-C5D06221B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95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22</xdr:row>
      <xdr:rowOff>165100</xdr:rowOff>
    </xdr:from>
    <xdr:to>
      <xdr:col>22</xdr:col>
      <xdr:colOff>279400</xdr:colOff>
      <xdr:row>25</xdr:row>
      <xdr:rowOff>76200</xdr:rowOff>
    </xdr:to>
    <xdr:pic>
      <xdr:nvPicPr>
        <xdr:cNvPr id="12292" name="Imagem 2" descr="Paulo Carimbo">
          <a:extLst>
            <a:ext uri="{FF2B5EF4-FFF2-40B4-BE49-F238E27FC236}">
              <a16:creationId xmlns:a16="http://schemas.microsoft.com/office/drawing/2014/main" id="{00F3FCDE-9538-4F01-A7CC-24E6425C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22</xdr:row>
      <xdr:rowOff>165100</xdr:rowOff>
    </xdr:from>
    <xdr:to>
      <xdr:col>12</xdr:col>
      <xdr:colOff>438150</xdr:colOff>
      <xdr:row>25</xdr:row>
      <xdr:rowOff>76200</xdr:rowOff>
    </xdr:to>
    <xdr:pic>
      <xdr:nvPicPr>
        <xdr:cNvPr id="13315" name="Imagem 1" descr="Paulo Carimbo">
          <a:extLst>
            <a:ext uri="{FF2B5EF4-FFF2-40B4-BE49-F238E27FC236}">
              <a16:creationId xmlns:a16="http://schemas.microsoft.com/office/drawing/2014/main" id="{9FF3DD6B-36A3-4276-B5AE-EAEF15B1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22</xdr:row>
      <xdr:rowOff>165100</xdr:rowOff>
    </xdr:from>
    <xdr:to>
      <xdr:col>22</xdr:col>
      <xdr:colOff>438150</xdr:colOff>
      <xdr:row>25</xdr:row>
      <xdr:rowOff>76200</xdr:rowOff>
    </xdr:to>
    <xdr:pic>
      <xdr:nvPicPr>
        <xdr:cNvPr id="13316" name="Imagem 2" descr="Paulo Carimbo">
          <a:extLst>
            <a:ext uri="{FF2B5EF4-FFF2-40B4-BE49-F238E27FC236}">
              <a16:creationId xmlns:a16="http://schemas.microsoft.com/office/drawing/2014/main" id="{C5D56563-54CC-40B8-A03A-149159BAE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22</xdr:row>
      <xdr:rowOff>165100</xdr:rowOff>
    </xdr:from>
    <xdr:to>
      <xdr:col>12</xdr:col>
      <xdr:colOff>438150</xdr:colOff>
      <xdr:row>25</xdr:row>
      <xdr:rowOff>76200</xdr:rowOff>
    </xdr:to>
    <xdr:pic>
      <xdr:nvPicPr>
        <xdr:cNvPr id="14339" name="Imagem 1" descr="Paulo Carimbo">
          <a:extLst>
            <a:ext uri="{FF2B5EF4-FFF2-40B4-BE49-F238E27FC236}">
              <a16:creationId xmlns:a16="http://schemas.microsoft.com/office/drawing/2014/main" id="{F09613BD-F426-47D7-B567-87EA0961B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22</xdr:row>
      <xdr:rowOff>165100</xdr:rowOff>
    </xdr:from>
    <xdr:to>
      <xdr:col>22</xdr:col>
      <xdr:colOff>438150</xdr:colOff>
      <xdr:row>25</xdr:row>
      <xdr:rowOff>76200</xdr:rowOff>
    </xdr:to>
    <xdr:pic>
      <xdr:nvPicPr>
        <xdr:cNvPr id="14340" name="Imagem 2" descr="Paulo Carimbo">
          <a:extLst>
            <a:ext uri="{FF2B5EF4-FFF2-40B4-BE49-F238E27FC236}">
              <a16:creationId xmlns:a16="http://schemas.microsoft.com/office/drawing/2014/main" id="{CC6607C0-88ED-4C51-AF8C-E0EE9770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82550</xdr:colOff>
      <xdr:row>23</xdr:row>
      <xdr:rowOff>114300</xdr:rowOff>
    </xdr:from>
    <xdr:to>
      <xdr:col>20</xdr:col>
      <xdr:colOff>419100</xdr:colOff>
      <xdr:row>26</xdr:row>
      <xdr:rowOff>120650</xdr:rowOff>
    </xdr:to>
    <xdr:pic>
      <xdr:nvPicPr>
        <xdr:cNvPr id="15362" name="Imagem 1" descr="Paulo Carimbo">
          <a:extLst>
            <a:ext uri="{FF2B5EF4-FFF2-40B4-BE49-F238E27FC236}">
              <a16:creationId xmlns:a16="http://schemas.microsoft.com/office/drawing/2014/main" id="{CE927060-3275-43C8-A6D6-1B99D2F9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650" y="404495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16386" name="Imagem 1" descr="Paulo Carimbo">
          <a:extLst>
            <a:ext uri="{FF2B5EF4-FFF2-40B4-BE49-F238E27FC236}">
              <a16:creationId xmlns:a16="http://schemas.microsoft.com/office/drawing/2014/main" id="{4433503F-305B-4821-9F1E-70267C383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17410" name="Imagem 1" descr="Paulo Carimbo">
          <a:extLst>
            <a:ext uri="{FF2B5EF4-FFF2-40B4-BE49-F238E27FC236}">
              <a16:creationId xmlns:a16="http://schemas.microsoft.com/office/drawing/2014/main" id="{AEA1F32E-CF7D-4AD9-8C80-FE8159291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18434" name="Imagem 1" descr="Paulo Carimbo">
          <a:extLst>
            <a:ext uri="{FF2B5EF4-FFF2-40B4-BE49-F238E27FC236}">
              <a16:creationId xmlns:a16="http://schemas.microsoft.com/office/drawing/2014/main" id="{C1F81DC5-6873-49E7-AB2F-470DC9589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19458" name="Imagem 1" descr="Paulo Carimbo">
          <a:extLst>
            <a:ext uri="{FF2B5EF4-FFF2-40B4-BE49-F238E27FC236}">
              <a16:creationId xmlns:a16="http://schemas.microsoft.com/office/drawing/2014/main" id="{27DC62D9-4CC1-414E-BE4F-EDBB429AA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47</xdr:row>
      <xdr:rowOff>279400</xdr:rowOff>
    </xdr:from>
    <xdr:to>
      <xdr:col>7</xdr:col>
      <xdr:colOff>463550</xdr:colOff>
      <xdr:row>50</xdr:row>
      <xdr:rowOff>146050</xdr:rowOff>
    </xdr:to>
    <xdr:pic>
      <xdr:nvPicPr>
        <xdr:cNvPr id="2051" name="Imagem 1" descr="Paulo Carimbo">
          <a:extLst>
            <a:ext uri="{FF2B5EF4-FFF2-40B4-BE49-F238E27FC236}">
              <a16:creationId xmlns:a16="http://schemas.microsoft.com/office/drawing/2014/main" id="{E7DB754B-A229-4183-91AC-649712B42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550" y="83756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86</xdr:row>
      <xdr:rowOff>44450</xdr:rowOff>
    </xdr:from>
    <xdr:to>
      <xdr:col>7</xdr:col>
      <xdr:colOff>450850</xdr:colOff>
      <xdr:row>89</xdr:row>
      <xdr:rowOff>57150</xdr:rowOff>
    </xdr:to>
    <xdr:pic>
      <xdr:nvPicPr>
        <xdr:cNvPr id="2052" name="Imagem 2" descr="Paulo Carimbo">
          <a:extLst>
            <a:ext uri="{FF2B5EF4-FFF2-40B4-BE49-F238E27FC236}">
              <a16:creationId xmlns:a16="http://schemas.microsoft.com/office/drawing/2014/main" id="{0F19143B-5D69-4C90-AB6F-08AB13CD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9850" y="1466850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20482" name="Imagem 1" descr="Paulo Carimbo">
          <a:extLst>
            <a:ext uri="{FF2B5EF4-FFF2-40B4-BE49-F238E27FC236}">
              <a16:creationId xmlns:a16="http://schemas.microsoft.com/office/drawing/2014/main" id="{90C557D9-5261-49A8-9A40-4D61DE0C4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21506" name="Imagem 1" descr="Paulo Carimbo">
          <a:extLst>
            <a:ext uri="{FF2B5EF4-FFF2-40B4-BE49-F238E27FC236}">
              <a16:creationId xmlns:a16="http://schemas.microsoft.com/office/drawing/2014/main" id="{4B619A53-DFF2-45F5-83CE-4A70A83EF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450850</xdr:colOff>
      <xdr:row>23</xdr:row>
      <xdr:rowOff>19050</xdr:rowOff>
    </xdr:from>
    <xdr:to>
      <xdr:col>20</xdr:col>
      <xdr:colOff>247650</xdr:colOff>
      <xdr:row>26</xdr:row>
      <xdr:rowOff>25400</xdr:rowOff>
    </xdr:to>
    <xdr:pic>
      <xdr:nvPicPr>
        <xdr:cNvPr id="22530" name="Imagem 1" descr="Paulo Carimbo">
          <a:extLst>
            <a:ext uri="{FF2B5EF4-FFF2-40B4-BE49-F238E27FC236}">
              <a16:creationId xmlns:a16="http://schemas.microsoft.com/office/drawing/2014/main" id="{8B22404B-4EE3-4F24-B96E-D207B9112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6200" y="394970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939800</xdr:colOff>
      <xdr:row>29</xdr:row>
      <xdr:rowOff>0</xdr:rowOff>
    </xdr:from>
    <xdr:to>
      <xdr:col>9</xdr:col>
      <xdr:colOff>57150</xdr:colOff>
      <xdr:row>32</xdr:row>
      <xdr:rowOff>6350</xdr:rowOff>
    </xdr:to>
    <xdr:pic>
      <xdr:nvPicPr>
        <xdr:cNvPr id="23554" name="Imagem 1" descr="Paulo Carimbo">
          <a:extLst>
            <a:ext uri="{FF2B5EF4-FFF2-40B4-BE49-F238E27FC236}">
              <a16:creationId xmlns:a16="http://schemas.microsoft.com/office/drawing/2014/main" id="{6F3B1890-2287-4568-9FB3-4DD0DE1CF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0850" y="5645150"/>
          <a:ext cx="14160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29</xdr:row>
      <xdr:rowOff>44450</xdr:rowOff>
    </xdr:from>
    <xdr:to>
      <xdr:col>9</xdr:col>
      <xdr:colOff>527050</xdr:colOff>
      <xdr:row>32</xdr:row>
      <xdr:rowOff>57150</xdr:rowOff>
    </xdr:to>
    <xdr:pic>
      <xdr:nvPicPr>
        <xdr:cNvPr id="24578" name="Imagem 1" descr="Paulo Carimbo">
          <a:extLst>
            <a:ext uri="{FF2B5EF4-FFF2-40B4-BE49-F238E27FC236}">
              <a16:creationId xmlns:a16="http://schemas.microsoft.com/office/drawing/2014/main" id="{F777D60E-1DE5-4FA2-930C-0C365E2F9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850" y="4889500"/>
          <a:ext cx="1409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349250</xdr:colOff>
      <xdr:row>64</xdr:row>
      <xdr:rowOff>95250</xdr:rowOff>
    </xdr:from>
    <xdr:to>
      <xdr:col>5</xdr:col>
      <xdr:colOff>749300</xdr:colOff>
      <xdr:row>67</xdr:row>
      <xdr:rowOff>12700</xdr:rowOff>
    </xdr:to>
    <xdr:pic>
      <xdr:nvPicPr>
        <xdr:cNvPr id="25602" name="Imagem 1" descr="Paulo Carimbo">
          <a:extLst>
            <a:ext uri="{FF2B5EF4-FFF2-40B4-BE49-F238E27FC236}">
              <a16:creationId xmlns:a16="http://schemas.microsoft.com/office/drawing/2014/main" id="{B0E2A241-0C9E-432B-B53A-5683AB7EC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150620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152400</xdr:colOff>
      <xdr:row>45</xdr:row>
      <xdr:rowOff>50800</xdr:rowOff>
    </xdr:from>
    <xdr:to>
      <xdr:col>24</xdr:col>
      <xdr:colOff>704850</xdr:colOff>
      <xdr:row>47</xdr:row>
      <xdr:rowOff>165100</xdr:rowOff>
    </xdr:to>
    <xdr:pic>
      <xdr:nvPicPr>
        <xdr:cNvPr id="26626" name="Imagem 1" descr="Paulo Carimbo">
          <a:extLst>
            <a:ext uri="{FF2B5EF4-FFF2-40B4-BE49-F238E27FC236}">
              <a16:creationId xmlns:a16="http://schemas.microsoft.com/office/drawing/2014/main" id="{90D15A28-B77F-46B0-941D-AD6B75CF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3150" y="92265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25</xdr:row>
      <xdr:rowOff>0</xdr:rowOff>
    </xdr:from>
    <xdr:to>
      <xdr:col>9</xdr:col>
      <xdr:colOff>279400</xdr:colOff>
      <xdr:row>27</xdr:row>
      <xdr:rowOff>120650</xdr:rowOff>
    </xdr:to>
    <xdr:pic>
      <xdr:nvPicPr>
        <xdr:cNvPr id="27650" name="Imagem 1" descr="Paulo Carimbo">
          <a:extLst>
            <a:ext uri="{FF2B5EF4-FFF2-40B4-BE49-F238E27FC236}">
              <a16:creationId xmlns:a16="http://schemas.microsoft.com/office/drawing/2014/main" id="{C9444710-F2DB-4255-9F27-A6F3AA6D3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9720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520700</xdr:colOff>
      <xdr:row>20</xdr:row>
      <xdr:rowOff>12700</xdr:rowOff>
    </xdr:from>
    <xdr:to>
      <xdr:col>8</xdr:col>
      <xdr:colOff>787400</xdr:colOff>
      <xdr:row>22</xdr:row>
      <xdr:rowOff>127000</xdr:rowOff>
    </xdr:to>
    <xdr:pic>
      <xdr:nvPicPr>
        <xdr:cNvPr id="28674" name="Imagem 1" descr="Paulo Carimbo">
          <a:extLst>
            <a:ext uri="{FF2B5EF4-FFF2-40B4-BE49-F238E27FC236}">
              <a16:creationId xmlns:a16="http://schemas.microsoft.com/office/drawing/2014/main" id="{630274CB-24A4-47CE-82DB-266C69BD8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0005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330200</xdr:colOff>
      <xdr:row>23</xdr:row>
      <xdr:rowOff>50800</xdr:rowOff>
    </xdr:from>
    <xdr:to>
      <xdr:col>8</xdr:col>
      <xdr:colOff>819150</xdr:colOff>
      <xdr:row>25</xdr:row>
      <xdr:rowOff>158750</xdr:rowOff>
    </xdr:to>
    <xdr:pic>
      <xdr:nvPicPr>
        <xdr:cNvPr id="29698" name="Imagem 1" descr="Paulo Carimbo">
          <a:extLst>
            <a:ext uri="{FF2B5EF4-FFF2-40B4-BE49-F238E27FC236}">
              <a16:creationId xmlns:a16="http://schemas.microsoft.com/office/drawing/2014/main" id="{F4A270E8-27DA-442D-8A30-9CF3891B2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1850" y="46355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15</xdr:row>
      <xdr:rowOff>95250</xdr:rowOff>
    </xdr:from>
    <xdr:to>
      <xdr:col>1</xdr:col>
      <xdr:colOff>3136900</xdr:colOff>
      <xdr:row>18</xdr:row>
      <xdr:rowOff>101600</xdr:rowOff>
    </xdr:to>
    <xdr:pic>
      <xdr:nvPicPr>
        <xdr:cNvPr id="3074" name="Imagem 1" descr="Paulo Carimbo">
          <a:extLst>
            <a:ext uri="{FF2B5EF4-FFF2-40B4-BE49-F238E27FC236}">
              <a16:creationId xmlns:a16="http://schemas.microsoft.com/office/drawing/2014/main" id="{74C7E039-106A-4EBC-A943-2EDF7D9D2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21050"/>
          <a:ext cx="1422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17</xdr:row>
      <xdr:rowOff>38100</xdr:rowOff>
    </xdr:from>
    <xdr:to>
      <xdr:col>5</xdr:col>
      <xdr:colOff>577850</xdr:colOff>
      <xdr:row>19</xdr:row>
      <xdr:rowOff>158750</xdr:rowOff>
    </xdr:to>
    <xdr:pic>
      <xdr:nvPicPr>
        <xdr:cNvPr id="30722" name="Imagem 1" descr="Paulo Carimbo">
          <a:extLst>
            <a:ext uri="{FF2B5EF4-FFF2-40B4-BE49-F238E27FC236}">
              <a16:creationId xmlns:a16="http://schemas.microsoft.com/office/drawing/2014/main" id="{22A726E7-6C03-4369-ADC3-B497C1515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8950" y="341630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527050</xdr:colOff>
      <xdr:row>25</xdr:row>
      <xdr:rowOff>12700</xdr:rowOff>
    </xdr:from>
    <xdr:to>
      <xdr:col>4</xdr:col>
      <xdr:colOff>838200</xdr:colOff>
      <xdr:row>27</xdr:row>
      <xdr:rowOff>127000</xdr:rowOff>
    </xdr:to>
    <xdr:pic>
      <xdr:nvPicPr>
        <xdr:cNvPr id="31746" name="Imagem 1" descr="Paulo Carimbo">
          <a:extLst>
            <a:ext uri="{FF2B5EF4-FFF2-40B4-BE49-F238E27FC236}">
              <a16:creationId xmlns:a16="http://schemas.microsoft.com/office/drawing/2014/main" id="{454FECB0-2540-4F97-8FBC-4C3897B1E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350" y="49784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546100</xdr:colOff>
      <xdr:row>47</xdr:row>
      <xdr:rowOff>158750</xdr:rowOff>
    </xdr:from>
    <xdr:to>
      <xdr:col>4</xdr:col>
      <xdr:colOff>209550</xdr:colOff>
      <xdr:row>50</xdr:row>
      <xdr:rowOff>76200</xdr:rowOff>
    </xdr:to>
    <xdr:pic>
      <xdr:nvPicPr>
        <xdr:cNvPr id="32770" name="Imagem 1" descr="Paulo Carimbo">
          <a:extLst>
            <a:ext uri="{FF2B5EF4-FFF2-40B4-BE49-F238E27FC236}">
              <a16:creationId xmlns:a16="http://schemas.microsoft.com/office/drawing/2014/main" id="{4EFC177B-552F-4F4D-83D5-D66417E2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95186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241300</xdr:colOff>
      <xdr:row>34</xdr:row>
      <xdr:rowOff>158750</xdr:rowOff>
    </xdr:from>
    <xdr:to>
      <xdr:col>19</xdr:col>
      <xdr:colOff>800100</xdr:colOff>
      <xdr:row>37</xdr:row>
      <xdr:rowOff>76200</xdr:rowOff>
    </xdr:to>
    <xdr:pic>
      <xdr:nvPicPr>
        <xdr:cNvPr id="33794" name="Imagem 1" descr="Paulo Carimbo">
          <a:extLst>
            <a:ext uri="{FF2B5EF4-FFF2-40B4-BE49-F238E27FC236}">
              <a16:creationId xmlns:a16="http://schemas.microsoft.com/office/drawing/2014/main" id="{820F2BD5-36CC-4B0C-99BB-46F9EFEC1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9500" y="69469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16</xdr:row>
      <xdr:rowOff>38100</xdr:rowOff>
    </xdr:from>
    <xdr:to>
      <xdr:col>19</xdr:col>
      <xdr:colOff>577850</xdr:colOff>
      <xdr:row>18</xdr:row>
      <xdr:rowOff>158750</xdr:rowOff>
    </xdr:to>
    <xdr:pic>
      <xdr:nvPicPr>
        <xdr:cNvPr id="34818" name="Imagem 1" descr="Paulo Carimbo">
          <a:extLst>
            <a:ext uri="{FF2B5EF4-FFF2-40B4-BE49-F238E27FC236}">
              <a16:creationId xmlns:a16="http://schemas.microsoft.com/office/drawing/2014/main" id="{6E5760F4-7925-4167-983D-589FFD493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4950" y="434340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958850</xdr:colOff>
      <xdr:row>26</xdr:row>
      <xdr:rowOff>12700</xdr:rowOff>
    </xdr:from>
    <xdr:to>
      <xdr:col>9</xdr:col>
      <xdr:colOff>279400</xdr:colOff>
      <xdr:row>28</xdr:row>
      <xdr:rowOff>127000</xdr:rowOff>
    </xdr:to>
    <xdr:pic>
      <xdr:nvPicPr>
        <xdr:cNvPr id="35842" name="Imagem 1" descr="Paulo Carimbo">
          <a:extLst>
            <a:ext uri="{FF2B5EF4-FFF2-40B4-BE49-F238E27FC236}">
              <a16:creationId xmlns:a16="http://schemas.microsoft.com/office/drawing/2014/main" id="{BCAEA440-BE6B-40A2-90B0-C4BB10EC3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2250" y="51816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844550</xdr:colOff>
      <xdr:row>32</xdr:row>
      <xdr:rowOff>69850</xdr:rowOff>
    </xdr:from>
    <xdr:to>
      <xdr:col>10</xdr:col>
      <xdr:colOff>127000</xdr:colOff>
      <xdr:row>34</xdr:row>
      <xdr:rowOff>184150</xdr:rowOff>
    </xdr:to>
    <xdr:pic>
      <xdr:nvPicPr>
        <xdr:cNvPr id="36866" name="Imagem 1" descr="Paulo Carimbo">
          <a:extLst>
            <a:ext uri="{FF2B5EF4-FFF2-40B4-BE49-F238E27FC236}">
              <a16:creationId xmlns:a16="http://schemas.microsoft.com/office/drawing/2014/main" id="{F63DB11E-8040-4F21-A189-81B0C999B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8600" y="66357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22</xdr:row>
      <xdr:rowOff>12700</xdr:rowOff>
    </xdr:from>
    <xdr:to>
      <xdr:col>8</xdr:col>
      <xdr:colOff>800100</xdr:colOff>
      <xdr:row>24</xdr:row>
      <xdr:rowOff>127000</xdr:rowOff>
    </xdr:to>
    <xdr:pic>
      <xdr:nvPicPr>
        <xdr:cNvPr id="37890" name="Imagem 1" descr="Paulo Carimbo">
          <a:extLst>
            <a:ext uri="{FF2B5EF4-FFF2-40B4-BE49-F238E27FC236}">
              <a16:creationId xmlns:a16="http://schemas.microsoft.com/office/drawing/2014/main" id="{F6A6F321-E741-420C-8A1F-935228317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43942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1016000</xdr:colOff>
      <xdr:row>31</xdr:row>
      <xdr:rowOff>12700</xdr:rowOff>
    </xdr:from>
    <xdr:to>
      <xdr:col>10</xdr:col>
      <xdr:colOff>381000</xdr:colOff>
      <xdr:row>33</xdr:row>
      <xdr:rowOff>127000</xdr:rowOff>
    </xdr:to>
    <xdr:pic>
      <xdr:nvPicPr>
        <xdr:cNvPr id="38914" name="Imagem 1" descr="Paulo Carimbo">
          <a:extLst>
            <a:ext uri="{FF2B5EF4-FFF2-40B4-BE49-F238E27FC236}">
              <a16:creationId xmlns:a16="http://schemas.microsoft.com/office/drawing/2014/main" id="{3FD56B30-083B-4F69-92EA-ABFBAF051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3200" y="616585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31750</xdr:colOff>
      <xdr:row>17</xdr:row>
      <xdr:rowOff>12700</xdr:rowOff>
    </xdr:from>
    <xdr:to>
      <xdr:col>8</xdr:col>
      <xdr:colOff>298450</xdr:colOff>
      <xdr:row>19</xdr:row>
      <xdr:rowOff>127000</xdr:rowOff>
    </xdr:to>
    <xdr:pic>
      <xdr:nvPicPr>
        <xdr:cNvPr id="39938" name="Imagem 1" descr="Paulo Carimbo">
          <a:extLst>
            <a:ext uri="{FF2B5EF4-FFF2-40B4-BE49-F238E27FC236}">
              <a16:creationId xmlns:a16="http://schemas.microsoft.com/office/drawing/2014/main" id="{AB4FE054-1DAD-422E-9AF0-BA994FF2E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34099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32</xdr:row>
      <xdr:rowOff>44450</xdr:rowOff>
    </xdr:from>
    <xdr:to>
      <xdr:col>5</xdr:col>
      <xdr:colOff>158750</xdr:colOff>
      <xdr:row>35</xdr:row>
      <xdr:rowOff>57150</xdr:rowOff>
    </xdr:to>
    <xdr:pic>
      <xdr:nvPicPr>
        <xdr:cNvPr id="4098" name="Imagem 1" descr="Paulo Carimbo">
          <a:extLst>
            <a:ext uri="{FF2B5EF4-FFF2-40B4-BE49-F238E27FC236}">
              <a16:creationId xmlns:a16="http://schemas.microsoft.com/office/drawing/2014/main" id="{5D3ED25A-E413-4601-89D8-54681B527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6527800"/>
          <a:ext cx="14160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977900</xdr:colOff>
      <xdr:row>32</xdr:row>
      <xdr:rowOff>12700</xdr:rowOff>
    </xdr:from>
    <xdr:to>
      <xdr:col>10</xdr:col>
      <xdr:colOff>298450</xdr:colOff>
      <xdr:row>34</xdr:row>
      <xdr:rowOff>127000</xdr:rowOff>
    </xdr:to>
    <xdr:pic>
      <xdr:nvPicPr>
        <xdr:cNvPr id="40962" name="Imagem 1" descr="Paulo Carimbo">
          <a:extLst>
            <a:ext uri="{FF2B5EF4-FFF2-40B4-BE49-F238E27FC236}">
              <a16:creationId xmlns:a16="http://schemas.microsoft.com/office/drawing/2014/main" id="{9D76D186-106C-4E33-AAB9-EA461726A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2250" y="63627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20</xdr:row>
      <xdr:rowOff>12700</xdr:rowOff>
    </xdr:from>
    <xdr:to>
      <xdr:col>7</xdr:col>
      <xdr:colOff>641350</xdr:colOff>
      <xdr:row>22</xdr:row>
      <xdr:rowOff>127000</xdr:rowOff>
    </xdr:to>
    <xdr:pic>
      <xdr:nvPicPr>
        <xdr:cNvPr id="41986" name="Imagem 1" descr="Paulo Carimbo">
          <a:extLst>
            <a:ext uri="{FF2B5EF4-FFF2-40B4-BE49-F238E27FC236}">
              <a16:creationId xmlns:a16="http://schemas.microsoft.com/office/drawing/2014/main" id="{831D9A62-1122-4393-8BD6-39C9318DB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0850" y="40005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996950</xdr:colOff>
      <xdr:row>31</xdr:row>
      <xdr:rowOff>0</xdr:rowOff>
    </xdr:from>
    <xdr:to>
      <xdr:col>10</xdr:col>
      <xdr:colOff>438150</xdr:colOff>
      <xdr:row>33</xdr:row>
      <xdr:rowOff>120650</xdr:rowOff>
    </xdr:to>
    <xdr:pic>
      <xdr:nvPicPr>
        <xdr:cNvPr id="43010" name="Imagem 1" descr="Paulo Carimbo">
          <a:extLst>
            <a:ext uri="{FF2B5EF4-FFF2-40B4-BE49-F238E27FC236}">
              <a16:creationId xmlns:a16="http://schemas.microsoft.com/office/drawing/2014/main" id="{152ABF75-6F22-44E0-9F2D-01FF4AD74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61531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330200</xdr:colOff>
      <xdr:row>31</xdr:row>
      <xdr:rowOff>12700</xdr:rowOff>
    </xdr:from>
    <xdr:to>
      <xdr:col>9</xdr:col>
      <xdr:colOff>1085850</xdr:colOff>
      <xdr:row>33</xdr:row>
      <xdr:rowOff>127000</xdr:rowOff>
    </xdr:to>
    <xdr:pic>
      <xdr:nvPicPr>
        <xdr:cNvPr id="44034" name="Imagem 1" descr="Paulo Carimbo">
          <a:extLst>
            <a:ext uri="{FF2B5EF4-FFF2-40B4-BE49-F238E27FC236}">
              <a16:creationId xmlns:a16="http://schemas.microsoft.com/office/drawing/2014/main" id="{D3C3E2FB-FD60-4A68-94FC-FE8FACF9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0450" y="61658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368300</xdr:colOff>
      <xdr:row>31</xdr:row>
      <xdr:rowOff>12700</xdr:rowOff>
    </xdr:from>
    <xdr:to>
      <xdr:col>10</xdr:col>
      <xdr:colOff>69850</xdr:colOff>
      <xdr:row>33</xdr:row>
      <xdr:rowOff>127000</xdr:rowOff>
    </xdr:to>
    <xdr:pic>
      <xdr:nvPicPr>
        <xdr:cNvPr id="45058" name="Imagem 1" descr="Paulo Carimbo">
          <a:extLst>
            <a:ext uri="{FF2B5EF4-FFF2-40B4-BE49-F238E27FC236}">
              <a16:creationId xmlns:a16="http://schemas.microsoft.com/office/drawing/2014/main" id="{E2814031-7D77-425D-A2F0-8EDE66016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550" y="616585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</xdr:colOff>
      <xdr:row>42</xdr:row>
      <xdr:rowOff>50800</xdr:rowOff>
    </xdr:from>
    <xdr:to>
      <xdr:col>12</xdr:col>
      <xdr:colOff>488950</xdr:colOff>
      <xdr:row>44</xdr:row>
      <xdr:rowOff>165100</xdr:rowOff>
    </xdr:to>
    <xdr:pic>
      <xdr:nvPicPr>
        <xdr:cNvPr id="46083" name="Imagem 1" descr="Paulo Carimbo">
          <a:extLst>
            <a:ext uri="{FF2B5EF4-FFF2-40B4-BE49-F238E27FC236}">
              <a16:creationId xmlns:a16="http://schemas.microsoft.com/office/drawing/2014/main" id="{6200FE25-BCDB-4DF1-BCC8-BA27C27D9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0100" y="866775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57150</xdr:colOff>
      <xdr:row>42</xdr:row>
      <xdr:rowOff>50800</xdr:rowOff>
    </xdr:from>
    <xdr:to>
      <xdr:col>23</xdr:col>
      <xdr:colOff>590550</xdr:colOff>
      <xdr:row>44</xdr:row>
      <xdr:rowOff>165100</xdr:rowOff>
    </xdr:to>
    <xdr:pic>
      <xdr:nvPicPr>
        <xdr:cNvPr id="46084" name="Imagem 2" descr="Paulo Carimbo">
          <a:extLst>
            <a:ext uri="{FF2B5EF4-FFF2-40B4-BE49-F238E27FC236}">
              <a16:creationId xmlns:a16="http://schemas.microsoft.com/office/drawing/2014/main" id="{3830C525-CD21-4C04-A303-B65DEF71D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4450" y="866775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717550</xdr:colOff>
      <xdr:row>35</xdr:row>
      <xdr:rowOff>177800</xdr:rowOff>
    </xdr:from>
    <xdr:to>
      <xdr:col>9</xdr:col>
      <xdr:colOff>908050</xdr:colOff>
      <xdr:row>38</xdr:row>
      <xdr:rowOff>101600</xdr:rowOff>
    </xdr:to>
    <xdr:pic>
      <xdr:nvPicPr>
        <xdr:cNvPr id="47107" name="Imagem 1" descr="Paulo Carimbo">
          <a:extLst>
            <a:ext uri="{FF2B5EF4-FFF2-40B4-BE49-F238E27FC236}">
              <a16:creationId xmlns:a16="http://schemas.microsoft.com/office/drawing/2014/main" id="{D88D4D40-D86F-47AE-962F-F853ADDCD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1437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704850</xdr:colOff>
      <xdr:row>35</xdr:row>
      <xdr:rowOff>165100</xdr:rowOff>
    </xdr:from>
    <xdr:to>
      <xdr:col>20</xdr:col>
      <xdr:colOff>895350</xdr:colOff>
      <xdr:row>38</xdr:row>
      <xdr:rowOff>88900</xdr:rowOff>
    </xdr:to>
    <xdr:pic>
      <xdr:nvPicPr>
        <xdr:cNvPr id="47108" name="Imagem 2" descr="Paulo Carimbo">
          <a:extLst>
            <a:ext uri="{FF2B5EF4-FFF2-40B4-BE49-F238E27FC236}">
              <a16:creationId xmlns:a16="http://schemas.microsoft.com/office/drawing/2014/main" id="{6044AEF8-B100-402B-9CF3-9E05C115C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79550" y="71310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19</xdr:row>
      <xdr:rowOff>0</xdr:rowOff>
    </xdr:from>
    <xdr:to>
      <xdr:col>22</xdr:col>
      <xdr:colOff>88900</xdr:colOff>
      <xdr:row>21</xdr:row>
      <xdr:rowOff>120650</xdr:rowOff>
    </xdr:to>
    <xdr:pic>
      <xdr:nvPicPr>
        <xdr:cNvPr id="48130" name="Imagem 1" descr="Paulo Carimbo">
          <a:extLst>
            <a:ext uri="{FF2B5EF4-FFF2-40B4-BE49-F238E27FC236}">
              <a16:creationId xmlns:a16="http://schemas.microsoft.com/office/drawing/2014/main" id="{46584978-9469-4AD6-A91E-D22DB0C61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37909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18</xdr:row>
      <xdr:rowOff>0</xdr:rowOff>
    </xdr:from>
    <xdr:to>
      <xdr:col>22</xdr:col>
      <xdr:colOff>209550</xdr:colOff>
      <xdr:row>20</xdr:row>
      <xdr:rowOff>120650</xdr:rowOff>
    </xdr:to>
    <xdr:pic>
      <xdr:nvPicPr>
        <xdr:cNvPr id="49154" name="Imagem 1" descr="Paulo Carimbo">
          <a:extLst>
            <a:ext uri="{FF2B5EF4-FFF2-40B4-BE49-F238E27FC236}">
              <a16:creationId xmlns:a16="http://schemas.microsoft.com/office/drawing/2014/main" id="{3232AAE8-641C-4CF0-97B6-7607837DE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35941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18</xdr:row>
      <xdr:rowOff>0</xdr:rowOff>
    </xdr:from>
    <xdr:to>
      <xdr:col>21</xdr:col>
      <xdr:colOff>336550</xdr:colOff>
      <xdr:row>20</xdr:row>
      <xdr:rowOff>120650</xdr:rowOff>
    </xdr:to>
    <xdr:pic>
      <xdr:nvPicPr>
        <xdr:cNvPr id="50178" name="Imagem 1" descr="Paulo Carimbo">
          <a:extLst>
            <a:ext uri="{FF2B5EF4-FFF2-40B4-BE49-F238E27FC236}">
              <a16:creationId xmlns:a16="http://schemas.microsoft.com/office/drawing/2014/main" id="{5094A51A-3E5D-41AE-A6EA-DE7DC193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650" y="35941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36</xdr:row>
      <xdr:rowOff>82550</xdr:rowOff>
    </xdr:from>
    <xdr:to>
      <xdr:col>7</xdr:col>
      <xdr:colOff>895350</xdr:colOff>
      <xdr:row>39</xdr:row>
      <xdr:rowOff>95250</xdr:rowOff>
    </xdr:to>
    <xdr:pic>
      <xdr:nvPicPr>
        <xdr:cNvPr id="5122" name="Imagem 1" descr="Paulo Carimbo">
          <a:extLst>
            <a:ext uri="{FF2B5EF4-FFF2-40B4-BE49-F238E27FC236}">
              <a16:creationId xmlns:a16="http://schemas.microsoft.com/office/drawing/2014/main" id="{2284532B-9044-4803-8641-4653E356A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4100" y="8470900"/>
          <a:ext cx="14160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18</xdr:row>
      <xdr:rowOff>0</xdr:rowOff>
    </xdr:from>
    <xdr:to>
      <xdr:col>21</xdr:col>
      <xdr:colOff>336550</xdr:colOff>
      <xdr:row>20</xdr:row>
      <xdr:rowOff>120650</xdr:rowOff>
    </xdr:to>
    <xdr:pic>
      <xdr:nvPicPr>
        <xdr:cNvPr id="51202" name="Imagem 1" descr="Paulo Carimbo">
          <a:extLst>
            <a:ext uri="{FF2B5EF4-FFF2-40B4-BE49-F238E27FC236}">
              <a16:creationId xmlns:a16="http://schemas.microsoft.com/office/drawing/2014/main" id="{A957C61D-20F1-447C-AF28-562D8FB6C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35941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18</xdr:row>
      <xdr:rowOff>0</xdr:rowOff>
    </xdr:from>
    <xdr:to>
      <xdr:col>22</xdr:col>
      <xdr:colOff>285750</xdr:colOff>
      <xdr:row>20</xdr:row>
      <xdr:rowOff>120650</xdr:rowOff>
    </xdr:to>
    <xdr:pic>
      <xdr:nvPicPr>
        <xdr:cNvPr id="52226" name="Imagem 1" descr="Paulo Carimbo">
          <a:extLst>
            <a:ext uri="{FF2B5EF4-FFF2-40B4-BE49-F238E27FC236}">
              <a16:creationId xmlns:a16="http://schemas.microsoft.com/office/drawing/2014/main" id="{76B41D84-574D-4296-963E-72E11CE61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2650" y="35941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18</xdr:row>
      <xdr:rowOff>0</xdr:rowOff>
    </xdr:from>
    <xdr:to>
      <xdr:col>22</xdr:col>
      <xdr:colOff>285750</xdr:colOff>
      <xdr:row>20</xdr:row>
      <xdr:rowOff>120650</xdr:rowOff>
    </xdr:to>
    <xdr:pic>
      <xdr:nvPicPr>
        <xdr:cNvPr id="53250" name="Imagem 1" descr="Paulo Carimbo">
          <a:extLst>
            <a:ext uri="{FF2B5EF4-FFF2-40B4-BE49-F238E27FC236}">
              <a16:creationId xmlns:a16="http://schemas.microsoft.com/office/drawing/2014/main" id="{B81E9647-F85F-4C5A-8342-8824065EC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0" y="35941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222250</xdr:colOff>
      <xdr:row>18</xdr:row>
      <xdr:rowOff>0</xdr:rowOff>
    </xdr:from>
    <xdr:to>
      <xdr:col>22</xdr:col>
      <xdr:colOff>349250</xdr:colOff>
      <xdr:row>20</xdr:row>
      <xdr:rowOff>120650</xdr:rowOff>
    </xdr:to>
    <xdr:pic>
      <xdr:nvPicPr>
        <xdr:cNvPr id="54274" name="Imagem 1" descr="Paulo Carimbo">
          <a:extLst>
            <a:ext uri="{FF2B5EF4-FFF2-40B4-BE49-F238E27FC236}">
              <a16:creationId xmlns:a16="http://schemas.microsoft.com/office/drawing/2014/main" id="{680CD208-0F0E-4D87-88EF-8402DE459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1450" y="3594100"/>
          <a:ext cx="1422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298450</xdr:colOff>
      <xdr:row>18</xdr:row>
      <xdr:rowOff>0</xdr:rowOff>
    </xdr:from>
    <xdr:to>
      <xdr:col>22</xdr:col>
      <xdr:colOff>425450</xdr:colOff>
      <xdr:row>20</xdr:row>
      <xdr:rowOff>120650</xdr:rowOff>
    </xdr:to>
    <xdr:pic>
      <xdr:nvPicPr>
        <xdr:cNvPr id="55298" name="Imagem 1" descr="Paulo Carimbo">
          <a:extLst>
            <a:ext uri="{FF2B5EF4-FFF2-40B4-BE49-F238E27FC236}">
              <a16:creationId xmlns:a16="http://schemas.microsoft.com/office/drawing/2014/main" id="{6F18BCAA-94FA-4CA2-8773-D3CB2C949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650" y="3594100"/>
          <a:ext cx="1422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24</xdr:row>
      <xdr:rowOff>19050</xdr:rowOff>
    </xdr:from>
    <xdr:to>
      <xdr:col>12</xdr:col>
      <xdr:colOff>203200</xdr:colOff>
      <xdr:row>26</xdr:row>
      <xdr:rowOff>139700</xdr:rowOff>
    </xdr:to>
    <xdr:pic>
      <xdr:nvPicPr>
        <xdr:cNvPr id="56324" name="Imagem 2" descr="Paulo Carimbo">
          <a:extLst>
            <a:ext uri="{FF2B5EF4-FFF2-40B4-BE49-F238E27FC236}">
              <a16:creationId xmlns:a16="http://schemas.microsoft.com/office/drawing/2014/main" id="{7E5E8393-533A-436F-ACCD-41E5CD8CC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4762500"/>
          <a:ext cx="1422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</xdr:row>
      <xdr:rowOff>19050</xdr:rowOff>
    </xdr:from>
    <xdr:to>
      <xdr:col>21</xdr:col>
      <xdr:colOff>203200</xdr:colOff>
      <xdr:row>26</xdr:row>
      <xdr:rowOff>139700</xdr:rowOff>
    </xdr:to>
    <xdr:pic>
      <xdr:nvPicPr>
        <xdr:cNvPr id="56325" name="Imagem 3" descr="Paulo Carimbo">
          <a:extLst>
            <a:ext uri="{FF2B5EF4-FFF2-40B4-BE49-F238E27FC236}">
              <a16:creationId xmlns:a16="http://schemas.microsoft.com/office/drawing/2014/main" id="{A1D4F916-FA26-4BD8-9A0F-213A66AA6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4762500"/>
          <a:ext cx="1422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69850</xdr:colOff>
      <xdr:row>22</xdr:row>
      <xdr:rowOff>146050</xdr:rowOff>
    </xdr:from>
    <xdr:to>
      <xdr:col>12</xdr:col>
      <xdr:colOff>247650</xdr:colOff>
      <xdr:row>25</xdr:row>
      <xdr:rowOff>69850</xdr:rowOff>
    </xdr:to>
    <xdr:pic>
      <xdr:nvPicPr>
        <xdr:cNvPr id="57349" name="Imagem 1" descr="Paulo Carimbo">
          <a:extLst>
            <a:ext uri="{FF2B5EF4-FFF2-40B4-BE49-F238E27FC236}">
              <a16:creationId xmlns:a16="http://schemas.microsoft.com/office/drawing/2014/main" id="{7D215ABC-1A02-456D-8111-381B365D5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45466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488950</xdr:colOff>
      <xdr:row>22</xdr:row>
      <xdr:rowOff>146050</xdr:rowOff>
    </xdr:from>
    <xdr:to>
      <xdr:col>22</xdr:col>
      <xdr:colOff>50800</xdr:colOff>
      <xdr:row>25</xdr:row>
      <xdr:rowOff>69850</xdr:rowOff>
    </xdr:to>
    <xdr:pic>
      <xdr:nvPicPr>
        <xdr:cNvPr id="57350" name="Imagem 2" descr="Paulo Carimbo">
          <a:extLst>
            <a:ext uri="{FF2B5EF4-FFF2-40B4-BE49-F238E27FC236}">
              <a16:creationId xmlns:a16="http://schemas.microsoft.com/office/drawing/2014/main" id="{384D48B1-BA87-4234-A4DF-09EBBD1FA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454660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69850</xdr:colOff>
      <xdr:row>22</xdr:row>
      <xdr:rowOff>127000</xdr:rowOff>
    </xdr:from>
    <xdr:to>
      <xdr:col>12</xdr:col>
      <xdr:colOff>266700</xdr:colOff>
      <xdr:row>25</xdr:row>
      <xdr:rowOff>50800</xdr:rowOff>
    </xdr:to>
    <xdr:pic>
      <xdr:nvPicPr>
        <xdr:cNvPr id="58371" name="Imagem 1" descr="Paulo Carimbo">
          <a:extLst>
            <a:ext uri="{FF2B5EF4-FFF2-40B4-BE49-F238E27FC236}">
              <a16:creationId xmlns:a16="http://schemas.microsoft.com/office/drawing/2014/main" id="{8B9D1F38-124F-4733-B178-E97BF1F2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45275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488950</xdr:colOff>
      <xdr:row>22</xdr:row>
      <xdr:rowOff>139700</xdr:rowOff>
    </xdr:from>
    <xdr:to>
      <xdr:col>22</xdr:col>
      <xdr:colOff>50800</xdr:colOff>
      <xdr:row>25</xdr:row>
      <xdr:rowOff>57150</xdr:rowOff>
    </xdr:to>
    <xdr:pic>
      <xdr:nvPicPr>
        <xdr:cNvPr id="58372" name="Imagem 2" descr="Paulo Carimbo">
          <a:extLst>
            <a:ext uri="{FF2B5EF4-FFF2-40B4-BE49-F238E27FC236}">
              <a16:creationId xmlns:a16="http://schemas.microsoft.com/office/drawing/2014/main" id="{3569B9F5-B393-42D3-B461-9B7C5F47E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4540250"/>
          <a:ext cx="14097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482600</xdr:colOff>
      <xdr:row>22</xdr:row>
      <xdr:rowOff>12700</xdr:rowOff>
    </xdr:from>
    <xdr:to>
      <xdr:col>7</xdr:col>
      <xdr:colOff>819150</xdr:colOff>
      <xdr:row>24</xdr:row>
      <xdr:rowOff>127000</xdr:rowOff>
    </xdr:to>
    <xdr:pic>
      <xdr:nvPicPr>
        <xdr:cNvPr id="59394" name="Imagem 1" descr="Paulo Carimbo">
          <a:extLst>
            <a:ext uri="{FF2B5EF4-FFF2-40B4-BE49-F238E27FC236}">
              <a16:creationId xmlns:a16="http://schemas.microsoft.com/office/drawing/2014/main" id="{21364324-2F69-4E43-9158-87225E6F9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850" y="43942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273050</xdr:colOff>
      <xdr:row>23</xdr:row>
      <xdr:rowOff>19050</xdr:rowOff>
    </xdr:from>
    <xdr:to>
      <xdr:col>5</xdr:col>
      <xdr:colOff>12700</xdr:colOff>
      <xdr:row>25</xdr:row>
      <xdr:rowOff>139700</xdr:rowOff>
    </xdr:to>
    <xdr:pic>
      <xdr:nvPicPr>
        <xdr:cNvPr id="60418" name="Imagem 1" descr="Paulo Carimbo">
          <a:extLst>
            <a:ext uri="{FF2B5EF4-FFF2-40B4-BE49-F238E27FC236}">
              <a16:creationId xmlns:a16="http://schemas.microsoft.com/office/drawing/2014/main" id="{980E521B-A0B6-4879-A799-489879C87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0" y="45910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30</xdr:row>
      <xdr:rowOff>152400</xdr:rowOff>
    </xdr:from>
    <xdr:to>
      <xdr:col>19</xdr:col>
      <xdr:colOff>260350</xdr:colOff>
      <xdr:row>32</xdr:row>
      <xdr:rowOff>19050</xdr:rowOff>
    </xdr:to>
    <xdr:pic>
      <xdr:nvPicPr>
        <xdr:cNvPr id="6146" name="Imagem 1" descr="Paulo Carimbo">
          <a:extLst>
            <a:ext uri="{FF2B5EF4-FFF2-40B4-BE49-F238E27FC236}">
              <a16:creationId xmlns:a16="http://schemas.microsoft.com/office/drawing/2014/main" id="{D27EBA17-70C9-4F81-BDD3-F5A84C9E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948690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431800</xdr:colOff>
      <xdr:row>23</xdr:row>
      <xdr:rowOff>19050</xdr:rowOff>
    </xdr:from>
    <xdr:to>
      <xdr:col>2</xdr:col>
      <xdr:colOff>1847850</xdr:colOff>
      <xdr:row>25</xdr:row>
      <xdr:rowOff>139700</xdr:rowOff>
    </xdr:to>
    <xdr:pic>
      <xdr:nvPicPr>
        <xdr:cNvPr id="61442" name="Imagem 1" descr="Paulo Carimbo">
          <a:extLst>
            <a:ext uri="{FF2B5EF4-FFF2-40B4-BE49-F238E27FC236}">
              <a16:creationId xmlns:a16="http://schemas.microsoft.com/office/drawing/2014/main" id="{16E338F1-54F3-42B0-BD5C-4BC49730D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45910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406400</xdr:colOff>
      <xdr:row>21</xdr:row>
      <xdr:rowOff>12700</xdr:rowOff>
    </xdr:from>
    <xdr:to>
      <xdr:col>8</xdr:col>
      <xdr:colOff>781050</xdr:colOff>
      <xdr:row>23</xdr:row>
      <xdr:rowOff>127000</xdr:rowOff>
    </xdr:to>
    <xdr:pic>
      <xdr:nvPicPr>
        <xdr:cNvPr id="62466" name="Imagem 1" descr="Paulo Carimbo">
          <a:extLst>
            <a:ext uri="{FF2B5EF4-FFF2-40B4-BE49-F238E27FC236}">
              <a16:creationId xmlns:a16="http://schemas.microsoft.com/office/drawing/2014/main" id="{8D01231C-770C-487F-A06E-9E4AD877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419735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23</xdr:row>
      <xdr:rowOff>19050</xdr:rowOff>
    </xdr:from>
    <xdr:to>
      <xdr:col>4</xdr:col>
      <xdr:colOff>895350</xdr:colOff>
      <xdr:row>25</xdr:row>
      <xdr:rowOff>139700</xdr:rowOff>
    </xdr:to>
    <xdr:pic>
      <xdr:nvPicPr>
        <xdr:cNvPr id="63490" name="Imagem 1" descr="Paulo Carimbo">
          <a:extLst>
            <a:ext uri="{FF2B5EF4-FFF2-40B4-BE49-F238E27FC236}">
              <a16:creationId xmlns:a16="http://schemas.microsoft.com/office/drawing/2014/main" id="{E0752447-7ED6-48EE-AC4D-4B820B679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7650" y="4591050"/>
          <a:ext cx="1416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736600</xdr:colOff>
      <xdr:row>30</xdr:row>
      <xdr:rowOff>190500</xdr:rowOff>
    </xdr:from>
    <xdr:to>
      <xdr:col>6</xdr:col>
      <xdr:colOff>400050</xdr:colOff>
      <xdr:row>32</xdr:row>
      <xdr:rowOff>190500</xdr:rowOff>
    </xdr:to>
    <xdr:pic>
      <xdr:nvPicPr>
        <xdr:cNvPr id="64514" name="Imagem 1" descr="Paulo Carimbo">
          <a:extLst>
            <a:ext uri="{FF2B5EF4-FFF2-40B4-BE49-F238E27FC236}">
              <a16:creationId xmlns:a16="http://schemas.microsoft.com/office/drawing/2014/main" id="{EB3632E4-DBFD-4118-8E6F-1C3BE4EF6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7054850"/>
          <a:ext cx="1416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279400</xdr:colOff>
      <xdr:row>30</xdr:row>
      <xdr:rowOff>19050</xdr:rowOff>
    </xdr:from>
    <xdr:to>
      <xdr:col>4</xdr:col>
      <xdr:colOff>819150</xdr:colOff>
      <xdr:row>32</xdr:row>
      <xdr:rowOff>19050</xdr:rowOff>
    </xdr:to>
    <xdr:pic>
      <xdr:nvPicPr>
        <xdr:cNvPr id="65538" name="Imagem 1" descr="Paulo Carimbo">
          <a:extLst>
            <a:ext uri="{FF2B5EF4-FFF2-40B4-BE49-F238E27FC236}">
              <a16:creationId xmlns:a16="http://schemas.microsoft.com/office/drawing/2014/main" id="{FEE30582-65B9-40CB-B9D8-A8FC78AC5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6978650"/>
          <a:ext cx="1416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29</xdr:row>
      <xdr:rowOff>139700</xdr:rowOff>
    </xdr:from>
    <xdr:to>
      <xdr:col>8</xdr:col>
      <xdr:colOff>158750</xdr:colOff>
      <xdr:row>31</xdr:row>
      <xdr:rowOff>120650</xdr:rowOff>
    </xdr:to>
    <xdr:pic>
      <xdr:nvPicPr>
        <xdr:cNvPr id="66562" name="Imagem 1" descr="Paulo Carimbo">
          <a:extLst>
            <a:ext uri="{FF2B5EF4-FFF2-40B4-BE49-F238E27FC236}">
              <a16:creationId xmlns:a16="http://schemas.microsoft.com/office/drawing/2014/main" id="{E17749EB-E011-424B-A266-5CD3B4E73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850" y="6915150"/>
          <a:ext cx="14160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749300</xdr:colOff>
      <xdr:row>25</xdr:row>
      <xdr:rowOff>215900</xdr:rowOff>
    </xdr:from>
    <xdr:to>
      <xdr:col>9</xdr:col>
      <xdr:colOff>406400</xdr:colOff>
      <xdr:row>27</xdr:row>
      <xdr:rowOff>196850</xdr:rowOff>
    </xdr:to>
    <xdr:pic>
      <xdr:nvPicPr>
        <xdr:cNvPr id="67586" name="Imagem 1" descr="Paulo Carimbo">
          <a:extLst>
            <a:ext uri="{FF2B5EF4-FFF2-40B4-BE49-F238E27FC236}">
              <a16:creationId xmlns:a16="http://schemas.microsoft.com/office/drawing/2014/main" id="{558D1AAA-A6AA-4EF7-AEA7-5F883CAF1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975350"/>
          <a:ext cx="1409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520700</xdr:colOff>
      <xdr:row>68</xdr:row>
      <xdr:rowOff>31750</xdr:rowOff>
    </xdr:from>
    <xdr:to>
      <xdr:col>22</xdr:col>
      <xdr:colOff>171450</xdr:colOff>
      <xdr:row>70</xdr:row>
      <xdr:rowOff>146050</xdr:rowOff>
    </xdr:to>
    <xdr:pic>
      <xdr:nvPicPr>
        <xdr:cNvPr id="68610" name="Imagem 1" descr="Paulo Carimbo">
          <a:extLst>
            <a:ext uri="{FF2B5EF4-FFF2-40B4-BE49-F238E27FC236}">
              <a16:creationId xmlns:a16="http://schemas.microsoft.com/office/drawing/2014/main" id="{97902628-92DA-4F10-8FEE-4674B8905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45700" y="1278255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355600</xdr:colOff>
      <xdr:row>20</xdr:row>
      <xdr:rowOff>12700</xdr:rowOff>
    </xdr:from>
    <xdr:to>
      <xdr:col>11</xdr:col>
      <xdr:colOff>158750</xdr:colOff>
      <xdr:row>22</xdr:row>
      <xdr:rowOff>127000</xdr:rowOff>
    </xdr:to>
    <xdr:pic>
      <xdr:nvPicPr>
        <xdr:cNvPr id="69635" name="Imagem 1" descr="Paulo Carimbo">
          <a:extLst>
            <a:ext uri="{FF2B5EF4-FFF2-40B4-BE49-F238E27FC236}">
              <a16:creationId xmlns:a16="http://schemas.microsoft.com/office/drawing/2014/main" id="{1E21B4AC-6D95-4264-9FCE-AAD8E9E8B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1150" y="40005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355600</xdr:colOff>
      <xdr:row>19</xdr:row>
      <xdr:rowOff>12700</xdr:rowOff>
    </xdr:from>
    <xdr:to>
      <xdr:col>21</xdr:col>
      <xdr:colOff>19050</xdr:colOff>
      <xdr:row>21</xdr:row>
      <xdr:rowOff>127000</xdr:rowOff>
    </xdr:to>
    <xdr:pic>
      <xdr:nvPicPr>
        <xdr:cNvPr id="69636" name="Imagem 2" descr="Paulo Carimbo">
          <a:extLst>
            <a:ext uri="{FF2B5EF4-FFF2-40B4-BE49-F238E27FC236}">
              <a16:creationId xmlns:a16="http://schemas.microsoft.com/office/drawing/2014/main" id="{34631C41-B27A-495D-AFB6-E4201E8D1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4600" y="38036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31750</xdr:colOff>
      <xdr:row>26</xdr:row>
      <xdr:rowOff>19050</xdr:rowOff>
    </xdr:from>
    <xdr:to>
      <xdr:col>10</xdr:col>
      <xdr:colOff>565150</xdr:colOff>
      <xdr:row>28</xdr:row>
      <xdr:rowOff>139700</xdr:rowOff>
    </xdr:to>
    <xdr:pic>
      <xdr:nvPicPr>
        <xdr:cNvPr id="70659" name="Imagem 1" descr="Paulo Carimbo">
          <a:extLst>
            <a:ext uri="{FF2B5EF4-FFF2-40B4-BE49-F238E27FC236}">
              <a16:creationId xmlns:a16="http://schemas.microsoft.com/office/drawing/2014/main" id="{958AE044-5754-4EDC-BEE6-F727847E7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4400" y="518795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31750</xdr:colOff>
      <xdr:row>26</xdr:row>
      <xdr:rowOff>19050</xdr:rowOff>
    </xdr:from>
    <xdr:to>
      <xdr:col>20</xdr:col>
      <xdr:colOff>565150</xdr:colOff>
      <xdr:row>28</xdr:row>
      <xdr:rowOff>139700</xdr:rowOff>
    </xdr:to>
    <xdr:pic>
      <xdr:nvPicPr>
        <xdr:cNvPr id="70660" name="Imagem 2" descr="Paulo Carimbo">
          <a:extLst>
            <a:ext uri="{FF2B5EF4-FFF2-40B4-BE49-F238E27FC236}">
              <a16:creationId xmlns:a16="http://schemas.microsoft.com/office/drawing/2014/main" id="{17E5122D-9F09-4048-ACE9-3EFBCEDE7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7400" y="5187950"/>
          <a:ext cx="1409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660400</xdr:colOff>
      <xdr:row>22</xdr:row>
      <xdr:rowOff>165100</xdr:rowOff>
    </xdr:from>
    <xdr:to>
      <xdr:col>11</xdr:col>
      <xdr:colOff>158750</xdr:colOff>
      <xdr:row>25</xdr:row>
      <xdr:rowOff>76200</xdr:rowOff>
    </xdr:to>
    <xdr:pic>
      <xdr:nvPicPr>
        <xdr:cNvPr id="7171" name="Imagem 1" descr="Paulo Carimbo">
          <a:extLst>
            <a:ext uri="{FF2B5EF4-FFF2-40B4-BE49-F238E27FC236}">
              <a16:creationId xmlns:a16="http://schemas.microsoft.com/office/drawing/2014/main" id="{C2BFFAF1-6626-4D9A-83BC-75AFC144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755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571500</xdr:colOff>
      <xdr:row>22</xdr:row>
      <xdr:rowOff>127000</xdr:rowOff>
    </xdr:from>
    <xdr:to>
      <xdr:col>21</xdr:col>
      <xdr:colOff>107950</xdr:colOff>
      <xdr:row>25</xdr:row>
      <xdr:rowOff>38100</xdr:rowOff>
    </xdr:to>
    <xdr:pic>
      <xdr:nvPicPr>
        <xdr:cNvPr id="7172" name="Imagem 2" descr="Paulo Carimbo">
          <a:extLst>
            <a:ext uri="{FF2B5EF4-FFF2-40B4-BE49-F238E27FC236}">
              <a16:creationId xmlns:a16="http://schemas.microsoft.com/office/drawing/2014/main" id="{E7ADCEFE-E431-4A14-B774-99B9E4092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4550" y="45021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596900</xdr:colOff>
      <xdr:row>22</xdr:row>
      <xdr:rowOff>12700</xdr:rowOff>
    </xdr:from>
    <xdr:to>
      <xdr:col>11</xdr:col>
      <xdr:colOff>355600</xdr:colOff>
      <xdr:row>24</xdr:row>
      <xdr:rowOff>127000</xdr:rowOff>
    </xdr:to>
    <xdr:pic>
      <xdr:nvPicPr>
        <xdr:cNvPr id="71683" name="Imagem 1" descr="Paulo Carimbo">
          <a:extLst>
            <a:ext uri="{FF2B5EF4-FFF2-40B4-BE49-F238E27FC236}">
              <a16:creationId xmlns:a16="http://schemas.microsoft.com/office/drawing/2014/main" id="{B8DC4D92-4C06-4FD6-98B8-F966ECC06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4394200"/>
          <a:ext cx="14097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596900</xdr:colOff>
      <xdr:row>22</xdr:row>
      <xdr:rowOff>12700</xdr:rowOff>
    </xdr:from>
    <xdr:to>
      <xdr:col>21</xdr:col>
      <xdr:colOff>260350</xdr:colOff>
      <xdr:row>24</xdr:row>
      <xdr:rowOff>127000</xdr:rowOff>
    </xdr:to>
    <xdr:pic>
      <xdr:nvPicPr>
        <xdr:cNvPr id="71684" name="Imagem 2" descr="Paulo Carimbo">
          <a:extLst>
            <a:ext uri="{FF2B5EF4-FFF2-40B4-BE49-F238E27FC236}">
              <a16:creationId xmlns:a16="http://schemas.microsoft.com/office/drawing/2014/main" id="{4EEA06A1-4CD0-47AF-A28B-F46F2BAEE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7050" y="439420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355600</xdr:colOff>
      <xdr:row>19</xdr:row>
      <xdr:rowOff>12700</xdr:rowOff>
    </xdr:from>
    <xdr:to>
      <xdr:col>11</xdr:col>
      <xdr:colOff>158750</xdr:colOff>
      <xdr:row>21</xdr:row>
      <xdr:rowOff>127000</xdr:rowOff>
    </xdr:to>
    <xdr:pic>
      <xdr:nvPicPr>
        <xdr:cNvPr id="72707" name="Imagem 1" descr="Paulo Carimbo">
          <a:extLst>
            <a:ext uri="{FF2B5EF4-FFF2-40B4-BE49-F238E27FC236}">
              <a16:creationId xmlns:a16="http://schemas.microsoft.com/office/drawing/2014/main" id="{B4F1ACC2-5BFC-4023-80BE-DF3AD8450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650" y="38036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355600</xdr:colOff>
      <xdr:row>19</xdr:row>
      <xdr:rowOff>12700</xdr:rowOff>
    </xdr:from>
    <xdr:to>
      <xdr:col>21</xdr:col>
      <xdr:colOff>19050</xdr:colOff>
      <xdr:row>21</xdr:row>
      <xdr:rowOff>127000</xdr:rowOff>
    </xdr:to>
    <xdr:pic>
      <xdr:nvPicPr>
        <xdr:cNvPr id="72708" name="Imagem 2" descr="Paulo Carimbo">
          <a:extLst>
            <a:ext uri="{FF2B5EF4-FFF2-40B4-BE49-F238E27FC236}">
              <a16:creationId xmlns:a16="http://schemas.microsoft.com/office/drawing/2014/main" id="{94246227-9943-424C-9907-A091568EC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6100" y="3803650"/>
          <a:ext cx="14160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425450</xdr:colOff>
      <xdr:row>31</xdr:row>
      <xdr:rowOff>0</xdr:rowOff>
    </xdr:from>
    <xdr:to>
      <xdr:col>8</xdr:col>
      <xdr:colOff>88900</xdr:colOff>
      <xdr:row>33</xdr:row>
      <xdr:rowOff>57150</xdr:rowOff>
    </xdr:to>
    <xdr:pic>
      <xdr:nvPicPr>
        <xdr:cNvPr id="73730" name="Imagem 1" descr="Paulo Carimbo">
          <a:extLst>
            <a:ext uri="{FF2B5EF4-FFF2-40B4-BE49-F238E27FC236}">
              <a16:creationId xmlns:a16="http://schemas.microsoft.com/office/drawing/2014/main" id="{5AADC81B-128A-46FD-AB21-CEA95DDBC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6521450"/>
          <a:ext cx="14160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24</xdr:row>
      <xdr:rowOff>139700</xdr:rowOff>
    </xdr:from>
    <xdr:to>
      <xdr:col>7</xdr:col>
      <xdr:colOff>0</xdr:colOff>
      <xdr:row>26</xdr:row>
      <xdr:rowOff>82550</xdr:rowOff>
    </xdr:to>
    <xdr:pic>
      <xdr:nvPicPr>
        <xdr:cNvPr id="74754" name="Imagem 1" descr="Paulo Carimbo">
          <a:extLst>
            <a:ext uri="{FF2B5EF4-FFF2-40B4-BE49-F238E27FC236}">
              <a16:creationId xmlns:a16="http://schemas.microsoft.com/office/drawing/2014/main" id="{9AA70161-6C39-4A41-8270-866253AF3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7550" y="668020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24</xdr:row>
      <xdr:rowOff>254000</xdr:rowOff>
    </xdr:from>
    <xdr:to>
      <xdr:col>7</xdr:col>
      <xdr:colOff>361950</xdr:colOff>
      <xdr:row>26</xdr:row>
      <xdr:rowOff>196850</xdr:rowOff>
    </xdr:to>
    <xdr:pic>
      <xdr:nvPicPr>
        <xdr:cNvPr id="75778" name="Imagem 1" descr="Paulo Carimbo">
          <a:extLst>
            <a:ext uri="{FF2B5EF4-FFF2-40B4-BE49-F238E27FC236}">
              <a16:creationId xmlns:a16="http://schemas.microsoft.com/office/drawing/2014/main" id="{9A0D1C57-E7EE-4610-91AB-7961664E4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" y="671830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222250</xdr:colOff>
      <xdr:row>28</xdr:row>
      <xdr:rowOff>228600</xdr:rowOff>
    </xdr:from>
    <xdr:to>
      <xdr:col>7</xdr:col>
      <xdr:colOff>12700</xdr:colOff>
      <xdr:row>30</xdr:row>
      <xdr:rowOff>171450</xdr:rowOff>
    </xdr:to>
    <xdr:pic>
      <xdr:nvPicPr>
        <xdr:cNvPr id="76802" name="Imagem 1" descr="Paulo Carimbo">
          <a:extLst>
            <a:ext uri="{FF2B5EF4-FFF2-40B4-BE49-F238E27FC236}">
              <a16:creationId xmlns:a16="http://schemas.microsoft.com/office/drawing/2014/main" id="{17D7D8B1-DE7A-45A2-8557-7E70CB93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77787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469900</xdr:colOff>
      <xdr:row>15</xdr:row>
      <xdr:rowOff>171450</xdr:rowOff>
    </xdr:from>
    <xdr:to>
      <xdr:col>7</xdr:col>
      <xdr:colOff>260350</xdr:colOff>
      <xdr:row>17</xdr:row>
      <xdr:rowOff>114300</xdr:rowOff>
    </xdr:to>
    <xdr:pic>
      <xdr:nvPicPr>
        <xdr:cNvPr id="77826" name="Imagem 1" descr="Paulo Carimbo">
          <a:extLst>
            <a:ext uri="{FF2B5EF4-FFF2-40B4-BE49-F238E27FC236}">
              <a16:creationId xmlns:a16="http://schemas.microsoft.com/office/drawing/2014/main" id="{092D1E93-B605-4EB3-9071-557E233E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900" y="406400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222250</xdr:colOff>
      <xdr:row>26</xdr:row>
      <xdr:rowOff>57150</xdr:rowOff>
    </xdr:from>
    <xdr:to>
      <xdr:col>7</xdr:col>
      <xdr:colOff>12700</xdr:colOff>
      <xdr:row>28</xdr:row>
      <xdr:rowOff>0</xdr:rowOff>
    </xdr:to>
    <xdr:pic>
      <xdr:nvPicPr>
        <xdr:cNvPr id="78850" name="Imagem 1" descr="Paulo Carimbo">
          <a:extLst>
            <a:ext uri="{FF2B5EF4-FFF2-40B4-BE49-F238E27FC236}">
              <a16:creationId xmlns:a16="http://schemas.microsoft.com/office/drawing/2014/main" id="{808984EC-964A-44CC-A556-6F05725A8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69532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222250</xdr:colOff>
      <xdr:row>35</xdr:row>
      <xdr:rowOff>209550</xdr:rowOff>
    </xdr:from>
    <xdr:to>
      <xdr:col>7</xdr:col>
      <xdr:colOff>12700</xdr:colOff>
      <xdr:row>37</xdr:row>
      <xdr:rowOff>152400</xdr:rowOff>
    </xdr:to>
    <xdr:pic>
      <xdr:nvPicPr>
        <xdr:cNvPr id="79874" name="Imagem 1" descr="Paulo Carimbo">
          <a:extLst>
            <a:ext uri="{FF2B5EF4-FFF2-40B4-BE49-F238E27FC236}">
              <a16:creationId xmlns:a16="http://schemas.microsoft.com/office/drawing/2014/main" id="{7E8A85E9-163D-4CE1-BCA6-102E7583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80200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222250</xdr:colOff>
      <xdr:row>20</xdr:row>
      <xdr:rowOff>57150</xdr:rowOff>
    </xdr:from>
    <xdr:to>
      <xdr:col>7</xdr:col>
      <xdr:colOff>12700</xdr:colOff>
      <xdr:row>22</xdr:row>
      <xdr:rowOff>0</xdr:rowOff>
    </xdr:to>
    <xdr:pic>
      <xdr:nvPicPr>
        <xdr:cNvPr id="80898" name="Imagem 1" descr="Paulo Carimbo">
          <a:extLst>
            <a:ext uri="{FF2B5EF4-FFF2-40B4-BE49-F238E27FC236}">
              <a16:creationId xmlns:a16="http://schemas.microsoft.com/office/drawing/2014/main" id="{59514624-7442-42B4-96FC-BA2352E9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53149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22</xdr:row>
      <xdr:rowOff>165100</xdr:rowOff>
    </xdr:from>
    <xdr:to>
      <xdr:col>12</xdr:col>
      <xdr:colOff>50800</xdr:colOff>
      <xdr:row>25</xdr:row>
      <xdr:rowOff>76200</xdr:rowOff>
    </xdr:to>
    <xdr:pic>
      <xdr:nvPicPr>
        <xdr:cNvPr id="8195" name="Imagem 1" descr="Paulo Carimbo">
          <a:extLst>
            <a:ext uri="{FF2B5EF4-FFF2-40B4-BE49-F238E27FC236}">
              <a16:creationId xmlns:a16="http://schemas.microsoft.com/office/drawing/2014/main" id="{2E1CD688-9746-4CA4-873A-D7443DD89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4540250"/>
          <a:ext cx="14224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533400</xdr:colOff>
      <xdr:row>22</xdr:row>
      <xdr:rowOff>165100</xdr:rowOff>
    </xdr:from>
    <xdr:to>
      <xdr:col>21</xdr:col>
      <xdr:colOff>654050</xdr:colOff>
      <xdr:row>25</xdr:row>
      <xdr:rowOff>76200</xdr:rowOff>
    </xdr:to>
    <xdr:pic>
      <xdr:nvPicPr>
        <xdr:cNvPr id="8196" name="Imagem 2" descr="Paulo Carimbo">
          <a:extLst>
            <a:ext uri="{FF2B5EF4-FFF2-40B4-BE49-F238E27FC236}">
              <a16:creationId xmlns:a16="http://schemas.microsoft.com/office/drawing/2014/main" id="{B7E92B7F-FF32-4974-8E3F-2D27B488D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222250</xdr:colOff>
      <xdr:row>28</xdr:row>
      <xdr:rowOff>57150</xdr:rowOff>
    </xdr:from>
    <xdr:to>
      <xdr:col>7</xdr:col>
      <xdr:colOff>12700</xdr:colOff>
      <xdr:row>30</xdr:row>
      <xdr:rowOff>0</xdr:rowOff>
    </xdr:to>
    <xdr:pic>
      <xdr:nvPicPr>
        <xdr:cNvPr id="81922" name="Imagem 1" descr="Paulo Carimbo">
          <a:extLst>
            <a:ext uri="{FF2B5EF4-FFF2-40B4-BE49-F238E27FC236}">
              <a16:creationId xmlns:a16="http://schemas.microsoft.com/office/drawing/2014/main" id="{BCDDA164-5502-407C-B422-4AEAB3E4E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74993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82550</xdr:colOff>
      <xdr:row>27</xdr:row>
      <xdr:rowOff>158750</xdr:rowOff>
    </xdr:from>
    <xdr:to>
      <xdr:col>19</xdr:col>
      <xdr:colOff>101600</xdr:colOff>
      <xdr:row>29</xdr:row>
      <xdr:rowOff>158750</xdr:rowOff>
    </xdr:to>
    <xdr:pic>
      <xdr:nvPicPr>
        <xdr:cNvPr id="82946" name="Imagem 1" descr="Paulo Carimbo">
          <a:extLst>
            <a:ext uri="{FF2B5EF4-FFF2-40B4-BE49-F238E27FC236}">
              <a16:creationId xmlns:a16="http://schemas.microsoft.com/office/drawing/2014/main" id="{EE2833A3-4191-411D-AAB7-8AA3F875B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3350" y="6692900"/>
          <a:ext cx="1416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279400</xdr:colOff>
      <xdr:row>22</xdr:row>
      <xdr:rowOff>215900</xdr:rowOff>
    </xdr:from>
    <xdr:to>
      <xdr:col>17</xdr:col>
      <xdr:colOff>838200</xdr:colOff>
      <xdr:row>24</xdr:row>
      <xdr:rowOff>215900</xdr:rowOff>
    </xdr:to>
    <xdr:pic>
      <xdr:nvPicPr>
        <xdr:cNvPr id="83970" name="Imagem 1" descr="Paulo Carimbo">
          <a:extLst>
            <a:ext uri="{FF2B5EF4-FFF2-40B4-BE49-F238E27FC236}">
              <a16:creationId xmlns:a16="http://schemas.microsoft.com/office/drawing/2014/main" id="{8B196BFD-A051-4837-871F-1F5351926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0" y="5511800"/>
          <a:ext cx="1416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279400</xdr:colOff>
      <xdr:row>22</xdr:row>
      <xdr:rowOff>215900</xdr:rowOff>
    </xdr:from>
    <xdr:to>
      <xdr:col>18</xdr:col>
      <xdr:colOff>139700</xdr:colOff>
      <xdr:row>24</xdr:row>
      <xdr:rowOff>215900</xdr:rowOff>
    </xdr:to>
    <xdr:pic>
      <xdr:nvPicPr>
        <xdr:cNvPr id="84994" name="Imagem 1" descr="Paulo Carimbo">
          <a:extLst>
            <a:ext uri="{FF2B5EF4-FFF2-40B4-BE49-F238E27FC236}">
              <a16:creationId xmlns:a16="http://schemas.microsoft.com/office/drawing/2014/main" id="{43CBD013-FC8C-4970-B729-53C010658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9950" y="5511800"/>
          <a:ext cx="1422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20</xdr:row>
      <xdr:rowOff>69850</xdr:rowOff>
    </xdr:from>
    <xdr:to>
      <xdr:col>18</xdr:col>
      <xdr:colOff>266700</xdr:colOff>
      <xdr:row>22</xdr:row>
      <xdr:rowOff>69850</xdr:rowOff>
    </xdr:to>
    <xdr:pic>
      <xdr:nvPicPr>
        <xdr:cNvPr id="86018" name="Imagem 1" descr="Paulo Carimbo">
          <a:extLst>
            <a:ext uri="{FF2B5EF4-FFF2-40B4-BE49-F238E27FC236}">
              <a16:creationId xmlns:a16="http://schemas.microsoft.com/office/drawing/2014/main" id="{041276AC-052C-4660-B2B2-D113F82C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0400" y="4870450"/>
          <a:ext cx="1409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279400</xdr:colOff>
      <xdr:row>19</xdr:row>
      <xdr:rowOff>215900</xdr:rowOff>
    </xdr:from>
    <xdr:to>
      <xdr:col>18</xdr:col>
      <xdr:colOff>139700</xdr:colOff>
      <xdr:row>21</xdr:row>
      <xdr:rowOff>215900</xdr:rowOff>
    </xdr:to>
    <xdr:pic>
      <xdr:nvPicPr>
        <xdr:cNvPr id="87042" name="Imagem 1" descr="Paulo Carimbo">
          <a:extLst>
            <a:ext uri="{FF2B5EF4-FFF2-40B4-BE49-F238E27FC236}">
              <a16:creationId xmlns:a16="http://schemas.microsoft.com/office/drawing/2014/main" id="{FD3D1A20-981D-4C13-B26D-93C0EE45E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9950" y="4768850"/>
          <a:ext cx="1422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273050</xdr:colOff>
      <xdr:row>18</xdr:row>
      <xdr:rowOff>69850</xdr:rowOff>
    </xdr:from>
    <xdr:to>
      <xdr:col>18</xdr:col>
      <xdr:colOff>133350</xdr:colOff>
      <xdr:row>20</xdr:row>
      <xdr:rowOff>69850</xdr:rowOff>
    </xdr:to>
    <xdr:pic>
      <xdr:nvPicPr>
        <xdr:cNvPr id="88066" name="Imagem 1" descr="Paulo Carimbo">
          <a:extLst>
            <a:ext uri="{FF2B5EF4-FFF2-40B4-BE49-F238E27FC236}">
              <a16:creationId xmlns:a16="http://schemas.microsoft.com/office/drawing/2014/main" id="{EEDA2955-51AE-462A-929D-134EDCA6A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3600" y="4375150"/>
          <a:ext cx="1422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330200</xdr:colOff>
      <xdr:row>27</xdr:row>
      <xdr:rowOff>234950</xdr:rowOff>
    </xdr:from>
    <xdr:to>
      <xdr:col>18</xdr:col>
      <xdr:colOff>190500</xdr:colOff>
      <xdr:row>29</xdr:row>
      <xdr:rowOff>215900</xdr:rowOff>
    </xdr:to>
    <xdr:pic>
      <xdr:nvPicPr>
        <xdr:cNvPr id="89090" name="Imagem 1" descr="Paulo Carimbo">
          <a:extLst>
            <a:ext uri="{FF2B5EF4-FFF2-40B4-BE49-F238E27FC236}">
              <a16:creationId xmlns:a16="http://schemas.microsoft.com/office/drawing/2014/main" id="{74406765-5769-4C3B-852C-DCC01A57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750" y="69278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330200</xdr:colOff>
      <xdr:row>24</xdr:row>
      <xdr:rowOff>234950</xdr:rowOff>
    </xdr:from>
    <xdr:to>
      <xdr:col>17</xdr:col>
      <xdr:colOff>190500</xdr:colOff>
      <xdr:row>26</xdr:row>
      <xdr:rowOff>215900</xdr:rowOff>
    </xdr:to>
    <xdr:pic>
      <xdr:nvPicPr>
        <xdr:cNvPr id="90114" name="Imagem 1" descr="Paulo Carimbo">
          <a:extLst>
            <a:ext uri="{FF2B5EF4-FFF2-40B4-BE49-F238E27FC236}">
              <a16:creationId xmlns:a16="http://schemas.microsoft.com/office/drawing/2014/main" id="{F6B439C5-6E70-445C-9C7C-15707CBC4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0650" y="616585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330200</xdr:colOff>
      <xdr:row>19</xdr:row>
      <xdr:rowOff>190500</xdr:rowOff>
    </xdr:from>
    <xdr:to>
      <xdr:col>18</xdr:col>
      <xdr:colOff>190500</xdr:colOff>
      <xdr:row>21</xdr:row>
      <xdr:rowOff>171450</xdr:rowOff>
    </xdr:to>
    <xdr:pic>
      <xdr:nvPicPr>
        <xdr:cNvPr id="91138" name="Imagem 1" descr="Paulo Carimbo">
          <a:extLst>
            <a:ext uri="{FF2B5EF4-FFF2-40B4-BE49-F238E27FC236}">
              <a16:creationId xmlns:a16="http://schemas.microsoft.com/office/drawing/2014/main" id="{D3583220-7516-4C07-9E9E-406796C88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5500" y="4851400"/>
          <a:ext cx="14224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736600</xdr:colOff>
      <xdr:row>22</xdr:row>
      <xdr:rowOff>165100</xdr:rowOff>
    </xdr:from>
    <xdr:to>
      <xdr:col>12</xdr:col>
      <xdr:colOff>203200</xdr:colOff>
      <xdr:row>25</xdr:row>
      <xdr:rowOff>76200</xdr:rowOff>
    </xdr:to>
    <xdr:pic>
      <xdr:nvPicPr>
        <xdr:cNvPr id="9219" name="Imagem 1" descr="Paulo Carimbo">
          <a:extLst>
            <a:ext uri="{FF2B5EF4-FFF2-40B4-BE49-F238E27FC236}">
              <a16:creationId xmlns:a16="http://schemas.microsoft.com/office/drawing/2014/main" id="{DEC878C6-6223-4E24-8B67-30064E6B4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4540250"/>
          <a:ext cx="14224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736600</xdr:colOff>
      <xdr:row>22</xdr:row>
      <xdr:rowOff>165100</xdr:rowOff>
    </xdr:from>
    <xdr:to>
      <xdr:col>21</xdr:col>
      <xdr:colOff>730250</xdr:colOff>
      <xdr:row>25</xdr:row>
      <xdr:rowOff>76200</xdr:rowOff>
    </xdr:to>
    <xdr:pic>
      <xdr:nvPicPr>
        <xdr:cNvPr id="9220" name="Imagem 2" descr="Paulo Carimbo">
          <a:extLst>
            <a:ext uri="{FF2B5EF4-FFF2-40B4-BE49-F238E27FC236}">
              <a16:creationId xmlns:a16="http://schemas.microsoft.com/office/drawing/2014/main" id="{0AC6E2D8-154F-439E-ADF8-7D9D53B79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950" y="45402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18</xdr:row>
      <xdr:rowOff>234950</xdr:rowOff>
    </xdr:from>
    <xdr:to>
      <xdr:col>20</xdr:col>
      <xdr:colOff>196850</xdr:colOff>
      <xdr:row>20</xdr:row>
      <xdr:rowOff>215900</xdr:rowOff>
    </xdr:to>
    <xdr:pic>
      <xdr:nvPicPr>
        <xdr:cNvPr id="92162" name="Imagem 1" descr="Paulo Carimbo">
          <a:extLst>
            <a:ext uri="{FF2B5EF4-FFF2-40B4-BE49-F238E27FC236}">
              <a16:creationId xmlns:a16="http://schemas.microsoft.com/office/drawing/2014/main" id="{7CA22619-6972-4E74-A5B2-6CFBB1877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1350" y="4641850"/>
          <a:ext cx="14160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31</xdr:row>
      <xdr:rowOff>196850</xdr:rowOff>
    </xdr:from>
    <xdr:to>
      <xdr:col>4</xdr:col>
      <xdr:colOff>1739900</xdr:colOff>
      <xdr:row>33</xdr:row>
      <xdr:rowOff>127000</xdr:rowOff>
    </xdr:to>
    <xdr:pic>
      <xdr:nvPicPr>
        <xdr:cNvPr id="93186" name="Imagem 1" descr="Paulo Carimbo">
          <a:extLst>
            <a:ext uri="{FF2B5EF4-FFF2-40B4-BE49-F238E27FC236}">
              <a16:creationId xmlns:a16="http://schemas.microsoft.com/office/drawing/2014/main" id="{0FD20222-EA59-492E-A576-27E79D5CD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5670550"/>
          <a:ext cx="141605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146050</xdr:colOff>
      <xdr:row>18</xdr:row>
      <xdr:rowOff>31750</xdr:rowOff>
    </xdr:from>
    <xdr:to>
      <xdr:col>21</xdr:col>
      <xdr:colOff>209550</xdr:colOff>
      <xdr:row>19</xdr:row>
      <xdr:rowOff>228600</xdr:rowOff>
    </xdr:to>
    <xdr:pic>
      <xdr:nvPicPr>
        <xdr:cNvPr id="94210" name="Imagem 1" descr="Paulo Carimbo">
          <a:extLst>
            <a:ext uri="{FF2B5EF4-FFF2-40B4-BE49-F238E27FC236}">
              <a16:creationId xmlns:a16="http://schemas.microsoft.com/office/drawing/2014/main" id="{C5AE4797-6C39-4936-B700-0FFE175D6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6100" y="5048250"/>
          <a:ext cx="1409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158750</xdr:colOff>
      <xdr:row>17</xdr:row>
      <xdr:rowOff>209550</xdr:rowOff>
    </xdr:from>
    <xdr:to>
      <xdr:col>21</xdr:col>
      <xdr:colOff>215900</xdr:colOff>
      <xdr:row>19</xdr:row>
      <xdr:rowOff>114300</xdr:rowOff>
    </xdr:to>
    <xdr:pic>
      <xdr:nvPicPr>
        <xdr:cNvPr id="95234" name="Imagem 1" descr="Paulo Carimbo">
          <a:extLst>
            <a:ext uri="{FF2B5EF4-FFF2-40B4-BE49-F238E27FC236}">
              <a16:creationId xmlns:a16="http://schemas.microsoft.com/office/drawing/2014/main" id="{CC58BF69-23A6-4598-9F9E-F8C84F1DD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4200" y="4933950"/>
          <a:ext cx="14033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127000</xdr:colOff>
      <xdr:row>17</xdr:row>
      <xdr:rowOff>209550</xdr:rowOff>
    </xdr:from>
    <xdr:to>
      <xdr:col>20</xdr:col>
      <xdr:colOff>190500</xdr:colOff>
      <xdr:row>19</xdr:row>
      <xdr:rowOff>114300</xdr:rowOff>
    </xdr:to>
    <xdr:pic>
      <xdr:nvPicPr>
        <xdr:cNvPr id="96258" name="Imagem 1" descr="Paulo Carimbo">
          <a:extLst>
            <a:ext uri="{FF2B5EF4-FFF2-40B4-BE49-F238E27FC236}">
              <a16:creationId xmlns:a16="http://schemas.microsoft.com/office/drawing/2014/main" id="{1A0C0774-1BB7-4B56-B9ED-B16027EBF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4933950"/>
          <a:ext cx="1409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146050</xdr:colOff>
      <xdr:row>17</xdr:row>
      <xdr:rowOff>209550</xdr:rowOff>
    </xdr:from>
    <xdr:to>
      <xdr:col>21</xdr:col>
      <xdr:colOff>209550</xdr:colOff>
      <xdr:row>19</xdr:row>
      <xdr:rowOff>114300</xdr:rowOff>
    </xdr:to>
    <xdr:pic>
      <xdr:nvPicPr>
        <xdr:cNvPr id="97282" name="Imagem 1" descr="Paulo Carimbo">
          <a:extLst>
            <a:ext uri="{FF2B5EF4-FFF2-40B4-BE49-F238E27FC236}">
              <a16:creationId xmlns:a16="http://schemas.microsoft.com/office/drawing/2014/main" id="{111EA307-1BB5-4B83-87BF-AB86510BA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8100" y="4933950"/>
          <a:ext cx="1409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139700</xdr:colOff>
      <xdr:row>12</xdr:row>
      <xdr:rowOff>209550</xdr:rowOff>
    </xdr:from>
    <xdr:to>
      <xdr:col>21</xdr:col>
      <xdr:colOff>196850</xdr:colOff>
      <xdr:row>14</xdr:row>
      <xdr:rowOff>114300</xdr:rowOff>
    </xdr:to>
    <xdr:pic>
      <xdr:nvPicPr>
        <xdr:cNvPr id="98306" name="Imagem 1" descr="Paulo Carimbo">
          <a:extLst>
            <a:ext uri="{FF2B5EF4-FFF2-40B4-BE49-F238E27FC236}">
              <a16:creationId xmlns:a16="http://schemas.microsoft.com/office/drawing/2014/main" id="{6EF9E3AB-907D-4321-A353-426A76138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3473450"/>
          <a:ext cx="140335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</xdr:colOff>
      <xdr:row>13</xdr:row>
      <xdr:rowOff>95250</xdr:rowOff>
    </xdr:from>
    <xdr:to>
      <xdr:col>20</xdr:col>
      <xdr:colOff>323850</xdr:colOff>
      <xdr:row>14</xdr:row>
      <xdr:rowOff>222250</xdr:rowOff>
    </xdr:to>
    <xdr:pic>
      <xdr:nvPicPr>
        <xdr:cNvPr id="99330" name="Imagem 1" descr="Paulo Carimbo">
          <a:extLst>
            <a:ext uri="{FF2B5EF4-FFF2-40B4-BE49-F238E27FC236}">
              <a16:creationId xmlns:a16="http://schemas.microsoft.com/office/drawing/2014/main" id="{8A34E911-6C57-41CD-94D5-3D8F6F9A3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8950" y="4489450"/>
          <a:ext cx="1428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69850</xdr:colOff>
      <xdr:row>13</xdr:row>
      <xdr:rowOff>95250</xdr:rowOff>
    </xdr:from>
    <xdr:to>
      <xdr:col>20</xdr:col>
      <xdr:colOff>349250</xdr:colOff>
      <xdr:row>14</xdr:row>
      <xdr:rowOff>222250</xdr:rowOff>
    </xdr:to>
    <xdr:pic>
      <xdr:nvPicPr>
        <xdr:cNvPr id="100354" name="Imagem 1" descr="Paulo Carimbo">
          <a:extLst>
            <a:ext uri="{FF2B5EF4-FFF2-40B4-BE49-F238E27FC236}">
              <a16:creationId xmlns:a16="http://schemas.microsoft.com/office/drawing/2014/main" id="{BF1F59D9-C880-435A-A28B-44CA28819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489450"/>
          <a:ext cx="1422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15</xdr:row>
      <xdr:rowOff>95250</xdr:rowOff>
    </xdr:from>
    <xdr:to>
      <xdr:col>20</xdr:col>
      <xdr:colOff>342900</xdr:colOff>
      <xdr:row>16</xdr:row>
      <xdr:rowOff>222250</xdr:rowOff>
    </xdr:to>
    <xdr:pic>
      <xdr:nvPicPr>
        <xdr:cNvPr id="101378" name="Imagem 1" descr="Paulo Carimbo">
          <a:extLst>
            <a:ext uri="{FF2B5EF4-FFF2-40B4-BE49-F238E27FC236}">
              <a16:creationId xmlns:a16="http://schemas.microsoft.com/office/drawing/2014/main" id="{6994A76D-DF6E-4F77-9B48-5947470D5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550" y="5226050"/>
          <a:ext cx="1428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121996\Meus%20documentos\Originais\CD\Anexo%20-%20Diagn&#243;stico%20do%20Sistema%20Atual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- Diagnóstico do Sistema "/>
      <sheetName val="fev_nov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O41"/>
  <sheetViews>
    <sheetView tabSelected="1" view="pageBreakPreview" zoomScale="60" zoomScaleNormal="50" workbookViewId="0">
      <selection activeCell="E6" sqref="E6"/>
    </sheetView>
  </sheetViews>
  <sheetFormatPr defaultColWidth="9.1796875" defaultRowHeight="12.5" x14ac:dyDescent="0.25"/>
  <cols>
    <col min="1" max="16384" width="9.1796875" style="490"/>
  </cols>
  <sheetData>
    <row r="1" spans="1:15" ht="18.75" customHeight="1" thickBot="1" x14ac:dyDescent="0.3">
      <c r="A1" s="489"/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</row>
    <row r="2" spans="1:15" ht="18.75" customHeight="1" x14ac:dyDescent="0.2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</row>
    <row r="3" spans="1:15" ht="15" customHeight="1" x14ac:dyDescent="0.25"/>
    <row r="4" spans="1:15" ht="23" x14ac:dyDescent="0.5">
      <c r="B4" s="657" t="s">
        <v>864</v>
      </c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</row>
    <row r="5" spans="1:15" ht="15" customHeight="1" x14ac:dyDescent="0.25"/>
    <row r="6" spans="1:15" ht="15" customHeight="1" x14ac:dyDescent="0.25"/>
    <row r="7" spans="1:15" ht="15" customHeight="1" x14ac:dyDescent="0.25"/>
    <row r="8" spans="1:15" ht="15" customHeight="1" x14ac:dyDescent="0.25"/>
    <row r="9" spans="1:15" ht="15" customHeight="1" x14ac:dyDescent="0.25"/>
    <row r="10" spans="1:15" ht="15" customHeight="1" x14ac:dyDescent="0.25"/>
    <row r="11" spans="1:15" ht="15" customHeight="1" x14ac:dyDescent="0.25"/>
    <row r="12" spans="1:15" ht="15" customHeight="1" x14ac:dyDescent="0.25">
      <c r="C12" s="490" t="s">
        <v>860</v>
      </c>
    </row>
    <row r="13" spans="1:15" ht="15" customHeight="1" x14ac:dyDescent="0.25"/>
    <row r="14" spans="1:15" ht="15" customHeight="1" x14ac:dyDescent="0.25"/>
    <row r="15" spans="1:15" ht="15" customHeight="1" x14ac:dyDescent="0.25"/>
    <row r="16" spans="1:15" ht="15" customHeight="1" x14ac:dyDescent="0.25"/>
    <row r="17" spans="8:8" ht="15" customHeight="1" x14ac:dyDescent="0.25"/>
    <row r="18" spans="8:8" ht="15" customHeight="1" x14ac:dyDescent="0.25"/>
    <row r="19" spans="8:8" ht="15" customHeight="1" x14ac:dyDescent="0.25"/>
    <row r="20" spans="8:8" ht="15" customHeight="1" x14ac:dyDescent="0.25"/>
    <row r="21" spans="8:8" ht="15" customHeight="1" x14ac:dyDescent="0.25"/>
    <row r="22" spans="8:8" ht="15" customHeight="1" x14ac:dyDescent="0.25"/>
    <row r="23" spans="8:8" ht="15" customHeight="1" x14ac:dyDescent="0.25"/>
    <row r="24" spans="8:8" ht="23" x14ac:dyDescent="0.5">
      <c r="H24" s="491" t="s">
        <v>861</v>
      </c>
    </row>
    <row r="25" spans="8:8" ht="15" customHeight="1" x14ac:dyDescent="0.25"/>
    <row r="26" spans="8:8" ht="15" customHeight="1" x14ac:dyDescent="0.25"/>
    <row r="27" spans="8:8" ht="23" x14ac:dyDescent="0.5">
      <c r="H27" s="491" t="s">
        <v>862</v>
      </c>
    </row>
    <row r="28" spans="8:8" ht="29.25" customHeight="1" x14ac:dyDescent="0.5">
      <c r="H28" s="491" t="s">
        <v>863</v>
      </c>
    </row>
    <row r="29" spans="8:8" ht="15" customHeight="1" x14ac:dyDescent="0.25"/>
    <row r="30" spans="8:8" ht="15" customHeight="1" x14ac:dyDescent="0.25"/>
    <row r="31" spans="8:8" ht="15" customHeight="1" x14ac:dyDescent="0.25"/>
    <row r="32" spans="8:8" ht="15" customHeight="1" x14ac:dyDescent="0.25"/>
    <row r="33" spans="1:15" ht="15" customHeight="1" x14ac:dyDescent="0.25"/>
    <row r="34" spans="1:15" ht="15" customHeight="1" x14ac:dyDescent="0.25"/>
    <row r="35" spans="1:15" ht="15" customHeight="1" thickBot="1" x14ac:dyDescent="0.3"/>
    <row r="36" spans="1:15" ht="15" customHeight="1" x14ac:dyDescent="0.25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  <c r="O36" s="492"/>
    </row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</sheetData>
  <sheetProtection password="CB05" objects="1"/>
  <mergeCells count="1">
    <mergeCell ref="B4:N4"/>
  </mergeCells>
  <phoneticPr fontId="0" type="noConversion"/>
  <pageMargins left="0.39370078740157483" right="0" top="0" bottom="0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0">
    <pageSetUpPr fitToPage="1"/>
  </sheetPr>
  <dimension ref="A1:V31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47.7265625" style="495" customWidth="1"/>
    <col min="2" max="5" width="8.7265625" style="495" bestFit="1" customWidth="1"/>
    <col min="6" max="10" width="9.81640625" style="495" bestFit="1" customWidth="1"/>
    <col min="11" max="17" width="8.7265625" style="495" bestFit="1" customWidth="1"/>
    <col min="18" max="21" width="9.81640625" style="495" bestFit="1" customWidth="1"/>
    <col min="22" max="22" width="9.81640625" style="495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32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&amp;TECNOLOGIAS!$A$10</f>
        <v>VEÍCULO  Articulados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>
        <v>0</v>
      </c>
      <c r="C16" s="44">
        <v>0</v>
      </c>
      <c r="D16" s="44">
        <v>0</v>
      </c>
      <c r="E16" s="44">
        <v>0</v>
      </c>
      <c r="F16" s="44">
        <v>13</v>
      </c>
      <c r="G16" s="44">
        <v>13</v>
      </c>
      <c r="H16" s="44">
        <v>12</v>
      </c>
      <c r="I16" s="44">
        <v>13</v>
      </c>
      <c r="J16" s="44">
        <v>11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44">
        <v>5</v>
      </c>
      <c r="S16" s="44">
        <v>4</v>
      </c>
      <c r="T16" s="44">
        <v>4</v>
      </c>
      <c r="U16" s="44">
        <v>4</v>
      </c>
      <c r="V16" s="44"/>
    </row>
    <row r="17" spans="1:22" x14ac:dyDescent="0.35">
      <c r="A17" s="286" t="s">
        <v>365</v>
      </c>
      <c r="B17" s="44"/>
      <c r="C17" s="44"/>
      <c r="D17" s="44"/>
      <c r="E17" s="44"/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/>
      <c r="L17" s="44"/>
      <c r="M17" s="44"/>
      <c r="N17" s="44"/>
      <c r="O17" s="44"/>
      <c r="P17" s="44"/>
      <c r="Q17" s="44"/>
      <c r="R17" s="44">
        <v>0</v>
      </c>
      <c r="S17" s="44">
        <v>0</v>
      </c>
      <c r="T17" s="44"/>
      <c r="U17" s="44">
        <v>0</v>
      </c>
      <c r="V17" s="44"/>
    </row>
    <row r="18" spans="1:22" x14ac:dyDescent="0.35">
      <c r="A18" s="44" t="s">
        <v>25</v>
      </c>
      <c r="B18" s="44">
        <f>'8'!$B$14</f>
        <v>280000</v>
      </c>
      <c r="C18" s="44">
        <f>'8'!$B$14</f>
        <v>280000</v>
      </c>
      <c r="D18" s="44">
        <f>'8'!$B$14</f>
        <v>280000</v>
      </c>
      <c r="E18" s="44">
        <f>'8'!$B$14</f>
        <v>280000</v>
      </c>
      <c r="F18" s="44">
        <f>'8'!$B$14</f>
        <v>280000</v>
      </c>
      <c r="G18" s="44">
        <f>'8'!$B$14</f>
        <v>280000</v>
      </c>
      <c r="H18" s="44">
        <f>'8'!$B$14</f>
        <v>280000</v>
      </c>
      <c r="I18" s="44">
        <f>'8'!$B$14</f>
        <v>280000</v>
      </c>
      <c r="J18" s="44">
        <f>'8'!$B$14</f>
        <v>280000</v>
      </c>
      <c r="K18" s="44">
        <f>'8'!$B$14</f>
        <v>280000</v>
      </c>
      <c r="L18" s="44">
        <f>'8'!$B$14</f>
        <v>280000</v>
      </c>
      <c r="M18" s="44">
        <f>'8'!$B$14</f>
        <v>280000</v>
      </c>
      <c r="N18" s="44">
        <f>'8'!$B$14</f>
        <v>280000</v>
      </c>
      <c r="O18" s="44">
        <f>'8'!$B$14</f>
        <v>280000</v>
      </c>
      <c r="P18" s="44">
        <f>'8'!$B$14</f>
        <v>280000</v>
      </c>
      <c r="Q18" s="44">
        <f>'8'!$B$14</f>
        <v>280000</v>
      </c>
      <c r="R18" s="44">
        <f>'8'!$B$14</f>
        <v>280000</v>
      </c>
      <c r="S18" s="44">
        <f>'8'!$B$14</f>
        <v>280000</v>
      </c>
      <c r="T18" s="44">
        <f>'8'!$B$14</f>
        <v>280000</v>
      </c>
      <c r="U18" s="44">
        <f>'8'!$B$14</f>
        <v>280000</v>
      </c>
      <c r="V18" s="44">
        <f>'8'!$B$14</f>
        <v>280000</v>
      </c>
    </row>
    <row r="19" spans="1:22" x14ac:dyDescent="0.35">
      <c r="A19" s="44" t="s">
        <v>26</v>
      </c>
      <c r="B19" s="45">
        <f>ROUND(+B18*B16,2)</f>
        <v>0</v>
      </c>
      <c r="C19" s="45">
        <f t="shared" ref="C19:L19" si="0">ROUND(+C18*C16,2)</f>
        <v>0</v>
      </c>
      <c r="D19" s="45">
        <f t="shared" si="0"/>
        <v>0</v>
      </c>
      <c r="E19" s="45">
        <f t="shared" si="0"/>
        <v>0</v>
      </c>
      <c r="F19" s="45">
        <f t="shared" si="0"/>
        <v>3640000</v>
      </c>
      <c r="G19" s="45">
        <f t="shared" si="0"/>
        <v>3640000</v>
      </c>
      <c r="H19" s="45">
        <f t="shared" si="0"/>
        <v>3360000</v>
      </c>
      <c r="I19" s="45">
        <f t="shared" si="0"/>
        <v>3640000</v>
      </c>
      <c r="J19" s="45">
        <f t="shared" si="0"/>
        <v>3080000</v>
      </c>
      <c r="K19" s="45">
        <f t="shared" si="0"/>
        <v>0</v>
      </c>
      <c r="L19" s="45">
        <f t="shared" si="0"/>
        <v>0</v>
      </c>
      <c r="M19" s="45">
        <f t="shared" ref="M19:V19" si="1">ROUND(+M18*M16,2)</f>
        <v>0</v>
      </c>
      <c r="N19" s="45">
        <f t="shared" si="1"/>
        <v>0</v>
      </c>
      <c r="O19" s="45">
        <f t="shared" si="1"/>
        <v>0</v>
      </c>
      <c r="P19" s="45">
        <f t="shared" si="1"/>
        <v>0</v>
      </c>
      <c r="Q19" s="45">
        <f t="shared" si="1"/>
        <v>0</v>
      </c>
      <c r="R19" s="45">
        <f t="shared" si="1"/>
        <v>1400000</v>
      </c>
      <c r="S19" s="45">
        <f t="shared" si="1"/>
        <v>1120000</v>
      </c>
      <c r="T19" s="45">
        <f t="shared" si="1"/>
        <v>1120000</v>
      </c>
      <c r="U19" s="45">
        <f t="shared" si="1"/>
        <v>1120000</v>
      </c>
      <c r="V19" s="45">
        <f t="shared" si="1"/>
        <v>0</v>
      </c>
    </row>
    <row r="20" spans="1:22" x14ac:dyDescent="0.35">
      <c r="A20" s="44" t="s">
        <v>27</v>
      </c>
      <c r="B20" s="44"/>
      <c r="C20" s="44"/>
      <c r="D20" s="44"/>
      <c r="E20" s="44"/>
      <c r="F20" s="44">
        <v>10</v>
      </c>
      <c r="G20" s="44">
        <v>10</v>
      </c>
      <c r="H20" s="44">
        <v>10</v>
      </c>
      <c r="I20" s="44">
        <v>10</v>
      </c>
      <c r="J20" s="44">
        <v>10</v>
      </c>
      <c r="K20" s="44"/>
      <c r="L20" s="44"/>
      <c r="M20" s="44"/>
      <c r="N20" s="44"/>
      <c r="O20" s="44"/>
      <c r="P20" s="44"/>
      <c r="Q20" s="44"/>
      <c r="R20" s="44">
        <v>10</v>
      </c>
      <c r="S20" s="44">
        <v>10</v>
      </c>
      <c r="T20" s="44"/>
      <c r="U20" s="44">
        <v>10</v>
      </c>
      <c r="V20" s="44"/>
    </row>
    <row r="21" spans="1:22" x14ac:dyDescent="0.35">
      <c r="A21" s="44" t="s">
        <v>228</v>
      </c>
      <c r="B21" s="166">
        <f>+B20-B17</f>
        <v>0</v>
      </c>
      <c r="C21" s="166">
        <f>+C20-C17</f>
        <v>0</v>
      </c>
      <c r="D21" s="166">
        <f>+D20-D17</f>
        <v>0</v>
      </c>
      <c r="E21" s="166">
        <f>+E20-E17</f>
        <v>0</v>
      </c>
      <c r="F21" s="166">
        <f>+F20-F17</f>
        <v>10</v>
      </c>
      <c r="G21" s="166">
        <f t="shared" ref="G21:L21" si="2">+G20-G17</f>
        <v>10</v>
      </c>
      <c r="H21" s="166">
        <f t="shared" si="2"/>
        <v>10</v>
      </c>
      <c r="I21" s="166">
        <f t="shared" si="2"/>
        <v>10</v>
      </c>
      <c r="J21" s="166">
        <f t="shared" si="2"/>
        <v>10</v>
      </c>
      <c r="K21" s="166">
        <f t="shared" si="2"/>
        <v>0</v>
      </c>
      <c r="L21" s="166">
        <f t="shared" si="2"/>
        <v>0</v>
      </c>
      <c r="M21" s="166">
        <f t="shared" ref="M21:V21" si="3">+M20-M17</f>
        <v>0</v>
      </c>
      <c r="N21" s="166">
        <f t="shared" si="3"/>
        <v>0</v>
      </c>
      <c r="O21" s="166">
        <f t="shared" si="3"/>
        <v>0</v>
      </c>
      <c r="P21" s="166">
        <f t="shared" si="3"/>
        <v>0</v>
      </c>
      <c r="Q21" s="166">
        <f t="shared" si="3"/>
        <v>0</v>
      </c>
      <c r="R21" s="166">
        <f t="shared" si="3"/>
        <v>10</v>
      </c>
      <c r="S21" s="166">
        <f t="shared" si="3"/>
        <v>10</v>
      </c>
      <c r="T21" s="166">
        <f t="shared" si="3"/>
        <v>0</v>
      </c>
      <c r="U21" s="166">
        <f t="shared" si="3"/>
        <v>10</v>
      </c>
      <c r="V21" s="166">
        <f t="shared" si="3"/>
        <v>0</v>
      </c>
    </row>
    <row r="22" spans="1:22" x14ac:dyDescent="0.35">
      <c r="A22" s="44" t="s">
        <v>229</v>
      </c>
      <c r="B22" s="44"/>
      <c r="C22" s="44"/>
      <c r="D22" s="44"/>
      <c r="E22" s="44"/>
      <c r="F22" s="566">
        <v>0.2</v>
      </c>
      <c r="G22" s="566">
        <v>0.2</v>
      </c>
      <c r="H22" s="566">
        <v>0.2</v>
      </c>
      <c r="I22" s="566">
        <v>0.2</v>
      </c>
      <c r="J22" s="566">
        <v>0.2</v>
      </c>
      <c r="K22" s="566"/>
      <c r="L22" s="566"/>
      <c r="M22" s="566"/>
      <c r="N22" s="566"/>
      <c r="O22" s="566"/>
      <c r="P22" s="566"/>
      <c r="Q22" s="566"/>
      <c r="R22" s="566">
        <v>0.2</v>
      </c>
      <c r="S22" s="566">
        <v>0.2</v>
      </c>
      <c r="T22" s="566">
        <v>0.2</v>
      </c>
      <c r="U22" s="566">
        <v>0.2</v>
      </c>
      <c r="V22" s="44"/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>
        <v>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5</v>
      </c>
      <c r="S27" s="44">
        <v>4</v>
      </c>
      <c r="T27" s="44">
        <v>4</v>
      </c>
      <c r="U27" s="44">
        <v>4</v>
      </c>
      <c r="V27" s="44">
        <v>62</v>
      </c>
    </row>
    <row r="28" spans="1:22" x14ac:dyDescent="0.35">
      <c r="A28" s="44" t="s">
        <v>231</v>
      </c>
      <c r="B28" s="44"/>
      <c r="C28" s="44">
        <f>C18*0.2</f>
        <v>56000</v>
      </c>
      <c r="D28" s="44">
        <f t="shared" ref="D28:U28" si="4">D18*0.2</f>
        <v>56000</v>
      </c>
      <c r="E28" s="44">
        <f t="shared" si="4"/>
        <v>56000</v>
      </c>
      <c r="F28" s="44">
        <f t="shared" si="4"/>
        <v>56000</v>
      </c>
      <c r="G28" s="44">
        <f t="shared" si="4"/>
        <v>56000</v>
      </c>
      <c r="H28" s="44">
        <f t="shared" si="4"/>
        <v>56000</v>
      </c>
      <c r="I28" s="44">
        <f t="shared" si="4"/>
        <v>56000</v>
      </c>
      <c r="J28" s="44">
        <f t="shared" si="4"/>
        <v>56000</v>
      </c>
      <c r="K28" s="44">
        <f t="shared" si="4"/>
        <v>56000</v>
      </c>
      <c r="L28" s="44">
        <f t="shared" si="4"/>
        <v>56000</v>
      </c>
      <c r="M28" s="44">
        <f t="shared" si="4"/>
        <v>56000</v>
      </c>
      <c r="N28" s="44">
        <f t="shared" si="4"/>
        <v>56000</v>
      </c>
      <c r="O28" s="44">
        <f t="shared" si="4"/>
        <v>56000</v>
      </c>
      <c r="P28" s="44">
        <f t="shared" si="4"/>
        <v>56000</v>
      </c>
      <c r="Q28" s="44">
        <f t="shared" si="4"/>
        <v>56000</v>
      </c>
      <c r="R28" s="44">
        <f t="shared" si="4"/>
        <v>56000</v>
      </c>
      <c r="S28" s="44">
        <f t="shared" si="4"/>
        <v>56000</v>
      </c>
      <c r="T28" s="44">
        <f t="shared" si="4"/>
        <v>56000</v>
      </c>
      <c r="U28" s="44">
        <f t="shared" si="4"/>
        <v>56000</v>
      </c>
      <c r="V28" s="44">
        <f>V18*0.4</f>
        <v>112000</v>
      </c>
    </row>
    <row r="29" spans="1:22" x14ac:dyDescent="0.35">
      <c r="A29" s="44" t="s">
        <v>232</v>
      </c>
      <c r="B29" s="45">
        <f>ROUND(B27*B28,2)</f>
        <v>0</v>
      </c>
      <c r="C29" s="45">
        <f t="shared" ref="C29:L29" si="5">ROUND(C27*C28,2)</f>
        <v>0</v>
      </c>
      <c r="D29" s="45">
        <f t="shared" si="5"/>
        <v>0</v>
      </c>
      <c r="E29" s="45">
        <f t="shared" si="5"/>
        <v>0</v>
      </c>
      <c r="F29" s="45">
        <f t="shared" si="5"/>
        <v>0</v>
      </c>
      <c r="G29" s="45">
        <f t="shared" si="5"/>
        <v>0</v>
      </c>
      <c r="H29" s="45">
        <f t="shared" si="5"/>
        <v>0</v>
      </c>
      <c r="I29" s="45">
        <f t="shared" si="5"/>
        <v>0</v>
      </c>
      <c r="J29" s="45">
        <f t="shared" si="5"/>
        <v>0</v>
      </c>
      <c r="K29" s="45">
        <f t="shared" si="5"/>
        <v>0</v>
      </c>
      <c r="L29" s="45">
        <f t="shared" si="5"/>
        <v>0</v>
      </c>
      <c r="M29" s="45">
        <f t="shared" ref="M29:V29" si="6">ROUND(M27*M28,2)</f>
        <v>0</v>
      </c>
      <c r="N29" s="45">
        <f t="shared" si="6"/>
        <v>0</v>
      </c>
      <c r="O29" s="45">
        <f t="shared" si="6"/>
        <v>0</v>
      </c>
      <c r="P29" s="45">
        <f t="shared" si="6"/>
        <v>0</v>
      </c>
      <c r="Q29" s="45">
        <f t="shared" si="6"/>
        <v>0</v>
      </c>
      <c r="R29" s="45">
        <f t="shared" si="6"/>
        <v>280000</v>
      </c>
      <c r="S29" s="45">
        <f t="shared" si="6"/>
        <v>224000</v>
      </c>
      <c r="T29" s="45">
        <f t="shared" si="6"/>
        <v>224000</v>
      </c>
      <c r="U29" s="45">
        <f t="shared" si="6"/>
        <v>224000</v>
      </c>
      <c r="V29" s="45">
        <f t="shared" si="6"/>
        <v>6944000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0"/>
  <dimension ref="A1:BF17"/>
  <sheetViews>
    <sheetView view="pageBreakPreview" zoomScale="60" zoomScaleNormal="100" workbookViewId="0"/>
  </sheetViews>
  <sheetFormatPr defaultColWidth="9.1796875" defaultRowHeight="29.25" customHeight="1" x14ac:dyDescent="0.25"/>
  <cols>
    <col min="1" max="1" width="22.1796875" style="221" customWidth="1"/>
    <col min="2" max="2" width="5.7265625" style="221" customWidth="1"/>
    <col min="3" max="22" width="5.453125" style="221" customWidth="1"/>
    <col min="23" max="38" width="5" style="221" customWidth="1"/>
    <col min="39" max="49" width="6.1796875" style="221" customWidth="1"/>
    <col min="50" max="16384" width="9.1796875" style="221"/>
  </cols>
  <sheetData>
    <row r="1" spans="1:58" ht="13.5" customHeight="1" x14ac:dyDescent="0.25">
      <c r="A1" s="221" t="str">
        <f>TECNOLOGIAS!A1</f>
        <v>Proponente: TransPolitécnica</v>
      </c>
    </row>
    <row r="2" spans="1:58" ht="13.5" customHeight="1" x14ac:dyDescent="0.25">
      <c r="A2" s="221" t="str">
        <f>TECNOLOGIAS!A2</f>
        <v>Área de Concessão: 5 (Cinco)</v>
      </c>
    </row>
    <row r="4" spans="1:58" ht="29.25" customHeight="1" x14ac:dyDescent="0.25">
      <c r="A4" s="385" t="s">
        <v>685</v>
      </c>
      <c r="B4" s="385"/>
      <c r="C4" s="439"/>
    </row>
    <row r="5" spans="1:58" ht="29.25" customHeight="1" x14ac:dyDescent="0.25">
      <c r="A5" s="426"/>
      <c r="B5" s="426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</row>
    <row r="6" spans="1:58" s="387" customFormat="1" ht="29.25" customHeight="1" x14ac:dyDescent="0.25">
      <c r="A6" s="426" t="s">
        <v>686</v>
      </c>
      <c r="B6" s="460"/>
    </row>
    <row r="7" spans="1:58" ht="29.25" customHeight="1" x14ac:dyDescent="0.25">
      <c r="A7" s="403" t="s">
        <v>568</v>
      </c>
      <c r="B7" s="403"/>
    </row>
    <row r="8" spans="1:58" ht="29.25" customHeight="1" x14ac:dyDescent="0.25">
      <c r="A8" s="403"/>
      <c r="B8" s="403"/>
    </row>
    <row r="9" spans="1:58" ht="29.25" customHeight="1" x14ac:dyDescent="0.25">
      <c r="A9" s="689" t="s">
        <v>569</v>
      </c>
      <c r="B9" s="695" t="s">
        <v>764</v>
      </c>
      <c r="C9" s="699" t="s">
        <v>570</v>
      </c>
      <c r="D9" s="700"/>
      <c r="E9" s="688" t="s">
        <v>571</v>
      </c>
      <c r="F9" s="688"/>
      <c r="G9" s="688" t="s">
        <v>572</v>
      </c>
      <c r="H9" s="688"/>
      <c r="I9" s="688" t="s">
        <v>573</v>
      </c>
      <c r="J9" s="688"/>
      <c r="K9" s="688" t="s">
        <v>574</v>
      </c>
      <c r="L9" s="688"/>
      <c r="M9" s="688" t="s">
        <v>575</v>
      </c>
      <c r="N9" s="688"/>
      <c r="O9" s="688" t="s">
        <v>576</v>
      </c>
      <c r="P9" s="688"/>
      <c r="Q9" s="688" t="s">
        <v>577</v>
      </c>
      <c r="R9" s="688"/>
      <c r="S9" s="688" t="s">
        <v>578</v>
      </c>
      <c r="T9" s="688"/>
      <c r="U9" s="688" t="s">
        <v>579</v>
      </c>
      <c r="V9" s="688"/>
    </row>
    <row r="10" spans="1:58" ht="29.25" customHeight="1" x14ac:dyDescent="0.25">
      <c r="A10" s="689"/>
      <c r="B10" s="696"/>
      <c r="C10" s="429" t="s">
        <v>580</v>
      </c>
      <c r="D10" s="429" t="s">
        <v>581</v>
      </c>
      <c r="E10" s="429" t="s">
        <v>582</v>
      </c>
      <c r="F10" s="429" t="s">
        <v>583</v>
      </c>
      <c r="G10" s="429" t="s">
        <v>584</v>
      </c>
      <c r="H10" s="429" t="s">
        <v>585</v>
      </c>
      <c r="I10" s="429" t="s">
        <v>586</v>
      </c>
      <c r="J10" s="429" t="s">
        <v>587</v>
      </c>
      <c r="K10" s="429" t="s">
        <v>588</v>
      </c>
      <c r="L10" s="429" t="s">
        <v>589</v>
      </c>
      <c r="M10" s="429" t="s">
        <v>590</v>
      </c>
      <c r="N10" s="429" t="s">
        <v>591</v>
      </c>
      <c r="O10" s="429" t="s">
        <v>592</v>
      </c>
      <c r="P10" s="429" t="s">
        <v>593</v>
      </c>
      <c r="Q10" s="429" t="s">
        <v>594</v>
      </c>
      <c r="R10" s="429" t="s">
        <v>595</v>
      </c>
      <c r="S10" s="429" t="s">
        <v>596</v>
      </c>
      <c r="T10" s="429" t="s">
        <v>597</v>
      </c>
      <c r="U10" s="429" t="s">
        <v>598</v>
      </c>
      <c r="V10" s="429" t="s">
        <v>599</v>
      </c>
    </row>
    <row r="11" spans="1:58" ht="29.25" customHeight="1" x14ac:dyDescent="0.25">
      <c r="A11" s="434" t="s">
        <v>682</v>
      </c>
      <c r="B11" s="434"/>
      <c r="C11" s="461"/>
      <c r="D11" s="461"/>
      <c r="E11" s="461"/>
      <c r="F11" s="461"/>
      <c r="G11" s="461"/>
      <c r="H11" s="461"/>
      <c r="I11" s="434"/>
      <c r="J11" s="434"/>
      <c r="K11" s="434"/>
      <c r="L11" s="434"/>
      <c r="M11" s="434"/>
      <c r="N11" s="434"/>
      <c r="O11" s="434"/>
      <c r="P11" s="434"/>
      <c r="Q11" s="434"/>
      <c r="R11" s="434"/>
      <c r="S11" s="434"/>
      <c r="T11" s="434"/>
      <c r="U11" s="434"/>
      <c r="V11" s="434"/>
    </row>
    <row r="12" spans="1:58" ht="29.25" customHeight="1" x14ac:dyDescent="0.25">
      <c r="A12" s="434" t="s">
        <v>265</v>
      </c>
      <c r="B12" s="434"/>
      <c r="C12" s="461"/>
      <c r="D12" s="461"/>
      <c r="E12" s="461"/>
      <c r="F12" s="461"/>
      <c r="G12" s="461"/>
      <c r="H12" s="461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  <c r="T12" s="434"/>
      <c r="U12" s="434"/>
      <c r="V12" s="434"/>
    </row>
    <row r="13" spans="1:58" ht="29.25" customHeight="1" x14ac:dyDescent="0.25">
      <c r="A13" s="434" t="s">
        <v>683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</row>
    <row r="14" spans="1:58" ht="29.25" customHeight="1" x14ac:dyDescent="0.25">
      <c r="A14" s="434" t="s">
        <v>267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434"/>
      <c r="U14" s="434"/>
      <c r="V14" s="434"/>
    </row>
    <row r="15" spans="1:58" ht="29.25" customHeight="1" x14ac:dyDescent="0.25">
      <c r="A15" s="434" t="s">
        <v>684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</row>
    <row r="17" spans="1:2" ht="29.25" customHeight="1" x14ac:dyDescent="0.25">
      <c r="A17" t="s">
        <v>447</v>
      </c>
      <c r="B17"/>
    </row>
  </sheetData>
  <sheetProtection objects="1"/>
  <mergeCells count="12">
    <mergeCell ref="S9:T9"/>
    <mergeCell ref="U9:V9"/>
    <mergeCell ref="I9:J9"/>
    <mergeCell ref="K9:L9"/>
    <mergeCell ref="M9:N9"/>
    <mergeCell ref="O9:P9"/>
    <mergeCell ref="A9:A10"/>
    <mergeCell ref="E9:F9"/>
    <mergeCell ref="G9:H9"/>
    <mergeCell ref="B9:B10"/>
    <mergeCell ref="C9:D9"/>
    <mergeCell ref="Q9:R9"/>
  </mergeCells>
  <phoneticPr fontId="0" type="noConversion"/>
  <pageMargins left="0.61" right="0" top="0.59" bottom="0.98425196850393704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1">
    <pageSetUpPr fitToPage="1"/>
  </sheetPr>
  <dimension ref="A1:D20"/>
  <sheetViews>
    <sheetView view="pageBreakPreview" zoomScale="60" zoomScaleNormal="100" workbookViewId="0">
      <selection activeCell="C10" sqref="C10:C14"/>
    </sheetView>
  </sheetViews>
  <sheetFormatPr defaultColWidth="9.1796875" defaultRowHeight="22.5" customHeight="1" x14ac:dyDescent="0.25"/>
  <cols>
    <col min="1" max="1" width="10.1796875" style="221" customWidth="1"/>
    <col min="2" max="2" width="28.453125" style="221" customWidth="1"/>
    <col min="3" max="3" width="41.7265625" style="221" customWidth="1"/>
    <col min="4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tr">
        <f>TECNOLOGIAS!A2</f>
        <v>Área de Concessão: 5 (Cinco)</v>
      </c>
    </row>
    <row r="4" spans="1:4" ht="22.5" customHeight="1" x14ac:dyDescent="0.25">
      <c r="A4" s="385" t="s">
        <v>687</v>
      </c>
    </row>
    <row r="5" spans="1:4" ht="22.5" customHeight="1" x14ac:dyDescent="0.25">
      <c r="B5" s="439"/>
    </row>
    <row r="6" spans="1:4" ht="22.5" customHeight="1" x14ac:dyDescent="0.25">
      <c r="A6" s="426" t="s">
        <v>487</v>
      </c>
      <c r="B6" s="426"/>
      <c r="C6" s="387"/>
      <c r="D6" s="387"/>
    </row>
    <row r="7" spans="1:4" ht="22.5" customHeight="1" x14ac:dyDescent="0.25">
      <c r="A7" s="403"/>
      <c r="B7" s="403"/>
    </row>
    <row r="8" spans="1:4" ht="22.5" customHeight="1" x14ac:dyDescent="0.25">
      <c r="A8" s="403"/>
      <c r="B8" s="403"/>
    </row>
    <row r="9" spans="1:4" s="387" customFormat="1" ht="30" customHeight="1" x14ac:dyDescent="0.25">
      <c r="A9" s="702" t="s">
        <v>569</v>
      </c>
      <c r="B9" s="703"/>
      <c r="C9" s="462" t="s">
        <v>688</v>
      </c>
    </row>
    <row r="10" spans="1:4" ht="30" customHeight="1" x14ac:dyDescent="0.25">
      <c r="A10" s="434" t="s">
        <v>689</v>
      </c>
      <c r="B10" s="434"/>
      <c r="C10" s="461"/>
    </row>
    <row r="11" spans="1:4" ht="30" customHeight="1" x14ac:dyDescent="0.25">
      <c r="A11" s="434" t="s">
        <v>690</v>
      </c>
      <c r="B11" s="434"/>
      <c r="C11" s="461"/>
    </row>
    <row r="12" spans="1:4" ht="30" customHeight="1" x14ac:dyDescent="0.25">
      <c r="A12" s="434" t="s">
        <v>691</v>
      </c>
      <c r="B12" s="434"/>
      <c r="C12" s="434"/>
    </row>
    <row r="13" spans="1:4" ht="30" customHeight="1" x14ac:dyDescent="0.25">
      <c r="A13" s="434" t="s">
        <v>692</v>
      </c>
      <c r="B13" s="434"/>
      <c r="C13" s="434"/>
    </row>
    <row r="14" spans="1:4" ht="30" customHeight="1" x14ac:dyDescent="0.25">
      <c r="A14" s="434" t="s">
        <v>693</v>
      </c>
      <c r="B14" s="434"/>
      <c r="C14" s="434"/>
    </row>
    <row r="16" spans="1:4" ht="22.5" customHeight="1" x14ac:dyDescent="0.25">
      <c r="A16" s="221" t="s">
        <v>694</v>
      </c>
    </row>
    <row r="17" spans="1:2" ht="22.5" customHeight="1" x14ac:dyDescent="0.25">
      <c r="B17" s="221" t="s">
        <v>695</v>
      </c>
    </row>
    <row r="18" spans="1:2" ht="22.5" customHeight="1" x14ac:dyDescent="0.25">
      <c r="B18" s="221" t="s">
        <v>696</v>
      </c>
    </row>
    <row r="20" spans="1:2" ht="22.5" customHeight="1" x14ac:dyDescent="0.25">
      <c r="A20" t="s">
        <v>447</v>
      </c>
    </row>
  </sheetData>
  <sheetProtection objects="1"/>
  <mergeCells count="1">
    <mergeCell ref="A9:B9"/>
  </mergeCells>
  <phoneticPr fontId="0" type="noConversion"/>
  <pageMargins left="0.78740157480314965" right="0.78740157480314965" top="0.98425196850393704" bottom="0.98425196850393704" header="0.51181102362204722" footer="0.51181102362204722"/>
  <pageSetup paperSize="9" scale="84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2"/>
  <dimension ref="A1:D20"/>
  <sheetViews>
    <sheetView view="pageBreakPreview" zoomScale="60" zoomScaleNormal="100" workbookViewId="0">
      <selection activeCell="C10" sqref="C10:C14"/>
    </sheetView>
  </sheetViews>
  <sheetFormatPr defaultColWidth="9.1796875" defaultRowHeight="22.5" customHeight="1" x14ac:dyDescent="0.25"/>
  <cols>
    <col min="1" max="1" width="10.1796875" style="221" customWidth="1"/>
    <col min="2" max="2" width="28.453125" style="221" customWidth="1"/>
    <col min="3" max="3" width="41.7265625" style="221" customWidth="1"/>
    <col min="4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tr">
        <f>TECNOLOGIAS!A2</f>
        <v>Área de Concessão: 5 (Cinco)</v>
      </c>
    </row>
    <row r="4" spans="1:4" ht="22.5" customHeight="1" x14ac:dyDescent="0.25">
      <c r="A4" s="385" t="s">
        <v>697</v>
      </c>
    </row>
    <row r="5" spans="1:4" ht="22.5" customHeight="1" x14ac:dyDescent="0.25">
      <c r="B5" s="439"/>
    </row>
    <row r="6" spans="1:4" ht="22.5" customHeight="1" x14ac:dyDescent="0.25">
      <c r="A6" s="426" t="s">
        <v>698</v>
      </c>
      <c r="B6" s="426"/>
      <c r="C6" s="387"/>
      <c r="D6" s="387"/>
    </row>
    <row r="7" spans="1:4" ht="22.5" customHeight="1" x14ac:dyDescent="0.25">
      <c r="A7" s="403"/>
      <c r="B7" s="403"/>
    </row>
    <row r="8" spans="1:4" ht="22.5" customHeight="1" x14ac:dyDescent="0.25">
      <c r="A8" s="403"/>
      <c r="B8" s="403"/>
    </row>
    <row r="9" spans="1:4" s="387" customFormat="1" ht="22.5" customHeight="1" x14ac:dyDescent="0.25">
      <c r="A9" s="702" t="s">
        <v>569</v>
      </c>
      <c r="B9" s="703"/>
      <c r="C9" s="462" t="s">
        <v>688</v>
      </c>
    </row>
    <row r="10" spans="1:4" ht="22.5" customHeight="1" x14ac:dyDescent="0.25">
      <c r="A10" s="434" t="s">
        <v>689</v>
      </c>
      <c r="B10" s="434"/>
      <c r="C10" s="461"/>
    </row>
    <row r="11" spans="1:4" ht="22.5" customHeight="1" x14ac:dyDescent="0.25">
      <c r="A11" s="434" t="s">
        <v>690</v>
      </c>
      <c r="B11" s="434"/>
      <c r="C11" s="461"/>
    </row>
    <row r="12" spans="1:4" ht="22.5" customHeight="1" x14ac:dyDescent="0.25">
      <c r="A12" s="434" t="s">
        <v>691</v>
      </c>
      <c r="B12" s="434"/>
      <c r="C12" s="434"/>
    </row>
    <row r="13" spans="1:4" ht="22.5" customHeight="1" x14ac:dyDescent="0.25">
      <c r="A13" s="434" t="s">
        <v>692</v>
      </c>
      <c r="B13" s="434"/>
      <c r="C13" s="434"/>
    </row>
    <row r="14" spans="1:4" ht="22.5" customHeight="1" x14ac:dyDescent="0.25">
      <c r="A14" s="434" t="s">
        <v>693</v>
      </c>
      <c r="B14" s="434"/>
      <c r="C14" s="434"/>
    </row>
    <row r="16" spans="1:4" ht="22.5" customHeight="1" x14ac:dyDescent="0.25">
      <c r="A16" s="221" t="s">
        <v>694</v>
      </c>
    </row>
    <row r="17" spans="1:2" ht="22.5" customHeight="1" x14ac:dyDescent="0.25">
      <c r="B17" s="221" t="s">
        <v>695</v>
      </c>
    </row>
    <row r="18" spans="1:2" ht="22.5" customHeight="1" x14ac:dyDescent="0.25">
      <c r="B18" s="221" t="s">
        <v>696</v>
      </c>
    </row>
    <row r="20" spans="1:2" ht="22.5" customHeight="1" x14ac:dyDescent="0.25">
      <c r="A20" t="s">
        <v>447</v>
      </c>
    </row>
  </sheetData>
  <sheetProtection objects="1"/>
  <mergeCells count="1">
    <mergeCell ref="A9:B9"/>
  </mergeCells>
  <phoneticPr fontId="0" type="noConversion"/>
  <pageMargins left="0.78740157480314965" right="0.78740157480314965" top="0.98425196850393704" bottom="0.98425196850393704" header="0.51181102362204722" footer="0.51181102362204722"/>
  <pageSetup paperSize="9" scale="92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03"/>
  <dimension ref="A1:Y89"/>
  <sheetViews>
    <sheetView showGridLines="0" showZeros="0" defaultGridColor="0" view="pageBreakPreview" topLeftCell="A5" colorId="7" zoomScale="50" zoomScaleNormal="87" workbookViewId="0">
      <selection activeCell="F44" sqref="F44"/>
    </sheetView>
  </sheetViews>
  <sheetFormatPr defaultColWidth="12.54296875" defaultRowHeight="15.5" x14ac:dyDescent="0.35"/>
  <cols>
    <col min="1" max="1" width="65.54296875" style="168" customWidth="1"/>
    <col min="2" max="22" width="16.453125" style="168" bestFit="1" customWidth="1"/>
    <col min="23" max="23" width="19.26953125" style="168" bestFit="1" customWidth="1"/>
    <col min="24" max="16384" width="12.54296875" style="168"/>
  </cols>
  <sheetData>
    <row r="1" spans="1:25" x14ac:dyDescent="0.35">
      <c r="A1" s="369" t="str">
        <f>TECNOLOGIAS!A1</f>
        <v>Proponente: TransPolitécnica</v>
      </c>
    </row>
    <row r="2" spans="1:25" x14ac:dyDescent="0.35">
      <c r="A2" s="369" t="str">
        <f>TECNOLOGIAS!A2</f>
        <v>Área de Concessão: 5 (Cinco)</v>
      </c>
    </row>
    <row r="4" spans="1:25" ht="18" x14ac:dyDescent="0.4">
      <c r="A4" s="167" t="s">
        <v>726</v>
      </c>
    </row>
    <row r="5" spans="1:25" x14ac:dyDescent="0.35">
      <c r="B5" s="297"/>
    </row>
    <row r="6" spans="1:25" x14ac:dyDescent="0.35">
      <c r="A6" s="205" t="s">
        <v>746</v>
      </c>
      <c r="B6" s="203"/>
    </row>
    <row r="7" spans="1:25" x14ac:dyDescent="0.35">
      <c r="A7" s="187" t="s">
        <v>293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</row>
    <row r="8" spans="1:25" ht="16" thickBot="1" x14ac:dyDescent="0.4">
      <c r="A8" s="186"/>
    </row>
    <row r="9" spans="1:25" ht="16" thickBot="1" x14ac:dyDescent="0.4">
      <c r="A9" s="468"/>
      <c r="B9" s="704" t="s">
        <v>295</v>
      </c>
      <c r="C9" s="705"/>
      <c r="D9" s="705"/>
      <c r="E9" s="705"/>
      <c r="F9" s="705"/>
      <c r="G9" s="705"/>
      <c r="H9" s="705"/>
      <c r="I9" s="705"/>
      <c r="J9" s="705"/>
      <c r="K9" s="705"/>
      <c r="L9" s="706"/>
      <c r="M9" s="704" t="s">
        <v>295</v>
      </c>
      <c r="N9" s="705"/>
      <c r="O9" s="705"/>
      <c r="P9" s="705"/>
      <c r="Q9" s="705"/>
      <c r="R9" s="705"/>
      <c r="S9" s="705"/>
      <c r="T9" s="705"/>
      <c r="U9" s="705"/>
      <c r="V9" s="705"/>
      <c r="W9" s="706"/>
    </row>
    <row r="10" spans="1:25" x14ac:dyDescent="0.35">
      <c r="A10" s="271" t="s">
        <v>294</v>
      </c>
      <c r="B10" s="271" t="s">
        <v>372</v>
      </c>
      <c r="C10" s="272" t="s">
        <v>372</v>
      </c>
      <c r="D10" s="272" t="s">
        <v>372</v>
      </c>
      <c r="E10" s="272" t="s">
        <v>372</v>
      </c>
      <c r="F10" s="272" t="s">
        <v>372</v>
      </c>
      <c r="G10" s="272" t="s">
        <v>372</v>
      </c>
      <c r="H10" s="272" t="s">
        <v>372</v>
      </c>
      <c r="I10" s="272" t="s">
        <v>372</v>
      </c>
      <c r="J10" s="272" t="s">
        <v>372</v>
      </c>
      <c r="K10" s="272" t="s">
        <v>372</v>
      </c>
      <c r="L10" s="272" t="s">
        <v>372</v>
      </c>
      <c r="M10" s="272" t="s">
        <v>372</v>
      </c>
      <c r="N10" s="272" t="s">
        <v>372</v>
      </c>
      <c r="O10" s="272" t="s">
        <v>372</v>
      </c>
      <c r="P10" s="272" t="s">
        <v>372</v>
      </c>
      <c r="Q10" s="272" t="s">
        <v>372</v>
      </c>
      <c r="R10" s="272" t="s">
        <v>372</v>
      </c>
      <c r="S10" s="272" t="s">
        <v>372</v>
      </c>
      <c r="T10" s="272" t="s">
        <v>372</v>
      </c>
      <c r="U10" s="272" t="s">
        <v>372</v>
      </c>
      <c r="V10" s="272" t="s">
        <v>372</v>
      </c>
      <c r="W10" s="272" t="s">
        <v>59</v>
      </c>
    </row>
    <row r="11" spans="1:25" ht="16" thickBot="1" x14ac:dyDescent="0.4">
      <c r="A11" s="179"/>
      <c r="B11" s="361" t="s">
        <v>413</v>
      </c>
      <c r="C11" s="191">
        <v>1</v>
      </c>
      <c r="D11" s="191">
        <v>2</v>
      </c>
      <c r="E11" s="191">
        <v>3</v>
      </c>
      <c r="F11" s="191">
        <v>4</v>
      </c>
      <c r="G11" s="191">
        <v>5</v>
      </c>
      <c r="H11" s="191">
        <v>6</v>
      </c>
      <c r="I11" s="191">
        <v>7</v>
      </c>
      <c r="J11" s="191">
        <v>8</v>
      </c>
      <c r="K11" s="191">
        <v>9</v>
      </c>
      <c r="L11" s="191">
        <v>10</v>
      </c>
      <c r="M11" s="191">
        <v>11</v>
      </c>
      <c r="N11" s="191">
        <v>12</v>
      </c>
      <c r="O11" s="191">
        <v>13</v>
      </c>
      <c r="P11" s="191">
        <v>14</v>
      </c>
      <c r="Q11" s="191">
        <v>15</v>
      </c>
      <c r="R11" s="191">
        <v>16</v>
      </c>
      <c r="S11" s="191">
        <v>17</v>
      </c>
      <c r="T11" s="191">
        <v>18</v>
      </c>
      <c r="U11" s="191">
        <v>19</v>
      </c>
      <c r="V11" s="191">
        <v>20</v>
      </c>
      <c r="W11" s="191"/>
    </row>
    <row r="12" spans="1:25" x14ac:dyDescent="0.35">
      <c r="A12" s="180"/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</row>
    <row r="13" spans="1:25" x14ac:dyDescent="0.35">
      <c r="A13" s="201" t="s">
        <v>705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</row>
    <row r="14" spans="1:25" x14ac:dyDescent="0.35">
      <c r="A14" s="180"/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</row>
    <row r="15" spans="1:25" x14ac:dyDescent="0.35">
      <c r="A15" s="180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Y15" s="203"/>
    </row>
    <row r="16" spans="1:25" x14ac:dyDescent="0.35">
      <c r="A16" s="183" t="s">
        <v>744</v>
      </c>
      <c r="B16" s="466"/>
      <c r="C16" s="193">
        <f t="shared" ref="C16:L16" ca="1" si="0">SUM(C18:C20)</f>
        <v>79058478.629999995</v>
      </c>
      <c r="D16" s="193">
        <f t="shared" ca="1" si="0"/>
        <v>81413277.760000005</v>
      </c>
      <c r="E16" s="193">
        <f t="shared" ca="1" si="0"/>
        <v>82653449.330000013</v>
      </c>
      <c r="F16" s="193">
        <f t="shared" ca="1" si="0"/>
        <v>84194405.550000012</v>
      </c>
      <c r="G16" s="193">
        <f t="shared" ca="1" si="0"/>
        <v>86344978.350000009</v>
      </c>
      <c r="H16" s="193">
        <f t="shared" ca="1" si="0"/>
        <v>82824738.170000002</v>
      </c>
      <c r="I16" s="193">
        <f t="shared" ca="1" si="0"/>
        <v>84856860.160000011</v>
      </c>
      <c r="J16" s="193">
        <f t="shared" ca="1" si="0"/>
        <v>86927468.99000001</v>
      </c>
      <c r="K16" s="193">
        <f t="shared" ca="1" si="0"/>
        <v>88499762.140000015</v>
      </c>
      <c r="L16" s="193">
        <f t="shared" ca="1" si="0"/>
        <v>88499762.140000015</v>
      </c>
      <c r="M16" s="193">
        <f t="shared" ref="M16:V16" ca="1" si="1">SUM(M18:M20)</f>
        <v>86786485.140000015</v>
      </c>
      <c r="N16" s="193">
        <f t="shared" ca="1" si="1"/>
        <v>85249344.140000015</v>
      </c>
      <c r="O16" s="193">
        <f t="shared" ca="1" si="1"/>
        <v>84300117.140000015</v>
      </c>
      <c r="P16" s="193">
        <f t="shared" ca="1" si="1"/>
        <v>83209754.140000015</v>
      </c>
      <c r="Q16" s="193">
        <f t="shared" ca="1" si="1"/>
        <v>82280530.140000015</v>
      </c>
      <c r="R16" s="193">
        <f t="shared" ca="1" si="1"/>
        <v>81622227.140000015</v>
      </c>
      <c r="S16" s="193">
        <f t="shared" ca="1" si="1"/>
        <v>81010203.140000015</v>
      </c>
      <c r="T16" s="193">
        <f t="shared" ca="1" si="1"/>
        <v>80419847.140000015</v>
      </c>
      <c r="U16" s="193">
        <f t="shared" ca="1" si="1"/>
        <v>79863847.140000015</v>
      </c>
      <c r="V16" s="193">
        <f t="shared" ca="1" si="1"/>
        <v>80513647.140000015</v>
      </c>
      <c r="W16" s="466">
        <f ca="1">SUM(B16:V16)</f>
        <v>1670529183.6200008</v>
      </c>
      <c r="Y16" s="203"/>
    </row>
    <row r="17" spans="1:25" x14ac:dyDescent="0.35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Y17" s="203"/>
    </row>
    <row r="18" spans="1:25" x14ac:dyDescent="0.35">
      <c r="A18" s="183" t="s">
        <v>706</v>
      </c>
      <c r="B18" s="631"/>
      <c r="C18" s="632">
        <f ca="1">'28'!B34</f>
        <v>71598355.629999995</v>
      </c>
      <c r="D18" s="632">
        <f ca="1">'28'!C34</f>
        <v>72231613.760000005</v>
      </c>
      <c r="E18" s="632">
        <f ca="1">'28'!D34</f>
        <v>72498558.330000013</v>
      </c>
      <c r="F18" s="632">
        <f ca="1">'28'!E34</f>
        <v>72764751.550000012</v>
      </c>
      <c r="G18" s="632">
        <f ca="1">'28'!F34</f>
        <v>73529000.350000009</v>
      </c>
      <c r="H18" s="632">
        <f ca="1">'28'!G34</f>
        <v>74270553.170000002</v>
      </c>
      <c r="I18" s="632">
        <f ca="1">'28'!H34</f>
        <v>74995231.160000011</v>
      </c>
      <c r="J18" s="632">
        <f ca="1">'28'!I34</f>
        <v>75745983.99000001</v>
      </c>
      <c r="K18" s="632">
        <f ca="1">'28'!J34</f>
        <v>76090537.140000015</v>
      </c>
      <c r="L18" s="632">
        <f ca="1">'28'!K34</f>
        <v>76090537.140000015</v>
      </c>
      <c r="M18" s="632">
        <f ca="1">'28'!L34</f>
        <v>76090537.140000015</v>
      </c>
      <c r="N18" s="632">
        <f ca="1">'28'!M34</f>
        <v>76090537.140000015</v>
      </c>
      <c r="O18" s="632">
        <f ca="1">'28'!N34</f>
        <v>76090537.140000015</v>
      </c>
      <c r="P18" s="632">
        <f ca="1">'28'!O34</f>
        <v>76090537.140000015</v>
      </c>
      <c r="Q18" s="632">
        <f ca="1">'28'!P34</f>
        <v>76090537.140000015</v>
      </c>
      <c r="R18" s="632">
        <f ca="1">'28'!Q34</f>
        <v>76090537.140000015</v>
      </c>
      <c r="S18" s="632">
        <f ca="1">'28'!R34</f>
        <v>76090537.140000015</v>
      </c>
      <c r="T18" s="632">
        <f ca="1">'28'!S34</f>
        <v>76090537.140000015</v>
      </c>
      <c r="U18" s="632">
        <f ca="1">'28'!T34</f>
        <v>76090537.140000015</v>
      </c>
      <c r="V18" s="632">
        <f ca="1">'28'!U34</f>
        <v>76090537.140000015</v>
      </c>
      <c r="W18" s="632">
        <f ca="1">SUM(B18:V18)</f>
        <v>1500720493.6200006</v>
      </c>
      <c r="Y18" s="203"/>
    </row>
    <row r="19" spans="1:25" s="359" customFormat="1" x14ac:dyDescent="0.35">
      <c r="A19" s="183" t="s">
        <v>707</v>
      </c>
      <c r="B19" s="632"/>
      <c r="C19" s="632">
        <f>'28'!B27</f>
        <v>0</v>
      </c>
      <c r="D19" s="632">
        <f>'28'!C27</f>
        <v>0</v>
      </c>
      <c r="E19" s="632">
        <f>'28'!D27</f>
        <v>0</v>
      </c>
      <c r="F19" s="632">
        <f>'28'!E27</f>
        <v>0</v>
      </c>
      <c r="G19" s="632">
        <f>'28'!F27</f>
        <v>0</v>
      </c>
      <c r="H19" s="632">
        <f>'28'!G27</f>
        <v>0</v>
      </c>
      <c r="I19" s="632">
        <f>'28'!H27</f>
        <v>0</v>
      </c>
      <c r="J19" s="632">
        <f>'28'!I27</f>
        <v>0</v>
      </c>
      <c r="K19" s="632">
        <f>'28'!J27</f>
        <v>0</v>
      </c>
      <c r="L19" s="632">
        <f>'28'!K27</f>
        <v>0</v>
      </c>
      <c r="M19" s="632">
        <f>'28'!L27</f>
        <v>0</v>
      </c>
      <c r="N19" s="632">
        <f>'28'!M27</f>
        <v>0</v>
      </c>
      <c r="O19" s="632">
        <f>'28'!N27</f>
        <v>0</v>
      </c>
      <c r="P19" s="632">
        <f>'28'!O27</f>
        <v>0</v>
      </c>
      <c r="Q19" s="632">
        <f>'28'!P27</f>
        <v>0</v>
      </c>
      <c r="R19" s="632">
        <f>'28'!Q27</f>
        <v>0</v>
      </c>
      <c r="S19" s="632">
        <f>'28'!R27</f>
        <v>0</v>
      </c>
      <c r="T19" s="632">
        <f>'28'!S27</f>
        <v>0</v>
      </c>
      <c r="U19" s="632">
        <f>'28'!T27</f>
        <v>0</v>
      </c>
      <c r="V19" s="632">
        <f>'28'!U27</f>
        <v>0</v>
      </c>
      <c r="W19" s="632">
        <f>SUM(B19:V19)</f>
        <v>0</v>
      </c>
      <c r="Y19" s="360"/>
    </row>
    <row r="20" spans="1:25" x14ac:dyDescent="0.35">
      <c r="A20" s="183" t="s">
        <v>713</v>
      </c>
      <c r="B20" s="466"/>
      <c r="C20" s="193">
        <f ca="1">'28'!B35</f>
        <v>7460123</v>
      </c>
      <c r="D20" s="193">
        <f ca="1">'28'!C35</f>
        <v>9181664</v>
      </c>
      <c r="E20" s="193">
        <f ca="1">'28'!D35</f>
        <v>10154891</v>
      </c>
      <c r="F20" s="193">
        <f ca="1">'28'!E35</f>
        <v>11429654</v>
      </c>
      <c r="G20" s="193">
        <f ca="1">'28'!F35</f>
        <v>12815978</v>
      </c>
      <c r="H20" s="193">
        <f ca="1">'28'!G35</f>
        <v>8554185</v>
      </c>
      <c r="I20" s="193">
        <f ca="1">'28'!H35</f>
        <v>9861629</v>
      </c>
      <c r="J20" s="193">
        <f ca="1">'28'!I35</f>
        <v>11181485</v>
      </c>
      <c r="K20" s="193">
        <f ca="1">'28'!J35</f>
        <v>12409225</v>
      </c>
      <c r="L20" s="193">
        <f ca="1">'28'!K35</f>
        <v>12409225</v>
      </c>
      <c r="M20" s="193">
        <f ca="1">'28'!L35</f>
        <v>10695948</v>
      </c>
      <c r="N20" s="193">
        <f ca="1">'28'!M35</f>
        <v>9158807</v>
      </c>
      <c r="O20" s="193">
        <f ca="1">'28'!N35</f>
        <v>8209580</v>
      </c>
      <c r="P20" s="193">
        <f ca="1">'28'!O35</f>
        <v>7119217</v>
      </c>
      <c r="Q20" s="193">
        <f ca="1">'28'!P35</f>
        <v>6189993</v>
      </c>
      <c r="R20" s="193">
        <f ca="1">'28'!Q35</f>
        <v>5531690</v>
      </c>
      <c r="S20" s="193">
        <f ca="1">'28'!R35</f>
        <v>4919666</v>
      </c>
      <c r="T20" s="193">
        <f ca="1">'28'!S35</f>
        <v>4329310</v>
      </c>
      <c r="U20" s="193">
        <f ca="1">'28'!T35</f>
        <v>3773310</v>
      </c>
      <c r="V20" s="193">
        <f ca="1">'28'!U35</f>
        <v>4423110</v>
      </c>
      <c r="W20" s="632">
        <f ca="1">SUM(B20:V20)</f>
        <v>169808690</v>
      </c>
      <c r="Y20" s="203"/>
    </row>
    <row r="21" spans="1:25" x14ac:dyDescent="0.35">
      <c r="A21" s="180"/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Y21" s="203"/>
    </row>
    <row r="22" spans="1:25" x14ac:dyDescent="0.35">
      <c r="A22" s="183" t="s">
        <v>708</v>
      </c>
      <c r="B22" s="466">
        <f>B24</f>
        <v>0</v>
      </c>
      <c r="C22" s="466">
        <f t="shared" ref="C22:V22" ca="1" si="2">C24</f>
        <v>2162802.2187939999</v>
      </c>
      <c r="D22" s="466">
        <f t="shared" ca="1" si="2"/>
        <v>2296735.7054880001</v>
      </c>
      <c r="E22" s="466">
        <f t="shared" ca="1" si="2"/>
        <v>2169963.107454</v>
      </c>
      <c r="F22" s="466">
        <f t="shared" ca="1" si="2"/>
        <v>2044333.4910900001</v>
      </c>
      <c r="G22" s="466">
        <f t="shared" ca="1" si="2"/>
        <v>1921020.4177300001</v>
      </c>
      <c r="H22" s="466">
        <f t="shared" ca="1" si="2"/>
        <v>1776158.255046</v>
      </c>
      <c r="I22" s="466">
        <f t="shared" ca="1" si="2"/>
        <v>1652395.0686079999</v>
      </c>
      <c r="J22" s="466">
        <f t="shared" ca="1" si="2"/>
        <v>1528778.1321620001</v>
      </c>
      <c r="K22" s="466">
        <f t="shared" ca="1" si="2"/>
        <v>1403267.596132</v>
      </c>
      <c r="L22" s="466">
        <f t="shared" ca="1" si="2"/>
        <v>1271782.346132</v>
      </c>
      <c r="M22" s="466">
        <f t="shared" ca="1" si="2"/>
        <v>1133786.643532</v>
      </c>
      <c r="N22" s="466">
        <f t="shared" ca="1" si="2"/>
        <v>996460.25773200009</v>
      </c>
      <c r="O22" s="466">
        <f t="shared" ca="1" si="2"/>
        <v>861367.94513200014</v>
      </c>
      <c r="P22" s="466">
        <f t="shared" ca="1" si="2"/>
        <v>725739.31573200005</v>
      </c>
      <c r="Q22" s="466">
        <f t="shared" ca="1" si="2"/>
        <v>590723.01453200006</v>
      </c>
      <c r="R22" s="466">
        <f t="shared" ca="1" si="2"/>
        <v>456736.21313200006</v>
      </c>
      <c r="S22" s="466">
        <f t="shared" ca="1" si="2"/>
        <v>322925.27193200006</v>
      </c>
      <c r="T22" s="466">
        <f t="shared" ca="1" si="2"/>
        <v>305595.41913200007</v>
      </c>
      <c r="U22" s="466">
        <f t="shared" ca="1" si="2"/>
        <v>303482.61913200008</v>
      </c>
      <c r="V22" s="466">
        <f t="shared" ca="1" si="2"/>
        <v>305951.85913200007</v>
      </c>
      <c r="W22" s="466">
        <f ca="1">SUM(B22:V22)</f>
        <v>24230004.897755999</v>
      </c>
      <c r="Y22" s="203"/>
    </row>
    <row r="23" spans="1:25" x14ac:dyDescent="0.35">
      <c r="A23" s="180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Y23" s="203"/>
    </row>
    <row r="24" spans="1:25" x14ac:dyDescent="0.35">
      <c r="A24" s="183" t="s">
        <v>711</v>
      </c>
      <c r="B24" s="631">
        <f>SUM(B25:B26)</f>
        <v>0</v>
      </c>
      <c r="C24" s="466">
        <f t="shared" ref="C24:V24" ca="1" si="3">SUM(C25:C26)</f>
        <v>2162802.2187939999</v>
      </c>
      <c r="D24" s="466">
        <f t="shared" ca="1" si="3"/>
        <v>2296735.7054880001</v>
      </c>
      <c r="E24" s="466">
        <f t="shared" ca="1" si="3"/>
        <v>2169963.107454</v>
      </c>
      <c r="F24" s="466">
        <f t="shared" ca="1" si="3"/>
        <v>2044333.4910900001</v>
      </c>
      <c r="G24" s="466">
        <f t="shared" ca="1" si="3"/>
        <v>1921020.4177300001</v>
      </c>
      <c r="H24" s="466">
        <f t="shared" ca="1" si="3"/>
        <v>1776158.255046</v>
      </c>
      <c r="I24" s="466">
        <f t="shared" ca="1" si="3"/>
        <v>1652395.0686079999</v>
      </c>
      <c r="J24" s="466">
        <f t="shared" ca="1" si="3"/>
        <v>1528778.1321620001</v>
      </c>
      <c r="K24" s="466">
        <f t="shared" ca="1" si="3"/>
        <v>1403267.596132</v>
      </c>
      <c r="L24" s="466">
        <f t="shared" ca="1" si="3"/>
        <v>1271782.346132</v>
      </c>
      <c r="M24" s="466">
        <f t="shared" ca="1" si="3"/>
        <v>1133786.643532</v>
      </c>
      <c r="N24" s="466">
        <f t="shared" ca="1" si="3"/>
        <v>996460.25773200009</v>
      </c>
      <c r="O24" s="466">
        <f t="shared" ca="1" si="3"/>
        <v>861367.94513200014</v>
      </c>
      <c r="P24" s="466">
        <f t="shared" ca="1" si="3"/>
        <v>725739.31573200005</v>
      </c>
      <c r="Q24" s="466">
        <f t="shared" ca="1" si="3"/>
        <v>590723.01453200006</v>
      </c>
      <c r="R24" s="466">
        <f t="shared" ca="1" si="3"/>
        <v>456736.21313200006</v>
      </c>
      <c r="S24" s="466">
        <f t="shared" ca="1" si="3"/>
        <v>322925.27193200006</v>
      </c>
      <c r="T24" s="466">
        <f t="shared" ca="1" si="3"/>
        <v>305595.41913200007</v>
      </c>
      <c r="U24" s="466">
        <f t="shared" ca="1" si="3"/>
        <v>303482.61913200008</v>
      </c>
      <c r="V24" s="466">
        <f t="shared" ca="1" si="3"/>
        <v>305951.85913200007</v>
      </c>
      <c r="W24" s="466">
        <f ca="1">SUM(B24:V24)</f>
        <v>24230004.897755999</v>
      </c>
      <c r="Y24" s="203"/>
    </row>
    <row r="25" spans="1:25" x14ac:dyDescent="0.35">
      <c r="A25" s="183" t="s">
        <v>709</v>
      </c>
      <c r="B25" s="631">
        <f>'34'!$D$14</f>
        <v>0</v>
      </c>
      <c r="C25" s="631">
        <f>'34'!$D$15</f>
        <v>1862380</v>
      </c>
      <c r="D25" s="466">
        <f>'34'!$D$16</f>
        <v>1987365.25</v>
      </c>
      <c r="E25" s="466">
        <f>'34'!$D$17</f>
        <v>1855880</v>
      </c>
      <c r="F25" s="466">
        <f>'34'!$D$18</f>
        <v>1724394.75</v>
      </c>
      <c r="G25" s="466">
        <f>'34'!$D$19</f>
        <v>1592909.5</v>
      </c>
      <c r="H25" s="466">
        <f>'34'!$D$20</f>
        <v>1461424.25</v>
      </c>
      <c r="I25" s="466">
        <f>'34'!$D$21</f>
        <v>1329939</v>
      </c>
      <c r="J25" s="466">
        <f>'34'!$D$22</f>
        <v>1198453.75</v>
      </c>
      <c r="K25" s="466">
        <f>'34'!$D$23</f>
        <v>1066968.5</v>
      </c>
      <c r="L25" s="466">
        <f>'34'!$D$24</f>
        <v>935483.25</v>
      </c>
      <c r="M25" s="466">
        <f>'34'!$D$25</f>
        <v>803998</v>
      </c>
      <c r="N25" s="466">
        <f>'34'!$D$26</f>
        <v>672512.75</v>
      </c>
      <c r="O25" s="466">
        <f>'34'!$D$27</f>
        <v>541027.5</v>
      </c>
      <c r="P25" s="466">
        <f>'34'!$D$28</f>
        <v>409542.25</v>
      </c>
      <c r="Q25" s="466">
        <f>'34'!$D$29</f>
        <v>278057</v>
      </c>
      <c r="R25" s="466">
        <f>'34'!$D$30</f>
        <v>146571.75</v>
      </c>
      <c r="S25" s="466">
        <f>'34'!$D$31</f>
        <v>15086.5</v>
      </c>
      <c r="T25" s="466">
        <f>'34'!$D$32</f>
        <v>0</v>
      </c>
      <c r="U25" s="466">
        <f>'34'!$D$33</f>
        <v>0</v>
      </c>
      <c r="V25" s="466">
        <f>'34'!$D$34</f>
        <v>0</v>
      </c>
      <c r="W25" s="466">
        <f>SUM(B25:V25)</f>
        <v>17881994</v>
      </c>
      <c r="Y25" s="203"/>
    </row>
    <row r="26" spans="1:25" x14ac:dyDescent="0.35">
      <c r="A26" s="183" t="s">
        <v>710</v>
      </c>
      <c r="B26" s="633">
        <f>0.38%*B16</f>
        <v>0</v>
      </c>
      <c r="C26" s="633">
        <f t="shared" ref="C26:V26" ca="1" si="4">0.38%*C16</f>
        <v>300422.21879399999</v>
      </c>
      <c r="D26" s="633">
        <f t="shared" ca="1" si="4"/>
        <v>309370.45548800001</v>
      </c>
      <c r="E26" s="633">
        <f t="shared" ca="1" si="4"/>
        <v>314083.10745400004</v>
      </c>
      <c r="F26" s="633">
        <f t="shared" ca="1" si="4"/>
        <v>319938.74109000002</v>
      </c>
      <c r="G26" s="633">
        <f t="shared" ca="1" si="4"/>
        <v>328110.91773000004</v>
      </c>
      <c r="H26" s="633">
        <f t="shared" ca="1" si="4"/>
        <v>314734.00504600001</v>
      </c>
      <c r="I26" s="633">
        <f t="shared" ca="1" si="4"/>
        <v>322456.06860800006</v>
      </c>
      <c r="J26" s="633">
        <f t="shared" ca="1" si="4"/>
        <v>330324.38216200005</v>
      </c>
      <c r="K26" s="633">
        <f t="shared" ca="1" si="4"/>
        <v>336299.09613200004</v>
      </c>
      <c r="L26" s="633">
        <f t="shared" ca="1" si="4"/>
        <v>336299.09613200004</v>
      </c>
      <c r="M26" s="633">
        <f t="shared" ca="1" si="4"/>
        <v>329788.64353200007</v>
      </c>
      <c r="N26" s="633">
        <f t="shared" ca="1" si="4"/>
        <v>323947.50773200009</v>
      </c>
      <c r="O26" s="633">
        <f t="shared" ca="1" si="4"/>
        <v>320340.44513200008</v>
      </c>
      <c r="P26" s="633">
        <f t="shared" ca="1" si="4"/>
        <v>316197.06573200005</v>
      </c>
      <c r="Q26" s="633">
        <f t="shared" ca="1" si="4"/>
        <v>312666.01453200006</v>
      </c>
      <c r="R26" s="633">
        <f t="shared" ca="1" si="4"/>
        <v>310164.46313200006</v>
      </c>
      <c r="S26" s="633">
        <f t="shared" ca="1" si="4"/>
        <v>307838.77193200006</v>
      </c>
      <c r="T26" s="633">
        <f t="shared" ca="1" si="4"/>
        <v>305595.41913200007</v>
      </c>
      <c r="U26" s="633">
        <f t="shared" ca="1" si="4"/>
        <v>303482.61913200008</v>
      </c>
      <c r="V26" s="633">
        <f t="shared" ca="1" si="4"/>
        <v>305951.85913200007</v>
      </c>
      <c r="W26" s="466">
        <f ca="1">SUM(B26:V26)</f>
        <v>6348010.897756001</v>
      </c>
      <c r="Y26" s="203"/>
    </row>
    <row r="27" spans="1:25" x14ac:dyDescent="0.35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Y27" s="203"/>
    </row>
    <row r="28" spans="1:25" ht="28.5" customHeight="1" x14ac:dyDescent="0.35">
      <c r="A28" s="463" t="s">
        <v>720</v>
      </c>
      <c r="B28" s="634">
        <v>125082.74458858307</v>
      </c>
      <c r="C28" s="634">
        <v>125082.74458858307</v>
      </c>
      <c r="D28" s="634">
        <v>125082.74458858307</v>
      </c>
      <c r="E28" s="634">
        <v>125082.74458858307</v>
      </c>
      <c r="F28" s="634">
        <v>125082.74458858307</v>
      </c>
      <c r="G28" s="634">
        <v>125082.74458858307</v>
      </c>
      <c r="H28" s="634">
        <v>125082.74458858307</v>
      </c>
      <c r="I28" s="634">
        <v>125082.74458858307</v>
      </c>
      <c r="J28" s="634">
        <v>125082.74458858307</v>
      </c>
      <c r="K28" s="634">
        <v>125082.74458858307</v>
      </c>
      <c r="L28" s="634">
        <v>125082.74458858307</v>
      </c>
      <c r="M28" s="634">
        <v>125082.74458858307</v>
      </c>
      <c r="N28" s="634">
        <v>125082.74458858307</v>
      </c>
      <c r="O28" s="634">
        <v>125082.74458858307</v>
      </c>
      <c r="P28" s="634">
        <v>125082.74458858307</v>
      </c>
      <c r="Q28" s="634">
        <v>125082.74458858307</v>
      </c>
      <c r="R28" s="634">
        <v>125082.74458858307</v>
      </c>
      <c r="S28" s="634">
        <v>125082.74458858307</v>
      </c>
      <c r="T28" s="634">
        <v>125082.74458858307</v>
      </c>
      <c r="U28" s="634">
        <v>125082.74458858307</v>
      </c>
      <c r="V28" s="634">
        <v>125082.74458858307</v>
      </c>
      <c r="W28" s="466">
        <f>SUM(B28:V28)</f>
        <v>2626737.6363602444</v>
      </c>
      <c r="Y28" s="203"/>
    </row>
    <row r="29" spans="1:25" x14ac:dyDescent="0.3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Y29" s="203"/>
    </row>
    <row r="30" spans="1:25" x14ac:dyDescent="0.3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Y30" s="203"/>
    </row>
    <row r="31" spans="1:25" x14ac:dyDescent="0.35">
      <c r="A31" s="201" t="s">
        <v>722</v>
      </c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Y31" s="203"/>
    </row>
    <row r="32" spans="1:25" x14ac:dyDescent="0.3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Y32" s="203"/>
    </row>
    <row r="33" spans="1:25" x14ac:dyDescent="0.35">
      <c r="A33" s="183" t="s">
        <v>745</v>
      </c>
      <c r="B33" s="466">
        <f>SUM(B35:B37)</f>
        <v>17957785</v>
      </c>
      <c r="C33" s="466">
        <f t="shared" ref="C33:L33" si="5">SUM(C35:C37)</f>
        <v>13669674.333333334</v>
      </c>
      <c r="D33" s="466">
        <f t="shared" si="5"/>
        <v>16048519.333333334</v>
      </c>
      <c r="E33" s="466">
        <f t="shared" si="5"/>
        <v>12576379.333333334</v>
      </c>
      <c r="F33" s="466">
        <f t="shared" si="5"/>
        <v>18692480</v>
      </c>
      <c r="G33" s="466">
        <f t="shared" si="5"/>
        <v>15438090</v>
      </c>
      <c r="H33" s="466">
        <f t="shared" si="5"/>
        <v>16559880</v>
      </c>
      <c r="I33" s="466">
        <f t="shared" si="5"/>
        <v>15518880</v>
      </c>
      <c r="J33" s="466">
        <f t="shared" si="5"/>
        <v>14984410</v>
      </c>
      <c r="K33" s="466">
        <f t="shared" si="5"/>
        <v>2022850</v>
      </c>
      <c r="L33" s="466">
        <f t="shared" si="5"/>
        <v>2262850</v>
      </c>
      <c r="M33" s="466">
        <f t="shared" ref="M33:V33" si="6">SUM(M35:M37)</f>
        <v>3494850</v>
      </c>
      <c r="N33" s="466">
        <f t="shared" si="6"/>
        <v>2662850</v>
      </c>
      <c r="O33" s="466">
        <f t="shared" si="6"/>
        <v>2866850</v>
      </c>
      <c r="P33" s="466">
        <f t="shared" si="6"/>
        <v>7393850</v>
      </c>
      <c r="Q33" s="466">
        <f t="shared" si="6"/>
        <v>7650850</v>
      </c>
      <c r="R33" s="466">
        <f t="shared" si="6"/>
        <v>10443850</v>
      </c>
      <c r="S33" s="466">
        <f t="shared" si="6"/>
        <v>6527100</v>
      </c>
      <c r="T33" s="466">
        <f t="shared" si="6"/>
        <v>8364000</v>
      </c>
      <c r="U33" s="466">
        <f t="shared" si="6"/>
        <v>6498000</v>
      </c>
      <c r="V33" s="466">
        <f t="shared" si="6"/>
        <v>0</v>
      </c>
      <c r="W33" s="466">
        <f>SUM(B33:V33)</f>
        <v>201633998</v>
      </c>
      <c r="Y33" s="203"/>
    </row>
    <row r="34" spans="1:25" x14ac:dyDescent="0.3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Y34" s="203"/>
    </row>
    <row r="35" spans="1:25" x14ac:dyDescent="0.35">
      <c r="A35" s="175" t="s">
        <v>723</v>
      </c>
      <c r="B35" s="193">
        <f>'29A'!B$14+'29B'!B$14+'29C'!B$14+'29D'!B$14+'29E'!B$14+'29F'!B$14+'29G'!B$14+'29H'!B$14+'32B'!$C12+'32C'!$C12+'32D'!$C12</f>
        <v>17957785</v>
      </c>
      <c r="C35" s="193">
        <f>'29A'!C$14+'29B'!C$14+'29C'!C$14+'29D'!C$14+'29E'!C$14+'29F'!C$14+'29G'!C$14+'29H'!C$14+'32B'!$C13+'32C'!$C13+'32D'!$C13</f>
        <v>11878924.333333334</v>
      </c>
      <c r="D35" s="193">
        <f>'29A'!D$14+'29B'!D$14+'29C'!D$14+'29D'!D$14+'29E'!D$14+'29F'!D$14+'29G'!D$14+'29H'!D$14+'32B'!$C14+'32C'!$C14+'32D'!$C14</f>
        <v>14025669.333333334</v>
      </c>
      <c r="E35" s="193">
        <f>'29A'!E$14+'29B'!E$14+'29C'!E$14+'29D'!E$14+'29E'!E$14+'29F'!E$14+'29G'!E$14+'29H'!E$14+'32B'!$C15+'32C'!$C15+'32D'!$C15</f>
        <v>10553529.333333334</v>
      </c>
      <c r="F35" s="193">
        <f>'29A'!F$14+'29B'!F$14+'29C'!F$14+'29D'!F$14+'29E'!F$14+'29F'!F$14+'29G'!F$14+'29H'!F$14+'32B'!$C16+'32C'!$C16+'32D'!$C16</f>
        <v>16669630</v>
      </c>
      <c r="G35" s="193">
        <f>'29A'!G$14+'29B'!G$14+'29C'!G$14+'29D'!G$14+'29E'!G$14+'29F'!G$14+'29G'!G$14+'29H'!G$14+'32B'!$C17+'32C'!$C17+'32D'!$C17</f>
        <v>13415240</v>
      </c>
      <c r="H35" s="193">
        <f>'29A'!H$14+'29B'!H$14+'29C'!H$14+'29D'!H$14+'29E'!H$14+'29F'!H$14+'29G'!H$14+'29H'!H$14+'32B'!$C18+'32C'!$C18+'32D'!$C18</f>
        <v>14537030</v>
      </c>
      <c r="I35" s="193">
        <f>'29A'!I$14+'29B'!I$14+'29C'!I$14+'29D'!I$14+'29E'!I$14+'29F'!I$14+'29G'!I$14+'29H'!I$14+'32B'!$C19+'32C'!$C19+'32D'!$C19</f>
        <v>13496030</v>
      </c>
      <c r="J35" s="193">
        <f>'29A'!J$14+'29B'!J$14+'29C'!J$14+'29D'!J$14+'29E'!J$14+'29F'!J$14+'29G'!J$14+'29H'!J$14+'32B'!$C20+'32C'!$C20+'32D'!$C20</f>
        <v>12961560</v>
      </c>
      <c r="K35" s="193">
        <f>'29A'!K$14+'29B'!K$14+'29C'!K$14+'29D'!K$14+'29E'!K$14+'29F'!K$14+'29G'!K$14+'29H'!K$14+'32B'!$C21+'32C'!$C21+'32D'!$C21</f>
        <v>0</v>
      </c>
      <c r="L35" s="193">
        <f>'29A'!L$14+'29B'!L$14+'29C'!L$14+'29D'!L$14+'29E'!L$14+'29F'!L$14+'29G'!L$14+'29H'!L$14+'32B'!$C22+'32C'!$C22+'32D'!$C22</f>
        <v>240000</v>
      </c>
      <c r="M35" s="193">
        <f>'29A'!M$14+'29B'!M$14+'29C'!M$14+'29D'!M$14+'29E'!M$14+'29F'!M$14+'29G'!M$14+'29H'!M$14+'32B'!$C23+'32C'!$C23+'32D'!$C23</f>
        <v>1472000</v>
      </c>
      <c r="N35" s="193">
        <f>'29A'!N$14+'29B'!N$14+'29C'!N$14+'29D'!N$14+'29E'!N$14+'29F'!N$14+'29G'!N$14+'29H'!N$14+'32B'!$C24+'32C'!$C24+'32D'!$C24</f>
        <v>640000</v>
      </c>
      <c r="O35" s="193">
        <f>'29A'!O$14+'29B'!O$14+'29C'!O$14+'29D'!O$14+'29E'!O$14+'29F'!O$14+'29G'!O$14+'29H'!O$14+'32B'!$C25+'32C'!$C25+'32D'!$C25</f>
        <v>844000</v>
      </c>
      <c r="P35" s="193">
        <f>'29A'!P$14+'29B'!P$14+'29C'!P$14+'29D'!P$14+'29E'!P$14+'29F'!P$14+'29G'!P$14+'29H'!P$14+'32B'!$C26+'32C'!$C26+'32D'!$C26</f>
        <v>5371000</v>
      </c>
      <c r="Q35" s="193">
        <f>'29A'!Q$14+'29B'!Q$14+'29C'!Q$14+'29D'!Q$14+'29E'!Q$14+'29F'!Q$14+'29G'!Q$14+'29H'!Q$14+'32B'!$C27+'32C'!$C27+'32D'!$C27</f>
        <v>5628000</v>
      </c>
      <c r="R35" s="193">
        <f>'29A'!R$14+'29B'!R$14+'29C'!R$14+'29D'!R$14+'29E'!R$14+'29F'!R$14+'29G'!R$14+'29H'!R$14+'32B'!$C28+'32C'!$C28+'32D'!$C28</f>
        <v>8421000</v>
      </c>
      <c r="S35" s="193">
        <f>'29A'!S$14+'29B'!S$14+'29C'!S$14+'29D'!S$14+'29E'!S$14+'29F'!S$14+'29G'!S$14+'29H'!S$14+'32B'!$C29+'32C'!$C29+'32D'!$C29</f>
        <v>6295000</v>
      </c>
      <c r="T35" s="193">
        <f>'29A'!T$14+'29B'!T$14+'29C'!T$14+'29D'!T$14+'29E'!T$14+'29F'!T$14+'29G'!T$14+'29H'!T$14+'32B'!$C30+'32C'!$C30+'32D'!$C30</f>
        <v>8364000</v>
      </c>
      <c r="U35" s="193">
        <f>'29A'!U$14+'29B'!U$14+'29C'!U$14+'29D'!U$14+'29E'!U$14+'29F'!U$14+'29G'!U$14+'29H'!U$14+'32B'!$C31+'32C'!$C31+'32D'!$C31</f>
        <v>6498000</v>
      </c>
      <c r="V35" s="193">
        <f>'29A'!V$14+'29B'!V$14+'29C'!V$14+'29D'!V$14+'29E'!V$14+'29F'!V$14+'29G'!V$14+'29H'!V$14+'32B'!$C32+'32C'!$C32+'32D'!$C32</f>
        <v>0</v>
      </c>
      <c r="W35" s="466">
        <f>SUM(B35:V35)</f>
        <v>169268398</v>
      </c>
      <c r="Y35" s="203"/>
    </row>
    <row r="36" spans="1:25" x14ac:dyDescent="0.35">
      <c r="A36" s="175" t="s">
        <v>724</v>
      </c>
      <c r="B36" s="631">
        <f>'34'!$C$14</f>
        <v>0</v>
      </c>
      <c r="C36" s="631">
        <f>'34'!$C$15</f>
        <v>1790750</v>
      </c>
      <c r="D36" s="466">
        <f>'34'!$C$16</f>
        <v>2022850</v>
      </c>
      <c r="E36" s="466">
        <f>'34'!$C$17</f>
        <v>2022850</v>
      </c>
      <c r="F36" s="466">
        <f>'34'!$C$18</f>
        <v>2022850</v>
      </c>
      <c r="G36" s="466">
        <f>'34'!$C$19</f>
        <v>2022850</v>
      </c>
      <c r="H36" s="466">
        <f>'34'!$C$20</f>
        <v>2022850</v>
      </c>
      <c r="I36" s="466">
        <f>'34'!$C$21</f>
        <v>2022850</v>
      </c>
      <c r="J36" s="466">
        <f>'34'!$C$22</f>
        <v>2022850</v>
      </c>
      <c r="K36" s="466">
        <f>'34'!$C$23</f>
        <v>2022850</v>
      </c>
      <c r="L36" s="466">
        <f>'34'!$C$24</f>
        <v>2022850</v>
      </c>
      <c r="M36" s="466">
        <f>'34'!$C$25</f>
        <v>2022850</v>
      </c>
      <c r="N36" s="466">
        <f>'34'!$C$26</f>
        <v>2022850</v>
      </c>
      <c r="O36" s="466">
        <f>'34'!$C$27</f>
        <v>2022850</v>
      </c>
      <c r="P36" s="466">
        <f>'34'!$C$28</f>
        <v>2022850</v>
      </c>
      <c r="Q36" s="466">
        <f>'34'!$C$29</f>
        <v>2022850</v>
      </c>
      <c r="R36" s="466">
        <f>'34'!$C$30</f>
        <v>2022850</v>
      </c>
      <c r="S36" s="466">
        <f>'34'!$C$31</f>
        <v>232100</v>
      </c>
      <c r="T36" s="466">
        <f>'34'!$C$32</f>
        <v>0</v>
      </c>
      <c r="U36" s="466">
        <f>'34'!$C$33</f>
        <v>0</v>
      </c>
      <c r="V36" s="466">
        <f>'34'!$C$34</f>
        <v>0</v>
      </c>
      <c r="W36" s="466">
        <f>SUM(B36:V36)</f>
        <v>32365600</v>
      </c>
      <c r="Y36" s="203"/>
    </row>
    <row r="37" spans="1:25" x14ac:dyDescent="0.35">
      <c r="A37" s="175" t="s">
        <v>725</v>
      </c>
      <c r="B37" s="466">
        <f>'33D'!B22+'33D'!B17</f>
        <v>0</v>
      </c>
      <c r="C37" s="466">
        <f>'33D'!C22+'33D'!C17</f>
        <v>0</v>
      </c>
      <c r="D37" s="466">
        <f>'33D'!D22+'33D'!D17</f>
        <v>0</v>
      </c>
      <c r="E37" s="466">
        <f>'33D'!E22+'33D'!E17</f>
        <v>0</v>
      </c>
      <c r="F37" s="466">
        <f>'33D'!F22+'33D'!F17</f>
        <v>0</v>
      </c>
      <c r="G37" s="466">
        <f>'33D'!G22+'33D'!G17</f>
        <v>0</v>
      </c>
      <c r="H37" s="466">
        <f>'33D'!H22+'33D'!H17</f>
        <v>0</v>
      </c>
      <c r="I37" s="466">
        <f>'33D'!I22+'33D'!I17</f>
        <v>0</v>
      </c>
      <c r="J37" s="466">
        <f>'33D'!J22+'33D'!J17</f>
        <v>0</v>
      </c>
      <c r="K37" s="466">
        <f>'33D'!K22+'33D'!K17</f>
        <v>0</v>
      </c>
      <c r="L37" s="466">
        <f>'33D'!L22+'33D'!L17</f>
        <v>0</v>
      </c>
      <c r="M37" s="466">
        <f>'33D'!M22+'33D'!M17</f>
        <v>0</v>
      </c>
      <c r="N37" s="466">
        <f>'33D'!N22+'33D'!N17</f>
        <v>0</v>
      </c>
      <c r="O37" s="466">
        <f>'33D'!O22+'33D'!O17</f>
        <v>0</v>
      </c>
      <c r="P37" s="466">
        <f>'33D'!P22+'33D'!P17</f>
        <v>0</v>
      </c>
      <c r="Q37" s="466">
        <f>'33D'!Q22+'33D'!Q17</f>
        <v>0</v>
      </c>
      <c r="R37" s="466">
        <f>'33D'!R22+'33D'!R17</f>
        <v>0</v>
      </c>
      <c r="S37" s="466">
        <f>'33D'!S22+'33D'!S17</f>
        <v>0</v>
      </c>
      <c r="T37" s="466">
        <f>'33D'!T22+'33D'!T17</f>
        <v>0</v>
      </c>
      <c r="U37" s="466">
        <f>'33D'!U22+'33D'!U17</f>
        <v>0</v>
      </c>
      <c r="V37" s="466">
        <f>'33D'!V22+'33D'!V17</f>
        <v>0</v>
      </c>
      <c r="W37" s="466">
        <f>SUM(B37:V37)</f>
        <v>0</v>
      </c>
      <c r="Y37" s="203"/>
    </row>
    <row r="38" spans="1:25" x14ac:dyDescent="0.35">
      <c r="A38" s="180"/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Y38" s="203"/>
    </row>
    <row r="39" spans="1:25" x14ac:dyDescent="0.35">
      <c r="A39" t="s">
        <v>447</v>
      </c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</row>
    <row r="40" spans="1:25" x14ac:dyDescent="0.35">
      <c r="A40" s="177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</row>
    <row r="41" spans="1:25" x14ac:dyDescent="0.35">
      <c r="A41" s="198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</row>
    <row r="42" spans="1:25" x14ac:dyDescent="0.35">
      <c r="A42" s="177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</row>
    <row r="43" spans="1:25" x14ac:dyDescent="0.35">
      <c r="A43" s="198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</row>
    <row r="44" spans="1:25" x14ac:dyDescent="0.35">
      <c r="A44" s="177"/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</row>
    <row r="45" spans="1:25" x14ac:dyDescent="0.35">
      <c r="A45" s="177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</row>
    <row r="46" spans="1:25" x14ac:dyDescent="0.35">
      <c r="A46" s="177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</row>
    <row r="47" spans="1:25" x14ac:dyDescent="0.35">
      <c r="A47" s="177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</row>
    <row r="48" spans="1:25" x14ac:dyDescent="0.35">
      <c r="A48" s="177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</row>
    <row r="49" spans="1:23" x14ac:dyDescent="0.35">
      <c r="A49" s="177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</row>
    <row r="50" spans="1:23" x14ac:dyDescent="0.35">
      <c r="A50" s="177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</row>
    <row r="51" spans="1:23" x14ac:dyDescent="0.35">
      <c r="A51" s="177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</row>
    <row r="52" spans="1:23" x14ac:dyDescent="0.35">
      <c r="A52" s="177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</row>
    <row r="53" spans="1:23" x14ac:dyDescent="0.35">
      <c r="A53" s="177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</row>
    <row r="54" spans="1:23" x14ac:dyDescent="0.35">
      <c r="A54" s="177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</row>
    <row r="55" spans="1:23" x14ac:dyDescent="0.35">
      <c r="A55" s="177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</row>
    <row r="56" spans="1:23" x14ac:dyDescent="0.35">
      <c r="A56" s="177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</row>
    <row r="57" spans="1:23" x14ac:dyDescent="0.35">
      <c r="A57" s="177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</row>
    <row r="58" spans="1:23" x14ac:dyDescent="0.35">
      <c r="A58" s="177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</row>
    <row r="59" spans="1:23" x14ac:dyDescent="0.35">
      <c r="A59" s="177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</row>
    <row r="60" spans="1:23" x14ac:dyDescent="0.35">
      <c r="A60" s="177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</row>
    <row r="61" spans="1:23" x14ac:dyDescent="0.35">
      <c r="A61" s="177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</row>
    <row r="62" spans="1:23" x14ac:dyDescent="0.35">
      <c r="A62" s="177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</row>
    <row r="63" spans="1:23" x14ac:dyDescent="0.35">
      <c r="A63" s="177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</row>
    <row r="64" spans="1:23" x14ac:dyDescent="0.35">
      <c r="A64" s="177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</row>
    <row r="65" spans="1:22" x14ac:dyDescent="0.35">
      <c r="A65" s="177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</row>
    <row r="66" spans="1:22" x14ac:dyDescent="0.35">
      <c r="A66" s="177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</row>
    <row r="67" spans="1:22" x14ac:dyDescent="0.35">
      <c r="A67" s="177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</row>
    <row r="68" spans="1:22" x14ac:dyDescent="0.35">
      <c r="A68" s="177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</row>
    <row r="69" spans="1:22" x14ac:dyDescent="0.35">
      <c r="A69" s="177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</row>
    <row r="70" spans="1:22" x14ac:dyDescent="0.35">
      <c r="A70" s="177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</row>
    <row r="71" spans="1:22" x14ac:dyDescent="0.35">
      <c r="A71" s="177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</row>
    <row r="72" spans="1:22" x14ac:dyDescent="0.35">
      <c r="A72" s="177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</row>
    <row r="73" spans="1:22" x14ac:dyDescent="0.35">
      <c r="A73" s="177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</row>
    <row r="74" spans="1:22" x14ac:dyDescent="0.35">
      <c r="A74" s="177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</row>
    <row r="75" spans="1:22" x14ac:dyDescent="0.35">
      <c r="A75" s="177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</row>
    <row r="76" spans="1:22" x14ac:dyDescent="0.35">
      <c r="A76" s="177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</row>
    <row r="77" spans="1:22" x14ac:dyDescent="0.35">
      <c r="A77" s="177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</row>
    <row r="78" spans="1:22" x14ac:dyDescent="0.35">
      <c r="A78" s="177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</row>
    <row r="79" spans="1:22" x14ac:dyDescent="0.35">
      <c r="A79" s="177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</row>
    <row r="80" spans="1:22" x14ac:dyDescent="0.35">
      <c r="A80" s="177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</row>
    <row r="81" spans="1:22" x14ac:dyDescent="0.35">
      <c r="A81" s="177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</row>
    <row r="82" spans="1:22" x14ac:dyDescent="0.35">
      <c r="A82" s="177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</row>
    <row r="83" spans="1:22" x14ac:dyDescent="0.35">
      <c r="A83" s="177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</row>
    <row r="84" spans="1:22" x14ac:dyDescent="0.35">
      <c r="A84" s="177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</row>
    <row r="85" spans="1:22" x14ac:dyDescent="0.35">
      <c r="A85" s="177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</row>
    <row r="86" spans="1:22" x14ac:dyDescent="0.35">
      <c r="A86" s="177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</row>
    <row r="87" spans="1:22" x14ac:dyDescent="0.35">
      <c r="A87" s="177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</row>
    <row r="88" spans="1:22" x14ac:dyDescent="0.35">
      <c r="A88" s="177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</row>
    <row r="89" spans="1:22" x14ac:dyDescent="0.35">
      <c r="A89" s="177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</row>
  </sheetData>
  <sheetProtection objects="1"/>
  <mergeCells count="2">
    <mergeCell ref="B9:L9"/>
    <mergeCell ref="M9:W9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50" fitToWidth="2" orientation="landscape" horizontalDpi="300" verticalDpi="300" r:id="rId1"/>
  <headerFooter alignWithMargins="0"/>
  <colBreaks count="1" manualBreakCount="1">
    <brk id="12" max="38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4"/>
  <dimension ref="A1:Y88"/>
  <sheetViews>
    <sheetView view="pageBreakPreview" zoomScale="40" zoomScaleNormal="75" workbookViewId="0">
      <selection activeCell="F44" sqref="F44"/>
    </sheetView>
  </sheetViews>
  <sheetFormatPr defaultColWidth="12.54296875" defaultRowHeight="15.5" x14ac:dyDescent="0.35"/>
  <cols>
    <col min="1" max="1" width="66.1796875" style="168" customWidth="1"/>
    <col min="2" max="11" width="17.26953125" style="168" bestFit="1" customWidth="1"/>
    <col min="12" max="12" width="17.26953125" style="168" customWidth="1"/>
    <col min="13" max="22" width="17.26953125" style="168" bestFit="1" customWidth="1"/>
    <col min="23" max="23" width="17" style="168" bestFit="1" customWidth="1"/>
    <col min="24" max="16384" width="12.54296875" style="168"/>
  </cols>
  <sheetData>
    <row r="1" spans="1:25" x14ac:dyDescent="0.35">
      <c r="A1" s="369" t="str">
        <f>TECNOLOGIAS!A1</f>
        <v>Proponente: TransPolitécnica</v>
      </c>
    </row>
    <row r="2" spans="1:25" x14ac:dyDescent="0.35">
      <c r="A2" s="369" t="str">
        <f>TECNOLOGIAS!A2</f>
        <v>Área de Concessão: 5 (Cinco)</v>
      </c>
    </row>
    <row r="4" spans="1:25" ht="18" x14ac:dyDescent="0.4">
      <c r="A4" s="167" t="s">
        <v>497</v>
      </c>
    </row>
    <row r="5" spans="1:25" x14ac:dyDescent="0.35">
      <c r="B5" s="297"/>
    </row>
    <row r="6" spans="1:25" x14ac:dyDescent="0.35">
      <c r="A6" s="205" t="s">
        <v>727</v>
      </c>
      <c r="B6" s="203"/>
    </row>
    <row r="7" spans="1:25" x14ac:dyDescent="0.35">
      <c r="A7" s="187" t="s">
        <v>293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</row>
    <row r="8" spans="1:25" ht="16" thickBot="1" x14ac:dyDescent="0.4">
      <c r="A8" s="186"/>
    </row>
    <row r="9" spans="1:25" ht="16" thickBot="1" x14ac:dyDescent="0.4">
      <c r="A9" s="467"/>
      <c r="B9" s="678" t="s">
        <v>295</v>
      </c>
      <c r="C9" s="679"/>
      <c r="D9" s="679"/>
      <c r="E9" s="679"/>
      <c r="F9" s="679"/>
      <c r="G9" s="679"/>
      <c r="H9" s="679"/>
      <c r="I9" s="679"/>
      <c r="J9" s="679"/>
      <c r="K9" s="679"/>
      <c r="L9" s="680"/>
      <c r="M9" s="678" t="s">
        <v>295</v>
      </c>
      <c r="N9" s="679"/>
      <c r="O9" s="679"/>
      <c r="P9" s="679"/>
      <c r="Q9" s="679"/>
      <c r="R9" s="679"/>
      <c r="S9" s="679"/>
      <c r="T9" s="679"/>
      <c r="U9" s="679"/>
      <c r="V9" s="679"/>
      <c r="W9" s="680"/>
    </row>
    <row r="10" spans="1:25" x14ac:dyDescent="0.35">
      <c r="A10" s="464" t="s">
        <v>294</v>
      </c>
      <c r="B10" s="271" t="s">
        <v>372</v>
      </c>
      <c r="C10" s="272" t="s">
        <v>372</v>
      </c>
      <c r="D10" s="272" t="s">
        <v>372</v>
      </c>
      <c r="E10" s="272" t="s">
        <v>372</v>
      </c>
      <c r="F10" s="272" t="s">
        <v>372</v>
      </c>
      <c r="G10" s="272" t="s">
        <v>372</v>
      </c>
      <c r="H10" s="272" t="s">
        <v>372</v>
      </c>
      <c r="I10" s="272" t="s">
        <v>372</v>
      </c>
      <c r="J10" s="272" t="s">
        <v>372</v>
      </c>
      <c r="K10" s="272" t="s">
        <v>372</v>
      </c>
      <c r="L10" s="272" t="s">
        <v>372</v>
      </c>
      <c r="M10" s="272" t="s">
        <v>372</v>
      </c>
      <c r="N10" s="272" t="s">
        <v>372</v>
      </c>
      <c r="O10" s="272" t="s">
        <v>372</v>
      </c>
      <c r="P10" s="272" t="s">
        <v>372</v>
      </c>
      <c r="Q10" s="272" t="s">
        <v>372</v>
      </c>
      <c r="R10" s="272" t="s">
        <v>372</v>
      </c>
      <c r="S10" s="272" t="s">
        <v>372</v>
      </c>
      <c r="T10" s="272" t="s">
        <v>372</v>
      </c>
      <c r="U10" s="272" t="s">
        <v>372</v>
      </c>
      <c r="V10" s="272" t="s">
        <v>372</v>
      </c>
      <c r="W10" s="272" t="s">
        <v>59</v>
      </c>
    </row>
    <row r="11" spans="1:25" ht="16" thickBot="1" x14ac:dyDescent="0.4">
      <c r="A11" s="179"/>
      <c r="B11" s="361" t="s">
        <v>413</v>
      </c>
      <c r="C11" s="191">
        <v>1</v>
      </c>
      <c r="D11" s="191">
        <v>2</v>
      </c>
      <c r="E11" s="191">
        <v>3</v>
      </c>
      <c r="F11" s="191">
        <v>4</v>
      </c>
      <c r="G11" s="191">
        <v>5</v>
      </c>
      <c r="H11" s="191">
        <v>6</v>
      </c>
      <c r="I11" s="191">
        <v>7</v>
      </c>
      <c r="J11" s="191">
        <v>8</v>
      </c>
      <c r="K11" s="191">
        <v>9</v>
      </c>
      <c r="L11" s="191">
        <v>10</v>
      </c>
      <c r="M11" s="191">
        <v>11</v>
      </c>
      <c r="N11" s="191">
        <v>12</v>
      </c>
      <c r="O11" s="191">
        <v>13</v>
      </c>
      <c r="P11" s="191">
        <v>14</v>
      </c>
      <c r="Q11" s="191">
        <v>15</v>
      </c>
      <c r="R11" s="191">
        <v>16</v>
      </c>
      <c r="S11" s="191">
        <v>17</v>
      </c>
      <c r="T11" s="191">
        <v>18</v>
      </c>
      <c r="U11" s="191">
        <v>19</v>
      </c>
      <c r="V11" s="191">
        <v>20</v>
      </c>
      <c r="W11" s="191"/>
    </row>
    <row r="12" spans="1:25" x14ac:dyDescent="0.35">
      <c r="A12" s="180"/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</row>
    <row r="13" spans="1:25" x14ac:dyDescent="0.35">
      <c r="A13" s="201" t="s">
        <v>705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</row>
    <row r="14" spans="1:25" x14ac:dyDescent="0.35">
      <c r="A14" s="180"/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</row>
    <row r="15" spans="1:25" x14ac:dyDescent="0.35">
      <c r="A15" s="180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Y15" s="203"/>
    </row>
    <row r="16" spans="1:25" x14ac:dyDescent="0.35">
      <c r="A16" s="183" t="s">
        <v>747</v>
      </c>
      <c r="B16" s="193">
        <f t="shared" ref="B16:V16" si="0">SUM(B18:B20)</f>
        <v>0</v>
      </c>
      <c r="C16" s="193">
        <f t="shared" si="0"/>
        <v>1145140.42</v>
      </c>
      <c r="D16" s="193">
        <f t="shared" si="0"/>
        <v>1292280.08</v>
      </c>
      <c r="E16" s="193">
        <f t="shared" si="0"/>
        <v>1317812.26</v>
      </c>
      <c r="F16" s="193">
        <f t="shared" si="0"/>
        <v>1344344.44</v>
      </c>
      <c r="G16" s="193">
        <f t="shared" si="0"/>
        <v>1377608.21</v>
      </c>
      <c r="H16" s="193">
        <f t="shared" si="0"/>
        <v>1400140.3900000001</v>
      </c>
      <c r="I16" s="193">
        <f t="shared" si="0"/>
        <v>1415906.4100000001</v>
      </c>
      <c r="J16" s="193">
        <f t="shared" si="0"/>
        <v>1435672.43</v>
      </c>
      <c r="K16" s="193">
        <f t="shared" si="0"/>
        <v>1509303.27</v>
      </c>
      <c r="L16" s="193">
        <f t="shared" si="0"/>
        <v>1509303.27</v>
      </c>
      <c r="M16" s="193">
        <f t="shared" si="0"/>
        <v>1509303.27</v>
      </c>
      <c r="N16" s="193">
        <f t="shared" si="0"/>
        <v>1509303.27</v>
      </c>
      <c r="O16" s="193">
        <f t="shared" si="0"/>
        <v>1509303.27</v>
      </c>
      <c r="P16" s="193">
        <f t="shared" si="0"/>
        <v>1509303.27</v>
      </c>
      <c r="Q16" s="193">
        <f t="shared" si="0"/>
        <v>1509303.27</v>
      </c>
      <c r="R16" s="193">
        <f t="shared" si="0"/>
        <v>1509303.27</v>
      </c>
      <c r="S16" s="193">
        <f t="shared" si="0"/>
        <v>1513707.35</v>
      </c>
      <c r="T16" s="193">
        <f t="shared" si="0"/>
        <v>1513707.35</v>
      </c>
      <c r="U16" s="193">
        <f t="shared" si="0"/>
        <v>1513707.35</v>
      </c>
      <c r="V16" s="635">
        <f t="shared" si="0"/>
        <v>1513707.35</v>
      </c>
      <c r="W16" s="636">
        <f>SUM(C16:V16)</f>
        <v>28858160.200000003</v>
      </c>
      <c r="Y16" s="203"/>
    </row>
    <row r="17" spans="1:25" x14ac:dyDescent="0.35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Y17" s="203"/>
    </row>
    <row r="18" spans="1:25" x14ac:dyDescent="0.35">
      <c r="A18" s="183" t="s">
        <v>728</v>
      </c>
      <c r="B18" s="632"/>
      <c r="C18" s="632">
        <f>'36A'!B27+'36B'!B21+'36C'!B21+'36D'!B19+'36E'!B18+'36F'!B17</f>
        <v>532747.04999999993</v>
      </c>
      <c r="D18" s="632">
        <f>'36A'!C27+'36B'!C21+'36C'!C21+'36D'!C19+'36E'!C18+'36F'!C17</f>
        <v>652152.49</v>
      </c>
      <c r="E18" s="632">
        <f>'36A'!D27+'36B'!D21+'36C'!D21+'36D'!D19+'36E'!D18+'36F'!D17</f>
        <v>652152.49</v>
      </c>
      <c r="F18" s="632">
        <f>'36A'!E27+'36B'!E21+'36C'!E21+'36D'!E19+'36E'!E18+'36F'!E17</f>
        <v>652152.49</v>
      </c>
      <c r="G18" s="632">
        <f>'36A'!F27+'36B'!F21+'36C'!F21+'36D'!F19+'36E'!F18+'36F'!F17</f>
        <v>652152.49</v>
      </c>
      <c r="H18" s="632">
        <f>'36A'!G27+'36B'!G21+'36C'!G21+'36D'!G19+'36E'!G18+'36F'!G17</f>
        <v>652152.49</v>
      </c>
      <c r="I18" s="632">
        <f>'36A'!H27+'36B'!H21+'36C'!H21+'36D'!H19+'36E'!H18+'36F'!H17</f>
        <v>652152.49</v>
      </c>
      <c r="J18" s="632">
        <f>'36A'!I27+'36B'!I21+'36C'!I21+'36D'!I19+'36E'!I18+'36F'!I17</f>
        <v>652152.49</v>
      </c>
      <c r="K18" s="632">
        <f>'36A'!J27+'36B'!J21+'36C'!J21+'36D'!J19+'36E'!J18+'36F'!J17</f>
        <v>725783.33000000007</v>
      </c>
      <c r="L18" s="632">
        <f>'36A'!K27+'36B'!K21+'36C'!K21+'36D'!K19+'36E'!K18+'36F'!K17</f>
        <v>725783.33000000007</v>
      </c>
      <c r="M18" s="632">
        <f>'36A'!L27+'36B'!L21+'36C'!L21+'36D'!L19+'36E'!L18+'36F'!L17</f>
        <v>725783.33000000007</v>
      </c>
      <c r="N18" s="632">
        <f>'36A'!M27+'36B'!M21+'36C'!M21+'36D'!M19+'36E'!M18+'36F'!M17</f>
        <v>725783.33000000007</v>
      </c>
      <c r="O18" s="632">
        <f>'36A'!N27+'36B'!N21+'36C'!N21+'36D'!N19+'36E'!N18+'36F'!N17</f>
        <v>725783.33000000007</v>
      </c>
      <c r="P18" s="632">
        <f>'36A'!O27+'36B'!O21+'36C'!O21+'36D'!O19+'36E'!O18+'36F'!O17</f>
        <v>725783.33000000007</v>
      </c>
      <c r="Q18" s="632">
        <f>'36A'!P27+'36B'!P21+'36C'!P21+'36D'!P19+'36E'!P18+'36F'!P17</f>
        <v>725783.33000000007</v>
      </c>
      <c r="R18" s="632">
        <f>'36A'!Q27+'36B'!Q21+'36C'!Q21+'36D'!Q19+'36E'!Q18+'36F'!Q17</f>
        <v>725783.33000000007</v>
      </c>
      <c r="S18" s="632">
        <f>'36A'!R27+'36B'!R21+'36C'!R21+'36D'!R19+'36E'!R18+'36F'!R17</f>
        <v>730187.41</v>
      </c>
      <c r="T18" s="632">
        <f>'36A'!S27+'36B'!S21+'36C'!S21+'36D'!S19+'36E'!S18+'36F'!S17</f>
        <v>730187.41</v>
      </c>
      <c r="U18" s="632">
        <f>'36A'!T27+'36B'!T21+'36C'!T21+'36D'!T19+'36E'!T18+'36F'!T17</f>
        <v>730187.41</v>
      </c>
      <c r="V18" s="632">
        <f>'36A'!U27+'36B'!U21+'36C'!U21+'36D'!U19+'36E'!U18+'36F'!U17</f>
        <v>730187.41</v>
      </c>
      <c r="W18" s="632">
        <f>SUM(C18:V18)</f>
        <v>13824830.760000002</v>
      </c>
      <c r="Y18" s="203"/>
    </row>
    <row r="19" spans="1:25" s="359" customFormat="1" x14ac:dyDescent="0.35">
      <c r="A19" s="183" t="s">
        <v>730</v>
      </c>
      <c r="B19" s="632"/>
      <c r="C19" s="632">
        <f>'37A'!B26+'37B'!B23+'37C'!B18+'37D'!B17</f>
        <v>57393.37</v>
      </c>
      <c r="D19" s="632">
        <f>'37A'!C26+'37B'!C23+'37C'!C18+'37D'!C17</f>
        <v>85127.59</v>
      </c>
      <c r="E19" s="632">
        <f>'37A'!D26+'37B'!D23+'37C'!D18+'37D'!D17</f>
        <v>110659.76999999999</v>
      </c>
      <c r="F19" s="632">
        <f>'37A'!E26+'37B'!E23+'37C'!E18+'37D'!E17</f>
        <v>137191.94999999998</v>
      </c>
      <c r="G19" s="632">
        <f>'37A'!F26+'37B'!F23+'37C'!F18+'37D'!F17</f>
        <v>170455.72</v>
      </c>
      <c r="H19" s="632">
        <f>'37A'!G26+'37B'!G23+'37C'!G18+'37D'!G17</f>
        <v>192987.9</v>
      </c>
      <c r="I19" s="632">
        <f>'37A'!H26+'37B'!H23+'37C'!H18+'37D'!H17</f>
        <v>208753.92000000001</v>
      </c>
      <c r="J19" s="632">
        <f>'37A'!I26+'37B'!I23+'37C'!I18+'37D'!I17</f>
        <v>228519.94</v>
      </c>
      <c r="K19" s="632">
        <f>'37A'!J26+'37B'!J23+'37C'!J18+'37D'!J17</f>
        <v>228519.94</v>
      </c>
      <c r="L19" s="632">
        <f>'37A'!K26+'37B'!K23+'37C'!K18+'37D'!K17</f>
        <v>228519.94</v>
      </c>
      <c r="M19" s="632">
        <f>'37A'!L26+'37B'!L23+'37C'!L18+'37D'!L17</f>
        <v>228519.94</v>
      </c>
      <c r="N19" s="632">
        <f>'37A'!M26+'37B'!M23+'37C'!M18+'37D'!M17</f>
        <v>228519.94</v>
      </c>
      <c r="O19" s="632">
        <f>'37A'!N26+'37B'!N23+'37C'!N18+'37D'!N17</f>
        <v>228519.94</v>
      </c>
      <c r="P19" s="632">
        <f>'37A'!O26+'37B'!O23+'37C'!O18+'37D'!O17</f>
        <v>228519.94</v>
      </c>
      <c r="Q19" s="632">
        <f>'37A'!P26+'37B'!P23+'37C'!P18+'37D'!P17</f>
        <v>228519.94</v>
      </c>
      <c r="R19" s="632">
        <f>'37A'!Q26+'37B'!Q23+'37C'!Q18+'37D'!Q17</f>
        <v>228519.94</v>
      </c>
      <c r="S19" s="632">
        <f>'37A'!R26+'37B'!R23+'37C'!R18+'37D'!R17</f>
        <v>228519.94</v>
      </c>
      <c r="T19" s="632">
        <f>'37A'!S26+'37B'!S23+'37C'!S18+'37D'!S17</f>
        <v>228519.94</v>
      </c>
      <c r="U19" s="632">
        <f>'37A'!T26+'37B'!T23+'37C'!T18+'37D'!T17</f>
        <v>228519.94</v>
      </c>
      <c r="V19" s="632">
        <f>'37A'!U26+'37B'!U23+'37C'!U18+'37D'!U17</f>
        <v>228519.94</v>
      </c>
      <c r="W19" s="632">
        <f>SUM(C19:V19)</f>
        <v>3933329.4399999995</v>
      </c>
      <c r="Y19" s="360"/>
    </row>
    <row r="20" spans="1:25" x14ac:dyDescent="0.35">
      <c r="A20" s="183" t="s">
        <v>729</v>
      </c>
      <c r="B20" s="637"/>
      <c r="C20" s="637">
        <f t="shared" ref="C20:V20" si="1">6*92500</f>
        <v>555000</v>
      </c>
      <c r="D20" s="637">
        <f t="shared" si="1"/>
        <v>555000</v>
      </c>
      <c r="E20" s="637">
        <f t="shared" si="1"/>
        <v>555000</v>
      </c>
      <c r="F20" s="637">
        <f t="shared" si="1"/>
        <v>555000</v>
      </c>
      <c r="G20" s="637">
        <f t="shared" si="1"/>
        <v>555000</v>
      </c>
      <c r="H20" s="637">
        <f t="shared" si="1"/>
        <v>555000</v>
      </c>
      <c r="I20" s="637">
        <f t="shared" si="1"/>
        <v>555000</v>
      </c>
      <c r="J20" s="637">
        <f t="shared" si="1"/>
        <v>555000</v>
      </c>
      <c r="K20" s="637">
        <f t="shared" si="1"/>
        <v>555000</v>
      </c>
      <c r="L20" s="637">
        <f t="shared" si="1"/>
        <v>555000</v>
      </c>
      <c r="M20" s="637">
        <f t="shared" si="1"/>
        <v>555000</v>
      </c>
      <c r="N20" s="637">
        <f t="shared" si="1"/>
        <v>555000</v>
      </c>
      <c r="O20" s="637">
        <f t="shared" si="1"/>
        <v>555000</v>
      </c>
      <c r="P20" s="637">
        <f t="shared" si="1"/>
        <v>555000</v>
      </c>
      <c r="Q20" s="637">
        <f t="shared" si="1"/>
        <v>555000</v>
      </c>
      <c r="R20" s="637">
        <f t="shared" si="1"/>
        <v>555000</v>
      </c>
      <c r="S20" s="637">
        <f t="shared" si="1"/>
        <v>555000</v>
      </c>
      <c r="T20" s="637">
        <f t="shared" si="1"/>
        <v>555000</v>
      </c>
      <c r="U20" s="637">
        <f t="shared" si="1"/>
        <v>555000</v>
      </c>
      <c r="V20" s="637">
        <f t="shared" si="1"/>
        <v>555000</v>
      </c>
      <c r="W20" s="632">
        <f>SUM(C20:V20)</f>
        <v>11100000</v>
      </c>
      <c r="Y20" s="203"/>
    </row>
    <row r="21" spans="1:25" x14ac:dyDescent="0.35">
      <c r="A21" s="180"/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Y21" s="203"/>
    </row>
    <row r="22" spans="1:25" x14ac:dyDescent="0.35">
      <c r="A22" s="183" t="s">
        <v>708</v>
      </c>
      <c r="B22" s="193">
        <f>B24</f>
        <v>0</v>
      </c>
      <c r="C22" s="193">
        <f t="shared" ref="C22:V22" si="2">C24</f>
        <v>4351.5335959999993</v>
      </c>
      <c r="D22" s="193">
        <f t="shared" si="2"/>
        <v>4910.6643039999999</v>
      </c>
      <c r="E22" s="193">
        <f t="shared" si="2"/>
        <v>5007.6865879999996</v>
      </c>
      <c r="F22" s="193">
        <f t="shared" si="2"/>
        <v>5108.5088719999994</v>
      </c>
      <c r="G22" s="193">
        <f t="shared" si="2"/>
        <v>5234.9111979999998</v>
      </c>
      <c r="H22" s="193">
        <f t="shared" si="2"/>
        <v>5320.5334820000007</v>
      </c>
      <c r="I22" s="193">
        <f t="shared" si="2"/>
        <v>5380.4443580000006</v>
      </c>
      <c r="J22" s="193">
        <f t="shared" si="2"/>
        <v>5455.5552339999995</v>
      </c>
      <c r="K22" s="193">
        <f t="shared" si="2"/>
        <v>5735.3524260000004</v>
      </c>
      <c r="L22" s="193">
        <f t="shared" si="2"/>
        <v>5735.3524260000004</v>
      </c>
      <c r="M22" s="193">
        <f t="shared" si="2"/>
        <v>5735.3524260000004</v>
      </c>
      <c r="N22" s="193">
        <f t="shared" si="2"/>
        <v>5735.3524260000004</v>
      </c>
      <c r="O22" s="193">
        <f t="shared" si="2"/>
        <v>5735.3524260000004</v>
      </c>
      <c r="P22" s="193">
        <f t="shared" si="2"/>
        <v>5735.3524260000004</v>
      </c>
      <c r="Q22" s="193">
        <f t="shared" si="2"/>
        <v>5735.3524260000004</v>
      </c>
      <c r="R22" s="193">
        <f t="shared" si="2"/>
        <v>5735.3524260000004</v>
      </c>
      <c r="S22" s="193">
        <f t="shared" si="2"/>
        <v>5752.0879300000006</v>
      </c>
      <c r="T22" s="193">
        <f t="shared" si="2"/>
        <v>5752.0879300000006</v>
      </c>
      <c r="U22" s="193">
        <f t="shared" si="2"/>
        <v>5752.0879300000006</v>
      </c>
      <c r="V22" s="635">
        <f t="shared" si="2"/>
        <v>5752.0879300000006</v>
      </c>
      <c r="W22" s="636">
        <f>SUM(C22:V22)</f>
        <v>109661.00875999995</v>
      </c>
      <c r="Y22" s="203"/>
    </row>
    <row r="23" spans="1:25" x14ac:dyDescent="0.35">
      <c r="A23" s="180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Y23" s="203"/>
    </row>
    <row r="24" spans="1:25" x14ac:dyDescent="0.35">
      <c r="A24" s="475" t="s">
        <v>711</v>
      </c>
      <c r="B24" s="471">
        <f>SUM(B25:B26)</f>
        <v>0</v>
      </c>
      <c r="C24" s="471">
        <f t="shared" ref="C24:V24" si="3">SUM(C25:C26)</f>
        <v>4351.5335959999993</v>
      </c>
      <c r="D24" s="471">
        <f t="shared" si="3"/>
        <v>4910.6643039999999</v>
      </c>
      <c r="E24" s="471">
        <f t="shared" si="3"/>
        <v>5007.6865879999996</v>
      </c>
      <c r="F24" s="471">
        <f t="shared" si="3"/>
        <v>5108.5088719999994</v>
      </c>
      <c r="G24" s="471">
        <f t="shared" si="3"/>
        <v>5234.9111979999998</v>
      </c>
      <c r="H24" s="471">
        <f t="shared" si="3"/>
        <v>5320.5334820000007</v>
      </c>
      <c r="I24" s="471">
        <f t="shared" si="3"/>
        <v>5380.4443580000006</v>
      </c>
      <c r="J24" s="471">
        <f t="shared" si="3"/>
        <v>5455.5552339999995</v>
      </c>
      <c r="K24" s="471">
        <f t="shared" si="3"/>
        <v>5735.3524260000004</v>
      </c>
      <c r="L24" s="471">
        <f t="shared" si="3"/>
        <v>5735.3524260000004</v>
      </c>
      <c r="M24" s="471">
        <f t="shared" si="3"/>
        <v>5735.3524260000004</v>
      </c>
      <c r="N24" s="471">
        <f t="shared" si="3"/>
        <v>5735.3524260000004</v>
      </c>
      <c r="O24" s="471">
        <f t="shared" si="3"/>
        <v>5735.3524260000004</v>
      </c>
      <c r="P24" s="471">
        <f t="shared" si="3"/>
        <v>5735.3524260000004</v>
      </c>
      <c r="Q24" s="471">
        <f t="shared" si="3"/>
        <v>5735.3524260000004</v>
      </c>
      <c r="R24" s="471">
        <f t="shared" si="3"/>
        <v>5735.3524260000004</v>
      </c>
      <c r="S24" s="471">
        <f t="shared" si="3"/>
        <v>5752.0879300000006</v>
      </c>
      <c r="T24" s="471">
        <f t="shared" si="3"/>
        <v>5752.0879300000006</v>
      </c>
      <c r="U24" s="471">
        <f t="shared" si="3"/>
        <v>5752.0879300000006</v>
      </c>
      <c r="V24" s="471">
        <f t="shared" si="3"/>
        <v>5752.0879300000006</v>
      </c>
      <c r="W24" s="638">
        <f>SUM(C24:V24)</f>
        <v>109661.00875999995</v>
      </c>
      <c r="Y24" s="203"/>
    </row>
    <row r="25" spans="1:25" x14ac:dyDescent="0.35">
      <c r="A25" s="476" t="s">
        <v>709</v>
      </c>
      <c r="B25" s="473">
        <f>'41A'!B13+'41B'!B13</f>
        <v>0</v>
      </c>
      <c r="C25" s="471">
        <f>'41A'!C13+'41B'!C13</f>
        <v>0</v>
      </c>
      <c r="D25" s="472">
        <f>'41A'!D13+'41B'!D13</f>
        <v>0</v>
      </c>
      <c r="E25" s="472">
        <f>'41A'!E13+'41B'!E13</f>
        <v>0</v>
      </c>
      <c r="F25" s="472">
        <f>'41A'!F13+'41B'!F13</f>
        <v>0</v>
      </c>
      <c r="G25" s="472">
        <f>'41A'!G13+'41B'!G13</f>
        <v>0</v>
      </c>
      <c r="H25" s="472">
        <f>'41A'!H13+'41B'!H13</f>
        <v>0</v>
      </c>
      <c r="I25" s="472">
        <f>'41A'!I13+'41B'!I13</f>
        <v>0</v>
      </c>
      <c r="J25" s="472">
        <f>'41A'!J13+'41B'!J13</f>
        <v>0</v>
      </c>
      <c r="K25" s="472">
        <f>'41A'!K13+'41B'!K13</f>
        <v>0</v>
      </c>
      <c r="L25" s="472">
        <f>'41A'!L13+'41B'!L13</f>
        <v>0</v>
      </c>
      <c r="M25" s="472">
        <f>'41A'!M13+'41B'!M13</f>
        <v>0</v>
      </c>
      <c r="N25" s="472">
        <f>'41A'!N13+'41B'!N13</f>
        <v>0</v>
      </c>
      <c r="O25" s="472">
        <f>'41A'!O13+'41B'!O13</f>
        <v>0</v>
      </c>
      <c r="P25" s="472">
        <f>'41A'!P13+'41B'!P13</f>
        <v>0</v>
      </c>
      <c r="Q25" s="472">
        <f>'41A'!Q13+'41B'!Q13</f>
        <v>0</v>
      </c>
      <c r="R25" s="472">
        <f>'41A'!R13+'41B'!R13</f>
        <v>0</v>
      </c>
      <c r="S25" s="472">
        <f>'41A'!S13+'41B'!S13</f>
        <v>0</v>
      </c>
      <c r="T25" s="472">
        <f>'41A'!T13+'41B'!T13</f>
        <v>0</v>
      </c>
      <c r="U25" s="472">
        <f>'41A'!U13+'41B'!U13</f>
        <v>0</v>
      </c>
      <c r="V25" s="472">
        <f>'41A'!V13+'41B'!V13</f>
        <v>0</v>
      </c>
      <c r="W25" s="638">
        <f>SUM(C25:V25)</f>
        <v>0</v>
      </c>
      <c r="Y25" s="203"/>
    </row>
    <row r="26" spans="1:25" x14ac:dyDescent="0.35">
      <c r="A26" s="183" t="s">
        <v>710</v>
      </c>
      <c r="B26" s="474">
        <f>0.38%*B16</f>
        <v>0</v>
      </c>
      <c r="C26" s="474">
        <f t="shared" ref="C26:V26" si="4">0.38%*C16</f>
        <v>4351.5335959999993</v>
      </c>
      <c r="D26" s="474">
        <f t="shared" si="4"/>
        <v>4910.6643039999999</v>
      </c>
      <c r="E26" s="474">
        <f t="shared" si="4"/>
        <v>5007.6865879999996</v>
      </c>
      <c r="F26" s="474">
        <f t="shared" si="4"/>
        <v>5108.5088719999994</v>
      </c>
      <c r="G26" s="474">
        <f t="shared" si="4"/>
        <v>5234.9111979999998</v>
      </c>
      <c r="H26" s="474">
        <f t="shared" si="4"/>
        <v>5320.5334820000007</v>
      </c>
      <c r="I26" s="474">
        <f t="shared" si="4"/>
        <v>5380.4443580000006</v>
      </c>
      <c r="J26" s="474">
        <f t="shared" si="4"/>
        <v>5455.5552339999995</v>
      </c>
      <c r="K26" s="474">
        <f t="shared" si="4"/>
        <v>5735.3524260000004</v>
      </c>
      <c r="L26" s="474">
        <f t="shared" si="4"/>
        <v>5735.3524260000004</v>
      </c>
      <c r="M26" s="474">
        <f t="shared" si="4"/>
        <v>5735.3524260000004</v>
      </c>
      <c r="N26" s="474">
        <f t="shared" si="4"/>
        <v>5735.3524260000004</v>
      </c>
      <c r="O26" s="474">
        <f t="shared" si="4"/>
        <v>5735.3524260000004</v>
      </c>
      <c r="P26" s="474">
        <f t="shared" si="4"/>
        <v>5735.3524260000004</v>
      </c>
      <c r="Q26" s="474">
        <f t="shared" si="4"/>
        <v>5735.3524260000004</v>
      </c>
      <c r="R26" s="474">
        <f t="shared" si="4"/>
        <v>5735.3524260000004</v>
      </c>
      <c r="S26" s="474">
        <f t="shared" si="4"/>
        <v>5752.0879300000006</v>
      </c>
      <c r="T26" s="474">
        <f t="shared" si="4"/>
        <v>5752.0879300000006</v>
      </c>
      <c r="U26" s="474">
        <f t="shared" si="4"/>
        <v>5752.0879300000006</v>
      </c>
      <c r="V26" s="474">
        <f t="shared" si="4"/>
        <v>5752.0879300000006</v>
      </c>
      <c r="W26" s="638">
        <f>SUM(B26:V26)</f>
        <v>109661.00875999995</v>
      </c>
      <c r="Y26" s="203"/>
    </row>
    <row r="27" spans="1:25" x14ac:dyDescent="0.35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Y27" s="203"/>
    </row>
    <row r="28" spans="1:25" ht="28.5" customHeight="1" x14ac:dyDescent="0.35">
      <c r="A28" s="463" t="s">
        <v>720</v>
      </c>
      <c r="B28" s="634">
        <v>125223.02339673386</v>
      </c>
      <c r="C28" s="634">
        <v>125223.02339673386</v>
      </c>
      <c r="D28" s="634">
        <v>125223.02339673386</v>
      </c>
      <c r="E28" s="634">
        <v>125223.02339673386</v>
      </c>
      <c r="F28" s="634">
        <v>125223.02339673386</v>
      </c>
      <c r="G28" s="634">
        <v>125223.02339673386</v>
      </c>
      <c r="H28" s="634">
        <v>125223.02339673386</v>
      </c>
      <c r="I28" s="634">
        <v>125223.02339673386</v>
      </c>
      <c r="J28" s="634">
        <v>125223.02339673386</v>
      </c>
      <c r="K28" s="634">
        <v>125223.02339673386</v>
      </c>
      <c r="L28" s="634">
        <v>125223.02339673386</v>
      </c>
      <c r="M28" s="634">
        <v>125223.02339673386</v>
      </c>
      <c r="N28" s="634">
        <v>125223.02339673386</v>
      </c>
      <c r="O28" s="634">
        <v>125223.02339673386</v>
      </c>
      <c r="P28" s="634">
        <v>125223.02339673386</v>
      </c>
      <c r="Q28" s="634">
        <v>125223.02339673386</v>
      </c>
      <c r="R28" s="634">
        <v>125223.02339673386</v>
      </c>
      <c r="S28" s="634">
        <v>125223.02339673386</v>
      </c>
      <c r="T28" s="634">
        <v>125223.02339673386</v>
      </c>
      <c r="U28" s="634">
        <v>125223.02339673386</v>
      </c>
      <c r="V28" s="634">
        <v>125223.02339673386</v>
      </c>
      <c r="W28" s="636">
        <f>SUM(C28:V28)</f>
        <v>2504460.4679346774</v>
      </c>
      <c r="Y28" s="203"/>
    </row>
    <row r="29" spans="1:25" x14ac:dyDescent="0.3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Y29" s="203"/>
    </row>
    <row r="30" spans="1:25" x14ac:dyDescent="0.3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Y30" s="203"/>
    </row>
    <row r="31" spans="1:25" x14ac:dyDescent="0.35">
      <c r="A31" s="201" t="s">
        <v>722</v>
      </c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Y31" s="203"/>
    </row>
    <row r="32" spans="1:25" x14ac:dyDescent="0.3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Y32" s="203"/>
    </row>
    <row r="33" spans="1:25" x14ac:dyDescent="0.35">
      <c r="A33" s="183" t="s">
        <v>748</v>
      </c>
      <c r="B33" s="466">
        <f t="shared" ref="B33:V33" si="5">SUM(B35:B36)</f>
        <v>1340395</v>
      </c>
      <c r="C33" s="466">
        <f t="shared" si="5"/>
        <v>282790</v>
      </c>
      <c r="D33" s="466">
        <f t="shared" si="5"/>
        <v>0</v>
      </c>
      <c r="E33" s="466">
        <f t="shared" si="5"/>
        <v>0</v>
      </c>
      <c r="F33" s="466">
        <f t="shared" si="5"/>
        <v>0</v>
      </c>
      <c r="G33" s="466">
        <f t="shared" si="5"/>
        <v>0</v>
      </c>
      <c r="H33" s="466">
        <f t="shared" si="5"/>
        <v>0</v>
      </c>
      <c r="I33" s="466">
        <f t="shared" si="5"/>
        <v>280790</v>
      </c>
      <c r="J33" s="466">
        <f t="shared" si="5"/>
        <v>0</v>
      </c>
      <c r="K33" s="466">
        <f t="shared" si="5"/>
        <v>0</v>
      </c>
      <c r="L33" s="466">
        <f t="shared" si="5"/>
        <v>0</v>
      </c>
      <c r="M33" s="466">
        <f t="shared" si="5"/>
        <v>0</v>
      </c>
      <c r="N33" s="466">
        <f t="shared" si="5"/>
        <v>0</v>
      </c>
      <c r="O33" s="466">
        <f t="shared" si="5"/>
        <v>0</v>
      </c>
      <c r="P33" s="466">
        <f t="shared" si="5"/>
        <v>0</v>
      </c>
      <c r="Q33" s="466">
        <f t="shared" si="5"/>
        <v>0</v>
      </c>
      <c r="R33" s="466">
        <f t="shared" si="5"/>
        <v>0</v>
      </c>
      <c r="S33" s="466">
        <f t="shared" si="5"/>
        <v>0</v>
      </c>
      <c r="T33" s="466">
        <f t="shared" si="5"/>
        <v>0</v>
      </c>
      <c r="U33" s="466">
        <f t="shared" si="5"/>
        <v>0</v>
      </c>
      <c r="V33" s="466">
        <f t="shared" si="5"/>
        <v>0</v>
      </c>
      <c r="W33" s="466">
        <f>SUM(B33:V33)</f>
        <v>1903975</v>
      </c>
      <c r="Y33" s="203"/>
    </row>
    <row r="34" spans="1:25" x14ac:dyDescent="0.3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Y34" s="203"/>
    </row>
    <row r="35" spans="1:25" x14ac:dyDescent="0.35">
      <c r="A35" s="175" t="s">
        <v>723</v>
      </c>
      <c r="B35" s="193">
        <f>'40A'!B12+'40B'!B12</f>
        <v>1340395</v>
      </c>
      <c r="C35" s="193">
        <f>'40A'!C12+'40B'!C12</f>
        <v>282790</v>
      </c>
      <c r="D35" s="193">
        <f>'40A'!D12+'40B'!D12</f>
        <v>0</v>
      </c>
      <c r="E35" s="193">
        <f>'40A'!E12+'40B'!E12</f>
        <v>0</v>
      </c>
      <c r="F35" s="193">
        <f>'40A'!F12+'40B'!F12</f>
        <v>0</v>
      </c>
      <c r="G35" s="193">
        <f>'40A'!G12+'40B'!G12</f>
        <v>0</v>
      </c>
      <c r="H35" s="193">
        <f>'40A'!H12+'40B'!H12</f>
        <v>0</v>
      </c>
      <c r="I35" s="193">
        <f>'40A'!I12+'40B'!I12</f>
        <v>280790</v>
      </c>
      <c r="J35" s="193">
        <f>'40A'!J12+'40B'!J12</f>
        <v>0</v>
      </c>
      <c r="K35" s="193">
        <f>'40A'!K12+'40B'!K12</f>
        <v>0</v>
      </c>
      <c r="L35" s="193">
        <f>'40A'!L12+'40B'!L12</f>
        <v>0</v>
      </c>
      <c r="M35" s="193">
        <f>'40A'!M12+'40B'!M12</f>
        <v>0</v>
      </c>
      <c r="N35" s="193">
        <f>'40A'!N12+'40B'!N12</f>
        <v>0</v>
      </c>
      <c r="O35" s="193">
        <f>'40A'!O12+'40B'!O12</f>
        <v>0</v>
      </c>
      <c r="P35" s="193">
        <f>'40A'!P12+'40B'!P12</f>
        <v>0</v>
      </c>
      <c r="Q35" s="193">
        <f>'40A'!Q12+'40B'!Q12</f>
        <v>0</v>
      </c>
      <c r="R35" s="193">
        <f>'40A'!R12+'40B'!R12</f>
        <v>0</v>
      </c>
      <c r="S35" s="193">
        <f>'40A'!S12+'40B'!S12</f>
        <v>0</v>
      </c>
      <c r="T35" s="193">
        <f>'40A'!T12+'40B'!T12</f>
        <v>0</v>
      </c>
      <c r="U35" s="193">
        <f>'40A'!U12+'40B'!U12</f>
        <v>0</v>
      </c>
      <c r="V35" s="193">
        <f>'40A'!V12+'40B'!V12</f>
        <v>0</v>
      </c>
      <c r="W35" s="466">
        <f>SUM(B35:V35)</f>
        <v>1903975</v>
      </c>
      <c r="Y35" s="203"/>
    </row>
    <row r="36" spans="1:25" x14ac:dyDescent="0.35">
      <c r="A36" s="175" t="s">
        <v>724</v>
      </c>
      <c r="B36" s="466">
        <f>'41A'!B12+'41B'!B12</f>
        <v>0</v>
      </c>
      <c r="C36" s="466">
        <f>'41A'!C12+'41B'!C12</f>
        <v>0</v>
      </c>
      <c r="D36" s="466">
        <f>'41A'!D12+'41B'!D12</f>
        <v>0</v>
      </c>
      <c r="E36" s="466">
        <f>'41A'!E12+'41B'!E12</f>
        <v>0</v>
      </c>
      <c r="F36" s="466">
        <f>'41A'!F12+'41B'!F12</f>
        <v>0</v>
      </c>
      <c r="G36" s="466">
        <f>'41A'!G12+'41B'!G12</f>
        <v>0</v>
      </c>
      <c r="H36" s="466">
        <f>'41A'!H12+'41B'!H12</f>
        <v>0</v>
      </c>
      <c r="I36" s="466">
        <f>'41A'!I12+'41B'!I12</f>
        <v>0</v>
      </c>
      <c r="J36" s="466">
        <f>'41A'!J12+'41B'!J12</f>
        <v>0</v>
      </c>
      <c r="K36" s="466">
        <f>'41A'!K12+'41B'!K12</f>
        <v>0</v>
      </c>
      <c r="L36" s="466">
        <f>'41A'!L12+'41B'!L12</f>
        <v>0</v>
      </c>
      <c r="M36" s="466">
        <f>'41A'!M12+'41B'!M12</f>
        <v>0</v>
      </c>
      <c r="N36" s="466">
        <f>'41A'!N12+'41B'!N12</f>
        <v>0</v>
      </c>
      <c r="O36" s="466">
        <f>'41A'!O12+'41B'!O12</f>
        <v>0</v>
      </c>
      <c r="P36" s="466">
        <f>'41A'!P12+'41B'!P12</f>
        <v>0</v>
      </c>
      <c r="Q36" s="466">
        <f>'41A'!Q12+'41B'!Q12</f>
        <v>0</v>
      </c>
      <c r="R36" s="466">
        <f>'41A'!R12+'41B'!R12</f>
        <v>0</v>
      </c>
      <c r="S36" s="466">
        <f>'41A'!S12+'41B'!S12</f>
        <v>0</v>
      </c>
      <c r="T36" s="466">
        <f>'41A'!T12+'41B'!T12</f>
        <v>0</v>
      </c>
      <c r="U36" s="466">
        <f>'41A'!U12+'41B'!U12</f>
        <v>0</v>
      </c>
      <c r="V36" s="466">
        <f>'41A'!V12+'41B'!V12</f>
        <v>0</v>
      </c>
      <c r="W36" s="466">
        <f>SUM(B36:V36)</f>
        <v>0</v>
      </c>
      <c r="Y36" s="203"/>
    </row>
    <row r="37" spans="1:25" x14ac:dyDescent="0.35">
      <c r="A37" s="180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Y37" s="203"/>
    </row>
    <row r="38" spans="1:25" x14ac:dyDescent="0.35">
      <c r="A38" t="s">
        <v>447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</row>
    <row r="39" spans="1:25" x14ac:dyDescent="0.35">
      <c r="A39" s="177"/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</row>
    <row r="40" spans="1:25" x14ac:dyDescent="0.35">
      <c r="A40" s="198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</row>
    <row r="41" spans="1:25" x14ac:dyDescent="0.35">
      <c r="A41" s="177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</row>
    <row r="42" spans="1:25" x14ac:dyDescent="0.35">
      <c r="A42" s="198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</row>
    <row r="43" spans="1:25" x14ac:dyDescent="0.35">
      <c r="A43" s="177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</row>
    <row r="44" spans="1:25" x14ac:dyDescent="0.35">
      <c r="A44" s="177"/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</row>
    <row r="45" spans="1:25" x14ac:dyDescent="0.35">
      <c r="A45" s="177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</row>
    <row r="46" spans="1:25" x14ac:dyDescent="0.35">
      <c r="A46" s="177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</row>
    <row r="47" spans="1:25" x14ac:dyDescent="0.35">
      <c r="A47" s="177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</row>
    <row r="48" spans="1:25" x14ac:dyDescent="0.35">
      <c r="A48" s="177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</row>
    <row r="49" spans="1:23" x14ac:dyDescent="0.35">
      <c r="A49" s="177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</row>
    <row r="50" spans="1:23" x14ac:dyDescent="0.35">
      <c r="A50" s="177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</row>
    <row r="51" spans="1:23" x14ac:dyDescent="0.35">
      <c r="A51" s="177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</row>
    <row r="52" spans="1:23" x14ac:dyDescent="0.35">
      <c r="A52" s="177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</row>
    <row r="53" spans="1:23" x14ac:dyDescent="0.35">
      <c r="A53" s="177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</row>
    <row r="54" spans="1:23" x14ac:dyDescent="0.35">
      <c r="A54" s="177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</row>
    <row r="55" spans="1:23" x14ac:dyDescent="0.35">
      <c r="A55" s="177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</row>
    <row r="56" spans="1:23" x14ac:dyDescent="0.35">
      <c r="A56" s="177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</row>
    <row r="57" spans="1:23" x14ac:dyDescent="0.35">
      <c r="A57" s="177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</row>
    <row r="58" spans="1:23" x14ac:dyDescent="0.35">
      <c r="A58" s="177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</row>
    <row r="59" spans="1:23" x14ac:dyDescent="0.35">
      <c r="A59" s="177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</row>
    <row r="60" spans="1:23" x14ac:dyDescent="0.35">
      <c r="A60" s="177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</row>
    <row r="61" spans="1:23" x14ac:dyDescent="0.35">
      <c r="A61" s="177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</row>
    <row r="62" spans="1:23" x14ac:dyDescent="0.35">
      <c r="A62" s="177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</row>
    <row r="63" spans="1:23" x14ac:dyDescent="0.35">
      <c r="A63" s="177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</row>
    <row r="64" spans="1:23" x14ac:dyDescent="0.35">
      <c r="A64" s="177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</row>
    <row r="65" spans="1:22" x14ac:dyDescent="0.35">
      <c r="A65" s="177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</row>
    <row r="66" spans="1:22" x14ac:dyDescent="0.35">
      <c r="A66" s="177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</row>
    <row r="67" spans="1:22" x14ac:dyDescent="0.35">
      <c r="A67" s="177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</row>
    <row r="68" spans="1:22" x14ac:dyDescent="0.35">
      <c r="A68" s="177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</row>
    <row r="69" spans="1:22" x14ac:dyDescent="0.35">
      <c r="A69" s="177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</row>
    <row r="70" spans="1:22" x14ac:dyDescent="0.35">
      <c r="A70" s="177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</row>
    <row r="71" spans="1:22" x14ac:dyDescent="0.35">
      <c r="A71" s="177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</row>
    <row r="72" spans="1:22" x14ac:dyDescent="0.35">
      <c r="A72" s="177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</row>
    <row r="73" spans="1:22" x14ac:dyDescent="0.35">
      <c r="A73" s="177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</row>
    <row r="74" spans="1:22" x14ac:dyDescent="0.35">
      <c r="A74" s="177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</row>
    <row r="75" spans="1:22" x14ac:dyDescent="0.35">
      <c r="A75" s="177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</row>
    <row r="76" spans="1:22" x14ac:dyDescent="0.35">
      <c r="A76" s="177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</row>
    <row r="77" spans="1:22" x14ac:dyDescent="0.35">
      <c r="A77" s="177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</row>
    <row r="78" spans="1:22" x14ac:dyDescent="0.35">
      <c r="A78" s="177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</row>
    <row r="79" spans="1:22" x14ac:dyDescent="0.35">
      <c r="A79" s="177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</row>
    <row r="80" spans="1:22" x14ac:dyDescent="0.35">
      <c r="A80" s="177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</row>
    <row r="81" spans="1:22" x14ac:dyDescent="0.35">
      <c r="A81" s="177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</row>
    <row r="82" spans="1:22" x14ac:dyDescent="0.35">
      <c r="A82" s="177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</row>
    <row r="83" spans="1:22" x14ac:dyDescent="0.35">
      <c r="A83" s="177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</row>
    <row r="84" spans="1:22" x14ac:dyDescent="0.35">
      <c r="A84" s="177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</row>
    <row r="85" spans="1:22" x14ac:dyDescent="0.35">
      <c r="A85" s="177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</row>
    <row r="86" spans="1:22" x14ac:dyDescent="0.35">
      <c r="A86" s="177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</row>
    <row r="87" spans="1:22" x14ac:dyDescent="0.35">
      <c r="A87" s="177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</row>
    <row r="88" spans="1:22" x14ac:dyDescent="0.35">
      <c r="A88" s="177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</row>
  </sheetData>
  <sheetProtection objects="1"/>
  <mergeCells count="2">
    <mergeCell ref="B9:L9"/>
    <mergeCell ref="M9:W9"/>
  </mergeCells>
  <phoneticPr fontId="0" type="noConversion"/>
  <pageMargins left="0.51181102362204722" right="0" top="0.98425196850393704" bottom="0.98425196850393704" header="0.51181102362204722" footer="0.51181102362204722"/>
  <pageSetup paperSize="9" scale="50" fitToWidth="0" orientation="landscape" horizontalDpi="300" verticalDpi="300" r:id="rId1"/>
  <headerFooter alignWithMargins="0"/>
  <colBreaks count="1" manualBreakCount="1">
    <brk id="12" max="37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05"/>
  <dimension ref="A1:Y105"/>
  <sheetViews>
    <sheetView showGridLines="0" showZeros="0" defaultGridColor="0" view="pageBreakPreview" topLeftCell="B12" colorId="7" zoomScaleNormal="87" workbookViewId="0">
      <selection activeCell="C22" sqref="C22"/>
    </sheetView>
  </sheetViews>
  <sheetFormatPr defaultColWidth="12.54296875" defaultRowHeight="15.5" x14ac:dyDescent="0.35"/>
  <cols>
    <col min="1" max="1" width="84.7265625" style="168" customWidth="1"/>
    <col min="2" max="2" width="16.54296875" style="369" bestFit="1" customWidth="1"/>
    <col min="3" max="22" width="17.26953125" style="369" bestFit="1" customWidth="1"/>
    <col min="23" max="23" width="20.81640625" style="369" bestFit="1" customWidth="1"/>
    <col min="24" max="16384" width="12.54296875" style="168"/>
  </cols>
  <sheetData>
    <row r="1" spans="1:25" x14ac:dyDescent="0.35">
      <c r="A1" s="369" t="str">
        <f>TECNOLOGIAS!A1</f>
        <v>Proponente: TransPolitécnica</v>
      </c>
    </row>
    <row r="2" spans="1:25" x14ac:dyDescent="0.35">
      <c r="A2" s="369" t="str">
        <f>TECNOLOGIAS!A2</f>
        <v>Área de Concessão: 5 (Cinco)</v>
      </c>
    </row>
    <row r="4" spans="1:25" ht="18" x14ac:dyDescent="0.4">
      <c r="A4" s="167" t="s">
        <v>733</v>
      </c>
    </row>
    <row r="5" spans="1:25" x14ac:dyDescent="0.35">
      <c r="B5" s="646"/>
    </row>
    <row r="6" spans="1:25" x14ac:dyDescent="0.35">
      <c r="A6" s="185" t="s">
        <v>749</v>
      </c>
      <c r="B6" s="647"/>
    </row>
    <row r="7" spans="1:25" x14ac:dyDescent="0.35">
      <c r="A7" s="187" t="s">
        <v>293</v>
      </c>
      <c r="B7" s="647"/>
      <c r="C7" s="647"/>
      <c r="D7" s="647"/>
      <c r="E7" s="647"/>
      <c r="F7" s="647"/>
      <c r="G7" s="647"/>
      <c r="H7" s="647"/>
      <c r="I7" s="647"/>
      <c r="J7" s="647"/>
      <c r="K7" s="647"/>
      <c r="L7" s="647"/>
      <c r="M7" s="647"/>
      <c r="N7" s="647"/>
      <c r="O7" s="647"/>
      <c r="P7" s="647"/>
      <c r="Q7" s="647"/>
      <c r="R7" s="647"/>
      <c r="S7" s="647"/>
      <c r="T7" s="647"/>
      <c r="U7" s="647"/>
      <c r="V7" s="647"/>
    </row>
    <row r="8" spans="1:25" ht="16" thickBot="1" x14ac:dyDescent="0.4">
      <c r="A8" s="186"/>
    </row>
    <row r="9" spans="1:25" ht="16" thickBot="1" x14ac:dyDescent="0.4">
      <c r="A9" s="200"/>
      <c r="B9" s="707" t="s">
        <v>295</v>
      </c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7" t="s">
        <v>295</v>
      </c>
      <c r="N9" s="708"/>
      <c r="O9" s="708"/>
      <c r="P9" s="708"/>
      <c r="Q9" s="708"/>
      <c r="R9" s="708"/>
      <c r="S9" s="708"/>
      <c r="T9" s="708"/>
      <c r="U9" s="708"/>
      <c r="V9" s="708"/>
      <c r="W9" s="709"/>
    </row>
    <row r="10" spans="1:25" x14ac:dyDescent="0.35">
      <c r="A10" s="464" t="s">
        <v>294</v>
      </c>
      <c r="B10" s="648" t="s">
        <v>372</v>
      </c>
      <c r="C10" s="649" t="s">
        <v>372</v>
      </c>
      <c r="D10" s="649" t="s">
        <v>372</v>
      </c>
      <c r="E10" s="649" t="s">
        <v>372</v>
      </c>
      <c r="F10" s="649" t="s">
        <v>372</v>
      </c>
      <c r="G10" s="649" t="s">
        <v>372</v>
      </c>
      <c r="H10" s="649" t="s">
        <v>372</v>
      </c>
      <c r="I10" s="649" t="s">
        <v>372</v>
      </c>
      <c r="J10" s="649" t="s">
        <v>372</v>
      </c>
      <c r="K10" s="649" t="s">
        <v>372</v>
      </c>
      <c r="L10" s="649" t="s">
        <v>372</v>
      </c>
      <c r="M10" s="649" t="s">
        <v>372</v>
      </c>
      <c r="N10" s="649" t="s">
        <v>372</v>
      </c>
      <c r="O10" s="649" t="s">
        <v>372</v>
      </c>
      <c r="P10" s="649" t="s">
        <v>372</v>
      </c>
      <c r="Q10" s="649" t="s">
        <v>372</v>
      </c>
      <c r="R10" s="649" t="s">
        <v>372</v>
      </c>
      <c r="S10" s="649" t="s">
        <v>372</v>
      </c>
      <c r="T10" s="649" t="s">
        <v>372</v>
      </c>
      <c r="U10" s="649" t="s">
        <v>372</v>
      </c>
      <c r="V10" s="649" t="s">
        <v>372</v>
      </c>
      <c r="W10" s="649" t="s">
        <v>59</v>
      </c>
    </row>
    <row r="11" spans="1:25" ht="16" thickBot="1" x14ac:dyDescent="0.4">
      <c r="A11" s="179"/>
      <c r="B11" s="650" t="s">
        <v>413</v>
      </c>
      <c r="C11" s="290">
        <v>1</v>
      </c>
      <c r="D11" s="290">
        <v>2</v>
      </c>
      <c r="E11" s="290">
        <v>3</v>
      </c>
      <c r="F11" s="290">
        <v>4</v>
      </c>
      <c r="G11" s="290">
        <v>5</v>
      </c>
      <c r="H11" s="290">
        <v>6</v>
      </c>
      <c r="I11" s="290">
        <v>7</v>
      </c>
      <c r="J11" s="290">
        <v>8</v>
      </c>
      <c r="K11" s="290">
        <v>9</v>
      </c>
      <c r="L11" s="290">
        <v>10</v>
      </c>
      <c r="M11" s="290">
        <v>11</v>
      </c>
      <c r="N11" s="290">
        <v>12</v>
      </c>
      <c r="O11" s="290">
        <v>13</v>
      </c>
      <c r="P11" s="290">
        <v>14</v>
      </c>
      <c r="Q11" s="290">
        <v>15</v>
      </c>
      <c r="R11" s="290">
        <v>16</v>
      </c>
      <c r="S11" s="290">
        <v>17</v>
      </c>
      <c r="T11" s="290">
        <v>18</v>
      </c>
      <c r="U11" s="290">
        <v>19</v>
      </c>
      <c r="V11" s="290">
        <v>20</v>
      </c>
      <c r="W11" s="290"/>
    </row>
    <row r="12" spans="1:25" x14ac:dyDescent="0.3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</row>
    <row r="13" spans="1:25" x14ac:dyDescent="0.35">
      <c r="A13" s="201" t="s">
        <v>296</v>
      </c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</row>
    <row r="14" spans="1:25" x14ac:dyDescent="0.35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</row>
    <row r="15" spans="1:25" x14ac:dyDescent="0.35">
      <c r="A15" s="183" t="s">
        <v>302</v>
      </c>
      <c r="B15" s="639"/>
      <c r="C15" s="193">
        <f>'2'!$H15</f>
        <v>88836164.520000011</v>
      </c>
      <c r="D15" s="193">
        <f>'2'!$H16</f>
        <v>88836164.520000011</v>
      </c>
      <c r="E15" s="193">
        <f>'2'!$H17</f>
        <v>88836164.520000011</v>
      </c>
      <c r="F15" s="193">
        <f>'2'!$H18</f>
        <v>88836164.520000011</v>
      </c>
      <c r="G15" s="193">
        <f>'2'!$H19</f>
        <v>88836164.520000011</v>
      </c>
      <c r="H15" s="193">
        <f>'2'!$H20</f>
        <v>88836164.520000011</v>
      </c>
      <c r="I15" s="193">
        <f>'2'!$H21</f>
        <v>88836164.520000011</v>
      </c>
      <c r="J15" s="193">
        <f>'2'!$H22</f>
        <v>88836164.520000011</v>
      </c>
      <c r="K15" s="193">
        <f>'2'!$H23</f>
        <v>88836164.520000011</v>
      </c>
      <c r="L15" s="193">
        <f>'2'!$H24</f>
        <v>88836164.520000011</v>
      </c>
      <c r="M15" s="193">
        <f>'2'!$H25</f>
        <v>88836164.520000011</v>
      </c>
      <c r="N15" s="193">
        <f>'2'!$H26</f>
        <v>88836164.520000011</v>
      </c>
      <c r="O15" s="193">
        <f>'2'!$H27</f>
        <v>88836164.520000011</v>
      </c>
      <c r="P15" s="193">
        <f>'2'!$H28</f>
        <v>88836164.520000011</v>
      </c>
      <c r="Q15" s="193">
        <f>'2'!$H29</f>
        <v>88836164.520000011</v>
      </c>
      <c r="R15" s="193">
        <f>'2'!$H30</f>
        <v>88836164.520000011</v>
      </c>
      <c r="S15" s="193">
        <f>'2'!$H31</f>
        <v>88836164.520000011</v>
      </c>
      <c r="T15" s="193">
        <f>'2'!$H32</f>
        <v>88836164.520000011</v>
      </c>
      <c r="U15" s="193">
        <f>'2'!$H23</f>
        <v>88836164.520000011</v>
      </c>
      <c r="V15" s="193">
        <f>'2'!$H34</f>
        <v>88836164.520000011</v>
      </c>
      <c r="W15" s="466">
        <f>SUM(B15:V15)</f>
        <v>1776723290.3999999</v>
      </c>
      <c r="Y15" s="203"/>
    </row>
    <row r="16" spans="1:25" x14ac:dyDescent="0.35">
      <c r="A16" s="180"/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640"/>
      <c r="Y16" s="203"/>
    </row>
    <row r="17" spans="1:25" x14ac:dyDescent="0.35">
      <c r="A17" s="183" t="s">
        <v>712</v>
      </c>
      <c r="B17" s="193"/>
      <c r="C17" s="193">
        <f ca="1">'44'!C16+'43'!C16</f>
        <v>80203619.049999997</v>
      </c>
      <c r="D17" s="193">
        <f ca="1">'44'!D16+'43'!D16</f>
        <v>82705557.840000004</v>
      </c>
      <c r="E17" s="193">
        <f ca="1">'44'!E16+'43'!E16</f>
        <v>83971261.590000018</v>
      </c>
      <c r="F17" s="193">
        <f ca="1">'44'!F16+'43'!F16</f>
        <v>85538749.99000001</v>
      </c>
      <c r="G17" s="193">
        <f ca="1">'44'!G16+'43'!G16</f>
        <v>87722586.560000002</v>
      </c>
      <c r="H17" s="193">
        <f ca="1">'44'!H16+'43'!H16</f>
        <v>84224878.560000002</v>
      </c>
      <c r="I17" s="193">
        <f ca="1">'44'!I16+'43'!I16</f>
        <v>86272766.570000008</v>
      </c>
      <c r="J17" s="193">
        <f ca="1">'44'!J16+'43'!J16</f>
        <v>88363141.420000017</v>
      </c>
      <c r="K17" s="193">
        <f ca="1">'44'!K16+'43'!K16</f>
        <v>90009065.410000011</v>
      </c>
      <c r="L17" s="193">
        <f ca="1">'44'!L16+'43'!L16</f>
        <v>90009065.410000011</v>
      </c>
      <c r="M17" s="193">
        <f ca="1">'44'!M16+'43'!M16</f>
        <v>88295788.410000011</v>
      </c>
      <c r="N17" s="193">
        <f ca="1">'44'!N16+'43'!N16</f>
        <v>86758647.410000011</v>
      </c>
      <c r="O17" s="193">
        <f ca="1">'44'!O16+'43'!O16</f>
        <v>85809420.410000011</v>
      </c>
      <c r="P17" s="193">
        <f ca="1">'44'!P16+'43'!P16</f>
        <v>84719057.410000011</v>
      </c>
      <c r="Q17" s="193">
        <f ca="1">'44'!Q16+'43'!Q16</f>
        <v>83789833.410000011</v>
      </c>
      <c r="R17" s="193">
        <f ca="1">'44'!R16+'43'!R16</f>
        <v>83131530.410000011</v>
      </c>
      <c r="S17" s="193">
        <f ca="1">'44'!S16+'43'!S16</f>
        <v>82523910.49000001</v>
      </c>
      <c r="T17" s="193">
        <f ca="1">'44'!T16+'43'!T16</f>
        <v>81933554.49000001</v>
      </c>
      <c r="U17" s="193">
        <f ca="1">'44'!U16+'43'!U16</f>
        <v>81377554.49000001</v>
      </c>
      <c r="V17" s="193">
        <f ca="1">'44'!V16+'43'!V16</f>
        <v>82027354.49000001</v>
      </c>
      <c r="W17" s="466">
        <f ca="1">SUM(B17:V17)</f>
        <v>1699387343.8200004</v>
      </c>
      <c r="Y17" s="203"/>
    </row>
    <row r="18" spans="1:25" x14ac:dyDescent="0.35">
      <c r="A18" s="180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640"/>
      <c r="Y18" s="203"/>
    </row>
    <row r="19" spans="1:25" x14ac:dyDescent="0.35">
      <c r="A19" s="183" t="s">
        <v>297</v>
      </c>
      <c r="B19" s="639"/>
      <c r="C19" s="466">
        <f t="shared" ref="C19:V19" ca="1" si="0">C15-C17</f>
        <v>8632545.4700000137</v>
      </c>
      <c r="D19" s="466">
        <f t="shared" ca="1" si="0"/>
        <v>6130606.6800000072</v>
      </c>
      <c r="E19" s="466">
        <f t="shared" ca="1" si="0"/>
        <v>4864902.9299999923</v>
      </c>
      <c r="F19" s="466">
        <f t="shared" ca="1" si="0"/>
        <v>3297414.5300000012</v>
      </c>
      <c r="G19" s="466">
        <f t="shared" ca="1" si="0"/>
        <v>1113577.9600000083</v>
      </c>
      <c r="H19" s="466">
        <f t="shared" ca="1" si="0"/>
        <v>4611285.9600000083</v>
      </c>
      <c r="I19" s="466">
        <f t="shared" ca="1" si="0"/>
        <v>2563397.950000003</v>
      </c>
      <c r="J19" s="466">
        <f t="shared" ca="1" si="0"/>
        <v>473023.09999999404</v>
      </c>
      <c r="K19" s="466">
        <f t="shared" ca="1" si="0"/>
        <v>-1172900.8900000006</v>
      </c>
      <c r="L19" s="466">
        <f t="shared" ca="1" si="0"/>
        <v>-1172900.8900000006</v>
      </c>
      <c r="M19" s="466">
        <f t="shared" ca="1" si="0"/>
        <v>540376.1099999994</v>
      </c>
      <c r="N19" s="466">
        <f t="shared" ca="1" si="0"/>
        <v>2077517.1099999994</v>
      </c>
      <c r="O19" s="466">
        <f t="shared" ca="1" si="0"/>
        <v>3026744.1099999994</v>
      </c>
      <c r="P19" s="466">
        <f t="shared" ca="1" si="0"/>
        <v>4117107.1099999994</v>
      </c>
      <c r="Q19" s="466">
        <f t="shared" ca="1" si="0"/>
        <v>5046331.1099999994</v>
      </c>
      <c r="R19" s="466">
        <f t="shared" ca="1" si="0"/>
        <v>5704634.1099999994</v>
      </c>
      <c r="S19" s="466">
        <f t="shared" ca="1" si="0"/>
        <v>6312254.0300000012</v>
      </c>
      <c r="T19" s="466">
        <f t="shared" ca="1" si="0"/>
        <v>6902610.0300000012</v>
      </c>
      <c r="U19" s="466">
        <f t="shared" ca="1" si="0"/>
        <v>7458610.0300000012</v>
      </c>
      <c r="V19" s="466">
        <f t="shared" ca="1" si="0"/>
        <v>6808810.0300000012</v>
      </c>
      <c r="W19" s="466">
        <f ca="1">SUM(B19:V19)</f>
        <v>77335946.580000028</v>
      </c>
      <c r="Y19" s="203"/>
    </row>
    <row r="20" spans="1:25" x14ac:dyDescent="0.35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640"/>
      <c r="Y20" s="203"/>
    </row>
    <row r="21" spans="1:25" x14ac:dyDescent="0.35">
      <c r="A21" s="183" t="s">
        <v>732</v>
      </c>
      <c r="B21" s="199"/>
      <c r="C21" s="193">
        <f ca="1">'44'!C22+'43'!C22</f>
        <v>2167153.75239</v>
      </c>
      <c r="D21" s="193">
        <f ca="1">'44'!D22+'43'!D22</f>
        <v>2301646.3697919999</v>
      </c>
      <c r="E21" s="193">
        <f ca="1">'44'!E22+'43'!E22</f>
        <v>2174970.7940420001</v>
      </c>
      <c r="F21" s="193">
        <f ca="1">'44'!F22+'43'!F22</f>
        <v>2049441.9999620002</v>
      </c>
      <c r="G21" s="193">
        <f ca="1">'44'!G22+'43'!G22</f>
        <v>1926255.3289280001</v>
      </c>
      <c r="H21" s="193">
        <f ca="1">'44'!H22+'43'!H22</f>
        <v>1781478.788528</v>
      </c>
      <c r="I21" s="193">
        <f ca="1">'44'!I22+'43'!I22</f>
        <v>1657775.512966</v>
      </c>
      <c r="J21" s="193">
        <f ca="1">'44'!J22+'43'!J22</f>
        <v>1534233.6873960001</v>
      </c>
      <c r="K21" s="193">
        <f ca="1">'44'!K22+'43'!K22</f>
        <v>1409002.9485579999</v>
      </c>
      <c r="L21" s="193">
        <f ca="1">'44'!L22+'43'!L22</f>
        <v>1277517.6985579999</v>
      </c>
      <c r="M21" s="193">
        <f ca="1">'44'!M22+'43'!M22</f>
        <v>1139521.995958</v>
      </c>
      <c r="N21" s="193">
        <f ca="1">'44'!N22+'43'!N22</f>
        <v>1002195.6101580001</v>
      </c>
      <c r="O21" s="193">
        <f ca="1">'44'!O22+'43'!O22</f>
        <v>867103.29755800019</v>
      </c>
      <c r="P21" s="193">
        <f ca="1">'44'!P22+'43'!P22</f>
        <v>731474.6681580001</v>
      </c>
      <c r="Q21" s="193">
        <f ca="1">'44'!Q22+'43'!Q22</f>
        <v>596458.36695800012</v>
      </c>
      <c r="R21" s="193">
        <f ca="1">'44'!R22+'43'!R22</f>
        <v>462471.56555800006</v>
      </c>
      <c r="S21" s="193">
        <f ca="1">'44'!S22+'43'!S22</f>
        <v>328677.35986200004</v>
      </c>
      <c r="T21" s="193">
        <f ca="1">'44'!T22+'43'!T22</f>
        <v>311347.50706200005</v>
      </c>
      <c r="U21" s="193">
        <f ca="1">'44'!U22+'43'!U22</f>
        <v>309234.70706200006</v>
      </c>
      <c r="V21" s="193">
        <f ca="1">'44'!V22+'43'!V22</f>
        <v>311703.94706200005</v>
      </c>
      <c r="W21" s="466">
        <f ca="1">SUM(B21:V21)</f>
        <v>24339665.906515997</v>
      </c>
      <c r="Y21" s="203"/>
    </row>
    <row r="22" spans="1:25" x14ac:dyDescent="0.35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640"/>
      <c r="Y22" s="203"/>
    </row>
    <row r="23" spans="1:25" x14ac:dyDescent="0.35">
      <c r="A23" s="183" t="s">
        <v>754</v>
      </c>
      <c r="B23" s="641"/>
      <c r="C23" s="193">
        <f>'44'!C28+'43'!C28</f>
        <v>250305.76798531692</v>
      </c>
      <c r="D23" s="193">
        <f>'44'!D28+'43'!D28</f>
        <v>250305.76798531692</v>
      </c>
      <c r="E23" s="193">
        <f>'44'!E28+'43'!E28</f>
        <v>250305.76798531692</v>
      </c>
      <c r="F23" s="193">
        <f>'44'!F28+'43'!F28</f>
        <v>250305.76798531692</v>
      </c>
      <c r="G23" s="193">
        <f>'44'!G28+'43'!G28</f>
        <v>250305.76798531692</v>
      </c>
      <c r="H23" s="193">
        <f>'44'!H28+'43'!H28</f>
        <v>250305.76798531692</v>
      </c>
      <c r="I23" s="193">
        <f>'44'!I28+'43'!I28</f>
        <v>250305.76798531692</v>
      </c>
      <c r="J23" s="193">
        <f>'44'!J28+'43'!J28</f>
        <v>250305.76798531692</v>
      </c>
      <c r="K23" s="193">
        <f>'44'!K28+'43'!K28</f>
        <v>250305.76798531692</v>
      </c>
      <c r="L23" s="193">
        <f>'44'!L28+'43'!L28</f>
        <v>250305.76798531692</v>
      </c>
      <c r="M23" s="193">
        <f>'44'!M28+'43'!M28</f>
        <v>250305.76798531692</v>
      </c>
      <c r="N23" s="193">
        <f>'44'!N28+'43'!N28</f>
        <v>250305.76798531692</v>
      </c>
      <c r="O23" s="193">
        <f>'44'!O28+'43'!O28</f>
        <v>250305.76798531692</v>
      </c>
      <c r="P23" s="193">
        <f>'44'!P28+'43'!P28</f>
        <v>250305.76798531692</v>
      </c>
      <c r="Q23" s="193">
        <f>'44'!Q28+'43'!Q28</f>
        <v>250305.76798531692</v>
      </c>
      <c r="R23" s="193">
        <f>'44'!R28+'43'!R28</f>
        <v>250305.76798531692</v>
      </c>
      <c r="S23" s="193">
        <f>'44'!S28+'43'!S28</f>
        <v>250305.76798531692</v>
      </c>
      <c r="T23" s="193">
        <f>'44'!T28+'43'!T28</f>
        <v>250305.76798531692</v>
      </c>
      <c r="U23" s="193">
        <f>'44'!U28+'43'!U28</f>
        <v>250305.76798531692</v>
      </c>
      <c r="V23" s="193">
        <f>'44'!V28+'43'!V28</f>
        <v>250305.76798531692</v>
      </c>
      <c r="W23" s="466">
        <f>SUM(B23:V23)</f>
        <v>5006115.3597063385</v>
      </c>
      <c r="Y23" s="203"/>
    </row>
    <row r="24" spans="1:25" x14ac:dyDescent="0.35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640"/>
      <c r="Y24" s="203"/>
    </row>
    <row r="25" spans="1:25" x14ac:dyDescent="0.35">
      <c r="A25" s="183" t="s">
        <v>721</v>
      </c>
      <c r="B25" s="639"/>
      <c r="C25" s="466">
        <f t="shared" ref="C25:V25" ca="1" si="1">C19-C21-C23</f>
        <v>6215085.9496246967</v>
      </c>
      <c r="D25" s="466">
        <f t="shared" ca="1" si="1"/>
        <v>3578654.5422226903</v>
      </c>
      <c r="E25" s="466">
        <f t="shared" ca="1" si="1"/>
        <v>2439626.3679726752</v>
      </c>
      <c r="F25" s="466">
        <f t="shared" ca="1" si="1"/>
        <v>997666.76205268409</v>
      </c>
      <c r="G25" s="466">
        <f t="shared" ca="1" si="1"/>
        <v>-1062983.1369133086</v>
      </c>
      <c r="H25" s="466">
        <f t="shared" ca="1" si="1"/>
        <v>2579501.4034866914</v>
      </c>
      <c r="I25" s="466">
        <f t="shared" ca="1" si="1"/>
        <v>655316.66904868605</v>
      </c>
      <c r="J25" s="466">
        <f t="shared" ca="1" si="1"/>
        <v>-1311516.355381323</v>
      </c>
      <c r="K25" s="466">
        <f t="shared" ca="1" si="1"/>
        <v>-2832209.6065433174</v>
      </c>
      <c r="L25" s="466">
        <f t="shared" ca="1" si="1"/>
        <v>-2700724.3565433174</v>
      </c>
      <c r="M25" s="466">
        <f t="shared" ca="1" si="1"/>
        <v>-849451.65394331748</v>
      </c>
      <c r="N25" s="466">
        <f t="shared" ca="1" si="1"/>
        <v>825015.73185668234</v>
      </c>
      <c r="O25" s="466">
        <f t="shared" ca="1" si="1"/>
        <v>1909335.0444566822</v>
      </c>
      <c r="P25" s="466">
        <f t="shared" ca="1" si="1"/>
        <v>3135326.6738566821</v>
      </c>
      <c r="Q25" s="466">
        <f t="shared" ca="1" si="1"/>
        <v>4199566.9750566827</v>
      </c>
      <c r="R25" s="466">
        <f t="shared" ca="1" si="1"/>
        <v>4991856.776456682</v>
      </c>
      <c r="S25" s="466">
        <f t="shared" ca="1" si="1"/>
        <v>5733270.9021526845</v>
      </c>
      <c r="T25" s="466">
        <f t="shared" ca="1" si="1"/>
        <v>6340956.754952684</v>
      </c>
      <c r="U25" s="466">
        <f t="shared" ca="1" si="1"/>
        <v>6899069.5549526839</v>
      </c>
      <c r="V25" s="466">
        <f t="shared" ca="1" si="1"/>
        <v>6246800.3149526846</v>
      </c>
      <c r="W25" s="466">
        <f ca="1">SUM(B25:V25)</f>
        <v>47990165.313777685</v>
      </c>
      <c r="Y25" s="203"/>
    </row>
    <row r="26" spans="1:25" s="469" customFormat="1" x14ac:dyDescent="0.35">
      <c r="A26" s="349"/>
      <c r="B26" s="642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43"/>
      <c r="Q26" s="643"/>
      <c r="R26" s="643"/>
      <c r="S26" s="643"/>
      <c r="T26" s="643"/>
      <c r="U26" s="643"/>
      <c r="V26" s="643"/>
      <c r="W26" s="643"/>
      <c r="Y26" s="470"/>
    </row>
    <row r="27" spans="1:25" x14ac:dyDescent="0.35">
      <c r="A27" s="183" t="s">
        <v>763</v>
      </c>
      <c r="B27" s="644">
        <f>'4A'!B29+'4B'!B29+'4C'!B29+'4D'!B29+'4E'!B29+'4F'!B29+'4G'!B29+'4H'!B29</f>
        <v>0</v>
      </c>
      <c r="C27" s="617">
        <f>'4A'!C29+'4B'!C29+'4C'!C29+'4D'!C29+'4E'!C29+'4F'!C29+'4G'!C29+'4H'!C29</f>
        <v>1760000</v>
      </c>
      <c r="D27" s="617">
        <f>'4A'!D29+'4B'!D29+'4C'!D29+'4D'!D29+'4E'!D29+'4F'!D29+'4G'!D29+'4H'!D29</f>
        <v>2288000</v>
      </c>
      <c r="E27" s="617">
        <f>'4A'!E29+'4B'!E29+'4C'!E29+'4D'!E29+'4E'!E29+'4F'!E29+'4G'!E29+'4H'!E29</f>
        <v>1580000</v>
      </c>
      <c r="F27" s="617">
        <f>'4A'!F29+'4B'!F29+'4C'!F29+'4D'!F29+'4E'!F29+'4F'!F29+'4G'!F29+'4H'!F29</f>
        <v>2468000</v>
      </c>
      <c r="G27" s="617">
        <f>'4A'!G29+'4B'!G29+'4C'!G29+'4D'!G29+'4E'!G29+'4F'!G29+'4G'!G29+'4H'!G29</f>
        <v>1820000</v>
      </c>
      <c r="H27" s="617">
        <f>'4A'!H29+'4B'!H29+'4C'!H29+'4D'!H29+'4E'!H29+'4F'!H29+'4G'!H29+'4H'!H29</f>
        <v>2108000</v>
      </c>
      <c r="I27" s="617">
        <f>'4A'!I29+'4B'!I29+'4C'!I29+'4D'!I29+'4E'!I29+'4F'!I29+'4G'!I29+'4H'!I29</f>
        <v>1800000</v>
      </c>
      <c r="J27" s="617">
        <f>'4A'!J29+'4B'!J29+'4C'!J29+'4D'!J29+'4E'!J29+'4F'!J29+'4G'!J29+'4H'!J29</f>
        <v>1968000</v>
      </c>
      <c r="K27" s="617">
        <f>'4A'!K29+'4B'!K29+'4C'!K29+'4D'!K29+'4E'!K29+'4F'!K29+'4G'!K29+'4H'!K29</f>
        <v>0</v>
      </c>
      <c r="L27" s="617">
        <f>'4A'!L29+'4B'!L29+'4C'!L29+'4D'!L29+'4E'!L29+'4F'!L29+'4G'!L29+'4H'!L29</f>
        <v>48000</v>
      </c>
      <c r="M27" s="617">
        <f>'4A'!M29+'4B'!M29+'4C'!M29+'4D'!M29+'4E'!M29+'4F'!M29+'4G'!M29+'4H'!M29</f>
        <v>278520</v>
      </c>
      <c r="N27" s="617">
        <f>'4A'!N29+'4B'!N29+'4C'!N29+'4D'!N29+'4E'!N29+'4F'!N29+'4G'!N29+'4H'!N29</f>
        <v>128000</v>
      </c>
      <c r="O27" s="617">
        <f>'4A'!O29+'4B'!O29+'4C'!O29+'4D'!O29+'4E'!O29+'4F'!O29+'4G'!O29+'4H'!O29</f>
        <v>225348</v>
      </c>
      <c r="P27" s="617">
        <f>'4A'!P29+'4B'!P29+'4C'!P29+'4D'!P29+'4E'!P29+'4F'!P29+'4G'!P29+'4H'!P29</f>
        <v>1074200</v>
      </c>
      <c r="Q27" s="617">
        <f>'4A'!Q29+'4B'!Q29+'4C'!Q29+'4D'!Q29+'4E'!Q29+'4F'!Q29+'4G'!Q29+'4H'!Q29</f>
        <v>1134040</v>
      </c>
      <c r="R27" s="617">
        <f>'4A'!R29+'4B'!R29+'4C'!R29+'4D'!R29+'4E'!R29+'4F'!R29+'4G'!R29+'4H'!R29</f>
        <v>1684200</v>
      </c>
      <c r="S27" s="617">
        <f>'4A'!S29+'4B'!S29+'4C'!S29+'4D'!S29+'4E'!S29+'4F'!S29+'4G'!S29+'4H'!S29</f>
        <v>1259000</v>
      </c>
      <c r="T27" s="617">
        <f>'4A'!T29+'4B'!T29+'4C'!T29+'4D'!T29+'4E'!T29+'4F'!T29+'4G'!T29+'4H'!T29</f>
        <v>1672800</v>
      </c>
      <c r="U27" s="617">
        <f>'4A'!U29+'4B'!U29+'4C'!U29+'4D'!U29+'4E'!U29+'4F'!U29+'4G'!U29+'4H'!U29</f>
        <v>1299600</v>
      </c>
      <c r="V27" s="617">
        <f>'4A'!V29+'4B'!V29+'4C'!V29+'4D'!V29+'4E'!V29+'4F'!V29+'4G'!V29+'4H'!V29</f>
        <v>46125200</v>
      </c>
      <c r="W27" s="466">
        <f>SUM(B27:V27)</f>
        <v>70720908</v>
      </c>
      <c r="Y27" s="203"/>
    </row>
    <row r="28" spans="1:25" x14ac:dyDescent="0.3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640"/>
      <c r="Y28" s="203"/>
    </row>
    <row r="29" spans="1:25" x14ac:dyDescent="0.35">
      <c r="A29" s="183" t="s">
        <v>751</v>
      </c>
      <c r="B29" s="617">
        <f>IF(B25&gt;0,B25/1.09+15%*120000+10%*B25,0)</f>
        <v>0</v>
      </c>
      <c r="C29" s="617">
        <f ca="1">IF(C25&gt;0,9%*(C25/1.09)+15%*120000+10%*C25,0)</f>
        <v>1152680.8293351508</v>
      </c>
      <c r="D29" s="617">
        <f t="shared" ref="D29:V29" ca="1" si="2">IF(D25&gt;0,9%*(D25/1.09)+15%*120000+10%*D25,0)</f>
        <v>671350.69165350031</v>
      </c>
      <c r="E29" s="617">
        <f t="shared" ca="1" si="2"/>
        <v>463399.67635464435</v>
      </c>
      <c r="F29" s="617">
        <f t="shared" ca="1" si="2"/>
        <v>200142.83087016892</v>
      </c>
      <c r="G29" s="617">
        <f t="shared" ca="1" si="2"/>
        <v>0</v>
      </c>
      <c r="H29" s="617">
        <f t="shared" ca="1" si="2"/>
        <v>488936.49476500141</v>
      </c>
      <c r="I29" s="617">
        <f t="shared" ca="1" si="2"/>
        <v>137640.38269787939</v>
      </c>
      <c r="J29" s="617">
        <f t="shared" ca="1" si="2"/>
        <v>0</v>
      </c>
      <c r="K29" s="617">
        <f t="shared" ca="1" si="2"/>
        <v>0</v>
      </c>
      <c r="L29" s="617">
        <f t="shared" ca="1" si="2"/>
        <v>0</v>
      </c>
      <c r="M29" s="617">
        <f t="shared" ca="1" si="2"/>
        <v>0</v>
      </c>
      <c r="N29" s="617">
        <f t="shared" ca="1" si="2"/>
        <v>168622.13820135759</v>
      </c>
      <c r="O29" s="617">
        <f t="shared" ca="1" si="2"/>
        <v>366585.0218778713</v>
      </c>
      <c r="P29" s="617">
        <f t="shared" ca="1" si="2"/>
        <v>590412.85146557773</v>
      </c>
      <c r="Q29" s="617">
        <f t="shared" ca="1" si="2"/>
        <v>784709.93397823838</v>
      </c>
      <c r="R29" s="617">
        <f t="shared" ca="1" si="2"/>
        <v>929357.33808704559</v>
      </c>
      <c r="S29" s="617">
        <f t="shared" ca="1" si="2"/>
        <v>1064716.4307599855</v>
      </c>
      <c r="T29" s="617">
        <f t="shared" ca="1" si="2"/>
        <v>1175660.9121427378</v>
      </c>
      <c r="U29" s="617">
        <f t="shared" ca="1" si="2"/>
        <v>1277554.9003996183</v>
      </c>
      <c r="V29" s="617">
        <f t="shared" ca="1" si="2"/>
        <v>1158470.8831886093</v>
      </c>
      <c r="W29" s="466">
        <f ca="1">SUM(B29:V29)</f>
        <v>10630241.315777386</v>
      </c>
      <c r="Y29" s="203"/>
    </row>
    <row r="30" spans="1:25" x14ac:dyDescent="0.3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640"/>
      <c r="Y30" s="203"/>
    </row>
    <row r="31" spans="1:25" x14ac:dyDescent="0.35">
      <c r="A31" s="202" t="s">
        <v>752</v>
      </c>
      <c r="B31" s="466">
        <f>B25+B27-B29</f>
        <v>0</v>
      </c>
      <c r="C31" s="466">
        <f ca="1">C25+C27-C29</f>
        <v>6822405.1202895455</v>
      </c>
      <c r="D31" s="466">
        <f t="shared" ref="D31:V31" ca="1" si="3">D25+D27-D29</f>
        <v>5195303.8505691895</v>
      </c>
      <c r="E31" s="466">
        <f t="shared" ca="1" si="3"/>
        <v>3556226.6916180309</v>
      </c>
      <c r="F31" s="466">
        <f t="shared" ca="1" si="3"/>
        <v>3265523.9311825153</v>
      </c>
      <c r="G31" s="466">
        <f t="shared" ca="1" si="3"/>
        <v>757016.86308669136</v>
      </c>
      <c r="H31" s="466">
        <f t="shared" ca="1" si="3"/>
        <v>4198564.9087216901</v>
      </c>
      <c r="I31" s="466">
        <f t="shared" ca="1" si="3"/>
        <v>2317676.2863508067</v>
      </c>
      <c r="J31" s="466">
        <f t="shared" ca="1" si="3"/>
        <v>656483.64461867698</v>
      </c>
      <c r="K31" s="466">
        <f t="shared" ca="1" si="3"/>
        <v>-2832209.6065433174</v>
      </c>
      <c r="L31" s="466">
        <f t="shared" ca="1" si="3"/>
        <v>-2652724.3565433174</v>
      </c>
      <c r="M31" s="466">
        <f t="shared" ca="1" si="3"/>
        <v>-570931.65394331748</v>
      </c>
      <c r="N31" s="466">
        <f t="shared" ca="1" si="3"/>
        <v>784393.59365532477</v>
      </c>
      <c r="O31" s="466">
        <f t="shared" ca="1" si="3"/>
        <v>1768098.0225788108</v>
      </c>
      <c r="P31" s="466">
        <f t="shared" ca="1" si="3"/>
        <v>3619113.8223911044</v>
      </c>
      <c r="Q31" s="466">
        <f t="shared" ca="1" si="3"/>
        <v>4548897.0410784446</v>
      </c>
      <c r="R31" s="466">
        <f t="shared" ca="1" si="3"/>
        <v>5746699.4383696364</v>
      </c>
      <c r="S31" s="466">
        <f t="shared" ca="1" si="3"/>
        <v>5927554.4713926986</v>
      </c>
      <c r="T31" s="466">
        <f t="shared" ca="1" si="3"/>
        <v>6838095.8428099463</v>
      </c>
      <c r="U31" s="466">
        <f t="shared" ca="1" si="3"/>
        <v>6921114.6545530651</v>
      </c>
      <c r="V31" s="466">
        <f t="shared" ca="1" si="3"/>
        <v>51213529.431764074</v>
      </c>
      <c r="W31" s="466">
        <f ca="1">SUM(B31:V31)</f>
        <v>108080831.99800029</v>
      </c>
      <c r="Y31" s="203"/>
    </row>
    <row r="32" spans="1:25" x14ac:dyDescent="0.3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Y32" s="203"/>
    </row>
    <row r="33" spans="1:25" x14ac:dyDescent="0.35">
      <c r="A33" s="201" t="s">
        <v>298</v>
      </c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Y33" s="203"/>
    </row>
    <row r="34" spans="1:25" x14ac:dyDescent="0.3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Y34" s="203"/>
    </row>
    <row r="35" spans="1:25" x14ac:dyDescent="0.35">
      <c r="A35" s="183" t="s">
        <v>299</v>
      </c>
      <c r="B35" s="193">
        <f t="shared" ref="B35:V35" si="4">B37+B38</f>
        <v>0</v>
      </c>
      <c r="C35" s="193">
        <f t="shared" ca="1" si="4"/>
        <v>14532833.888274863</v>
      </c>
      <c r="D35" s="193">
        <f t="shared" ca="1" si="4"/>
        <v>14627273.618554506</v>
      </c>
      <c r="E35" s="193">
        <f t="shared" ca="1" si="4"/>
        <v>13961423.459603349</v>
      </c>
      <c r="F35" s="193">
        <f t="shared" ca="1" si="4"/>
        <v>14945483.699167833</v>
      </c>
      <c r="G35" s="193">
        <f t="shared" ca="1" si="4"/>
        <v>13823300.631072009</v>
      </c>
      <c r="H35" s="193">
        <f t="shared" ca="1" si="4"/>
        <v>13003055.676707007</v>
      </c>
      <c r="I35" s="193">
        <f t="shared" ca="1" si="4"/>
        <v>12429611.054336125</v>
      </c>
      <c r="J35" s="193">
        <f t="shared" ca="1" si="4"/>
        <v>12088274.412603995</v>
      </c>
      <c r="K35" s="193">
        <f t="shared" ca="1" si="4"/>
        <v>9827321.1614420004</v>
      </c>
      <c r="L35" s="193">
        <f t="shared" ca="1" si="4"/>
        <v>10006806.411442</v>
      </c>
      <c r="M35" s="193">
        <f t="shared" ca="1" si="4"/>
        <v>10375322.114042001</v>
      </c>
      <c r="N35" s="193">
        <f t="shared" ca="1" si="4"/>
        <v>10193506.361640643</v>
      </c>
      <c r="O35" s="193">
        <f t="shared" ca="1" si="4"/>
        <v>10227983.790564129</v>
      </c>
      <c r="P35" s="193">
        <f t="shared" ca="1" si="4"/>
        <v>10988636.590376422</v>
      </c>
      <c r="Q35" s="193">
        <f t="shared" ca="1" si="4"/>
        <v>10989195.809063762</v>
      </c>
      <c r="R35" s="193">
        <f t="shared" ca="1" si="4"/>
        <v>11528695.206354953</v>
      </c>
      <c r="S35" s="193">
        <f t="shared" ca="1" si="4"/>
        <v>11097526.239378016</v>
      </c>
      <c r="T35" s="193">
        <f t="shared" ca="1" si="4"/>
        <v>11417711.610795263</v>
      </c>
      <c r="U35" s="193">
        <f t="shared" ca="1" si="4"/>
        <v>10944730.422538381</v>
      </c>
      <c r="V35" s="193">
        <f t="shared" ca="1" si="4"/>
        <v>55886945.199749388</v>
      </c>
      <c r="W35" s="639">
        <f ca="1">SUM(B35:V35)</f>
        <v>282895637.35770661</v>
      </c>
      <c r="Y35" s="203"/>
    </row>
    <row r="36" spans="1:25" x14ac:dyDescent="0.3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Y36" s="203"/>
    </row>
    <row r="37" spans="1:25" x14ac:dyDescent="0.35">
      <c r="A37" s="183" t="s">
        <v>753</v>
      </c>
      <c r="B37" s="631">
        <f t="shared" ref="B37:V37" si="5">B31</f>
        <v>0</v>
      </c>
      <c r="C37" s="631">
        <f t="shared" ca="1" si="5"/>
        <v>6822405.1202895455</v>
      </c>
      <c r="D37" s="631">
        <f t="shared" ca="1" si="5"/>
        <v>5195303.8505691895</v>
      </c>
      <c r="E37" s="631">
        <f t="shared" ca="1" si="5"/>
        <v>3556226.6916180309</v>
      </c>
      <c r="F37" s="631">
        <f t="shared" ca="1" si="5"/>
        <v>3265523.9311825153</v>
      </c>
      <c r="G37" s="631">
        <f t="shared" ca="1" si="5"/>
        <v>757016.86308669136</v>
      </c>
      <c r="H37" s="631">
        <f t="shared" ca="1" si="5"/>
        <v>4198564.9087216901</v>
      </c>
      <c r="I37" s="631">
        <f t="shared" ca="1" si="5"/>
        <v>2317676.2863508067</v>
      </c>
      <c r="J37" s="631">
        <f t="shared" ca="1" si="5"/>
        <v>656483.64461867698</v>
      </c>
      <c r="K37" s="631">
        <f t="shared" ca="1" si="5"/>
        <v>-2832209.6065433174</v>
      </c>
      <c r="L37" s="631">
        <f t="shared" ca="1" si="5"/>
        <v>-2652724.3565433174</v>
      </c>
      <c r="M37" s="631">
        <f t="shared" ca="1" si="5"/>
        <v>-570931.65394331748</v>
      </c>
      <c r="N37" s="631">
        <f t="shared" ca="1" si="5"/>
        <v>784393.59365532477</v>
      </c>
      <c r="O37" s="631">
        <f t="shared" ca="1" si="5"/>
        <v>1768098.0225788108</v>
      </c>
      <c r="P37" s="631">
        <f t="shared" ca="1" si="5"/>
        <v>3619113.8223911044</v>
      </c>
      <c r="Q37" s="631">
        <f t="shared" ca="1" si="5"/>
        <v>4548897.0410784446</v>
      </c>
      <c r="R37" s="631">
        <f t="shared" ca="1" si="5"/>
        <v>5746699.4383696364</v>
      </c>
      <c r="S37" s="631">
        <f t="shared" ca="1" si="5"/>
        <v>5927554.4713926986</v>
      </c>
      <c r="T37" s="631">
        <f t="shared" ca="1" si="5"/>
        <v>6838095.8428099463</v>
      </c>
      <c r="U37" s="631">
        <f t="shared" ca="1" si="5"/>
        <v>6921114.6545530651</v>
      </c>
      <c r="V37" s="631">
        <f t="shared" ca="1" si="5"/>
        <v>51213529.431764074</v>
      </c>
      <c r="W37" s="639">
        <f ca="1">SUM(B37:V37)</f>
        <v>108080831.99800029</v>
      </c>
      <c r="Y37" s="203"/>
    </row>
    <row r="38" spans="1:25" x14ac:dyDescent="0.35">
      <c r="A38" s="183" t="s">
        <v>762</v>
      </c>
      <c r="B38" s="193"/>
      <c r="C38" s="193">
        <f ca="1">C23+'43'!C20</f>
        <v>7710428.7679853169</v>
      </c>
      <c r="D38" s="193">
        <f ca="1">D23+'43'!D20</f>
        <v>9431969.7679853179</v>
      </c>
      <c r="E38" s="193">
        <f ca="1">E23+'43'!E20</f>
        <v>10405196.767985318</v>
      </c>
      <c r="F38" s="193">
        <f ca="1">F23+'43'!F20</f>
        <v>11679959.767985318</v>
      </c>
      <c r="G38" s="193">
        <f ca="1">G23+'43'!G20</f>
        <v>13066283.767985318</v>
      </c>
      <c r="H38" s="193">
        <f ca="1">H23+'43'!H20</f>
        <v>8804490.7679853179</v>
      </c>
      <c r="I38" s="193">
        <f ca="1">I23+'43'!I20</f>
        <v>10111934.767985318</v>
      </c>
      <c r="J38" s="193">
        <f ca="1">J23+'43'!J20</f>
        <v>11431790.767985318</v>
      </c>
      <c r="K38" s="193">
        <f ca="1">K23+'43'!K20</f>
        <v>12659530.767985318</v>
      </c>
      <c r="L38" s="193">
        <f ca="1">L23+'43'!L20</f>
        <v>12659530.767985318</v>
      </c>
      <c r="M38" s="193">
        <f ca="1">M23+'43'!M20</f>
        <v>10946253.767985318</v>
      </c>
      <c r="N38" s="193">
        <f ca="1">N23+'43'!N20</f>
        <v>9409112.7679853179</v>
      </c>
      <c r="O38" s="193">
        <f ca="1">O23+'43'!O20</f>
        <v>8459885.7679853179</v>
      </c>
      <c r="P38" s="193">
        <f ca="1">P23+'43'!P20</f>
        <v>7369522.7679853169</v>
      </c>
      <c r="Q38" s="193">
        <f ca="1">Q23+'43'!Q20</f>
        <v>6440298.7679853169</v>
      </c>
      <c r="R38" s="193">
        <f ca="1">R23+'43'!R20</f>
        <v>5781995.7679853169</v>
      </c>
      <c r="S38" s="193">
        <f ca="1">S23+'43'!S20</f>
        <v>5169971.7679853169</v>
      </c>
      <c r="T38" s="193">
        <f ca="1">T23+'43'!T20</f>
        <v>4579615.7679853169</v>
      </c>
      <c r="U38" s="193">
        <f ca="1">U23+'43'!U20</f>
        <v>4023615.7679853169</v>
      </c>
      <c r="V38" s="193">
        <f ca="1">V23+'43'!V20</f>
        <v>4673415.7679853169</v>
      </c>
      <c r="W38" s="639">
        <f ca="1">SUM(B38:V38)</f>
        <v>174814805.35970631</v>
      </c>
      <c r="Y38" s="203"/>
    </row>
    <row r="39" spans="1:25" x14ac:dyDescent="0.3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Y39" s="203"/>
    </row>
    <row r="40" spans="1:25" x14ac:dyDescent="0.35">
      <c r="A40" s="183" t="s">
        <v>750</v>
      </c>
      <c r="B40" s="466">
        <f>'4A'!$B$29+'4B'!$B$29+'4C'!$B$29+'4D'!$B$29+'4E'!$B$29+'4F'!$B$29+'4G'!$B$29+'4H'!$B$29-B27</f>
        <v>0</v>
      </c>
      <c r="C40" s="466">
        <f>'4A'!$C$29+'4B'!$C$29+'4C'!$C$29+'4D'!$C$29+'4E'!$C$29+'4F'!$C$29+'4G'!$C$29+'4H'!$C$29-C27</f>
        <v>0</v>
      </c>
      <c r="D40" s="466">
        <f>'4A'!$D$29+'4B'!$D$29+'4C'!$D$29+'4D'!$D$29+'4E'!$D$29+'4F'!$D$29+'4G'!$D$29+'4H'!$D$29-D27</f>
        <v>0</v>
      </c>
      <c r="E40" s="466">
        <f>'4A'!$E$29+'4B'!$E$29+'4C'!$E$29+'4D'!$E$29+'4E'!$E$29+'4F'!$E$29+'4G'!$E$29+'4H'!$E$29-E27</f>
        <v>0</v>
      </c>
      <c r="F40" s="466">
        <f>'4A'!$F$29+'4B'!$F$29+'4C'!$F$29+'4D'!$F$29+'4E'!$F$29+'4F'!$F$29+'4G'!$F$29+'4H'!$F$29-F27</f>
        <v>0</v>
      </c>
      <c r="G40" s="466">
        <f>'4A'!$G$29+'4B'!$G$29+'4C'!$G$29+'4D'!$G$29+'4E'!$G$29+'4F'!$G$29+'4G'!$G$29+'4H'!$G$29-G27</f>
        <v>0</v>
      </c>
      <c r="H40" s="466">
        <f>'4A'!$H$29+'4B'!$H$29+'4C'!$H$29+'4D'!$H$29+'4E'!$H$29+'4F'!$H$29+'4G'!$H$29+'4H'!$H$29-H27</f>
        <v>0</v>
      </c>
      <c r="I40" s="466">
        <f>'4A'!$I$29+'4B'!$I$29+'4C'!$I$29+'4D'!$I$29+'4E'!$I$29+'4F'!$I$29+'4G'!$I$29+'4H'!$I$29-I27</f>
        <v>0</v>
      </c>
      <c r="J40" s="466">
        <f>'4A'!$J$29+'4B'!$J$29+'4C'!$J$29+'4D'!$J$29+'4E'!$J$29+'4F'!$J$29+'4G'!$J$29+'4H'!$J$29-J27</f>
        <v>0</v>
      </c>
      <c r="K40" s="466">
        <f>'4A'!$K$29+'4B'!$K$29+'4C'!$K$29+'4D'!$K$29+'4E'!$K$29+'4F'!$K$29+'4G'!$K$29+'4H'!$K$29-K27</f>
        <v>0</v>
      </c>
      <c r="L40" s="466">
        <f>'4A'!$L$29+'4B'!$L$29+'4C'!$L$29+'4D'!$L$29+'4E'!$L$29+'4F'!$L$29+'4G'!$L$29+'4H'!$L$29-L27</f>
        <v>0</v>
      </c>
      <c r="M40" s="466">
        <f>'4A'!$M$29+'4B'!$M$29+'4C'!$M$29+'4D'!$M$29+'4E'!$M$29+'4F'!$M$29+'4G'!$M$29+'4H'!$M$29-M27</f>
        <v>0</v>
      </c>
      <c r="N40" s="466">
        <f>'4A'!$N$29+'4B'!$N$29+'4C'!$N$29+'4D'!$N$29+'4E'!$N$29+'4F'!$N$29+'4G'!$N$29+'4H'!$N$29-N27</f>
        <v>0</v>
      </c>
      <c r="O40" s="466">
        <f>'4A'!$O$29+'4B'!$O$29+'4C'!$O$29+'4D'!$O$29+'4E'!$O$29+'4F'!$O$29+'4G'!$O$29+'4H'!$O$29-O27</f>
        <v>0</v>
      </c>
      <c r="P40" s="466">
        <f>'4A'!$P$29+'4B'!$P$29+'4C'!$P$29+'4D'!$P$29+'4E'!$P$29+'4F'!$P$29+'4G'!$P$29+'4H'!$P$29-P27</f>
        <v>0</v>
      </c>
      <c r="Q40" s="466">
        <f>'4A'!$Q$29+'4B'!$Q$29+'4C'!$Q$29+'4D'!$Q$29+'4E'!$Q$29+'4F'!$Q$29+'4G'!$Q$29+'4H'!$Q$29-Q27</f>
        <v>0</v>
      </c>
      <c r="R40" s="466">
        <f>'4A'!$R$29+'4B'!$R$29+'4C'!$R$29+'4D'!$R$29+'4E'!$R$29+'4F'!$R$29+'4G'!$R$29+'4H'!$R$29-R27</f>
        <v>0</v>
      </c>
      <c r="S40" s="466">
        <f>'4A'!$S$29+'4B'!$S$29+'4C'!$S$29+'4D'!$S$29+'4E'!$S$29+'4F'!$S$29+'4G'!$S$29+'4H'!$S$29-S27</f>
        <v>0</v>
      </c>
      <c r="T40" s="466">
        <f>'4A'!$T$29+'4B'!$T$29+'4C'!$T$29+'4D'!$T$29+'4E'!$T$29+'4F'!$T$29+'4G'!$T$29+'4H'!$T$29-T27</f>
        <v>0</v>
      </c>
      <c r="U40" s="466">
        <f>'4A'!$U$29+'4B'!$U$29+'4C'!$U$29+'4D'!$U$29+'4E'!$U$29+'4F'!$U$29+'4G'!$U$29+'4H'!$U$29-U27</f>
        <v>0</v>
      </c>
      <c r="V40" s="466">
        <f>'4A'!$V$29+'4B'!$V$29+'4C'!$V$29+'4D'!$V$29+'4E'!$V$29+'4F'!$V$29+'4G'!$V$29+'4H'!$V$29-V27</f>
        <v>0</v>
      </c>
      <c r="W40" s="639">
        <f>SUM(B40:V40)</f>
        <v>0</v>
      </c>
      <c r="Y40" s="203"/>
    </row>
    <row r="41" spans="1:25" x14ac:dyDescent="0.35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Y41" s="203"/>
    </row>
    <row r="42" spans="1:25" x14ac:dyDescent="0.35">
      <c r="A42" s="183" t="s">
        <v>731</v>
      </c>
      <c r="B42" s="193">
        <f>'43'!B33+'44'!B33</f>
        <v>19298180</v>
      </c>
      <c r="C42" s="193">
        <f>'43'!C33+'44'!C33</f>
        <v>13952464.333333334</v>
      </c>
      <c r="D42" s="193">
        <f>'43'!D33+'44'!D33</f>
        <v>16048519.333333334</v>
      </c>
      <c r="E42" s="193">
        <f>'43'!E33+'44'!E33</f>
        <v>12576379.333333334</v>
      </c>
      <c r="F42" s="193">
        <f>'43'!F33+'44'!F33</f>
        <v>18692480</v>
      </c>
      <c r="G42" s="193">
        <f>'43'!G33+'44'!G33</f>
        <v>15438090</v>
      </c>
      <c r="H42" s="193">
        <f>'43'!H33+'44'!H33</f>
        <v>16559880</v>
      </c>
      <c r="I42" s="193">
        <f>'43'!I33+'44'!I33</f>
        <v>15799670</v>
      </c>
      <c r="J42" s="193">
        <f>'43'!J33+'44'!J33</f>
        <v>14984410</v>
      </c>
      <c r="K42" s="193">
        <f>'43'!K33+'44'!K33</f>
        <v>2022850</v>
      </c>
      <c r="L42" s="193">
        <f>'43'!L33+'44'!L33</f>
        <v>2262850</v>
      </c>
      <c r="M42" s="193">
        <f>'43'!M33+'44'!M33</f>
        <v>3494850</v>
      </c>
      <c r="N42" s="193">
        <f>'43'!N33+'44'!N33</f>
        <v>2662850</v>
      </c>
      <c r="O42" s="193">
        <f>'43'!O33+'44'!O33</f>
        <v>2866850</v>
      </c>
      <c r="P42" s="193">
        <f>'43'!P33+'44'!P33</f>
        <v>7393850</v>
      </c>
      <c r="Q42" s="193">
        <f>'43'!Q33+'44'!Q33</f>
        <v>7650850</v>
      </c>
      <c r="R42" s="193">
        <f>'43'!R33+'44'!R33</f>
        <v>10443850</v>
      </c>
      <c r="S42" s="193">
        <f>'43'!S33+'44'!S33</f>
        <v>6527100</v>
      </c>
      <c r="T42" s="193">
        <f>'43'!T33+'44'!T33</f>
        <v>8364000</v>
      </c>
      <c r="U42" s="193">
        <f>'43'!U33+'44'!U33</f>
        <v>6498000</v>
      </c>
      <c r="V42" s="193">
        <f>'43'!V33+'44'!V33</f>
        <v>0</v>
      </c>
      <c r="W42" s="639">
        <f>SUM(B42:V42)</f>
        <v>203537973</v>
      </c>
      <c r="Y42" s="203"/>
    </row>
    <row r="43" spans="1:25" x14ac:dyDescent="0.35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Y43" s="203"/>
    </row>
    <row r="44" spans="1:25" x14ac:dyDescent="0.35">
      <c r="A44" s="183" t="s">
        <v>300</v>
      </c>
      <c r="B44" s="248">
        <v>1500000</v>
      </c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645">
        <f>SUM(B44:V44)</f>
        <v>1500000</v>
      </c>
      <c r="Y44" s="203"/>
    </row>
    <row r="45" spans="1:25" x14ac:dyDescent="0.35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Y45" s="203"/>
    </row>
    <row r="46" spans="1:25" x14ac:dyDescent="0.35">
      <c r="A46" s="183" t="s">
        <v>301</v>
      </c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645">
        <f>SUM(B46:V46)</f>
        <v>0</v>
      </c>
      <c r="Y46" s="203"/>
    </row>
    <row r="47" spans="1:25" x14ac:dyDescent="0.35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Y47" s="203"/>
    </row>
    <row r="48" spans="1:25" x14ac:dyDescent="0.35">
      <c r="A48" s="183" t="s">
        <v>303</v>
      </c>
      <c r="B48" s="639">
        <f t="shared" ref="B48:V48" si="6">B35+B40-B42-B44+B46</f>
        <v>-20798180</v>
      </c>
      <c r="C48" s="639">
        <f t="shared" ca="1" si="6"/>
        <v>580369.55494152941</v>
      </c>
      <c r="D48" s="639">
        <f t="shared" ca="1" si="6"/>
        <v>-1421245.7147788275</v>
      </c>
      <c r="E48" s="639">
        <f t="shared" ca="1" si="6"/>
        <v>1385044.1262700148</v>
      </c>
      <c r="F48" s="639">
        <f t="shared" ca="1" si="6"/>
        <v>-3746996.3008321673</v>
      </c>
      <c r="G48" s="639">
        <f t="shared" ca="1" si="6"/>
        <v>-1614789.368927991</v>
      </c>
      <c r="H48" s="639">
        <f t="shared" ca="1" si="6"/>
        <v>-3556824.323292993</v>
      </c>
      <c r="I48" s="639">
        <f t="shared" ca="1" si="6"/>
        <v>-3370058.945663875</v>
      </c>
      <c r="J48" s="639">
        <f t="shared" ca="1" si="6"/>
        <v>-2896135.5873960052</v>
      </c>
      <c r="K48" s="639">
        <f t="shared" ca="1" si="6"/>
        <v>7804471.1614420004</v>
      </c>
      <c r="L48" s="639">
        <f t="shared" ca="1" si="6"/>
        <v>7743956.4114420004</v>
      </c>
      <c r="M48" s="639">
        <f t="shared" ca="1" si="6"/>
        <v>6880472.1140420008</v>
      </c>
      <c r="N48" s="639">
        <f t="shared" ca="1" si="6"/>
        <v>7530656.3616406433</v>
      </c>
      <c r="O48" s="639">
        <f t="shared" ca="1" si="6"/>
        <v>7361133.7905641291</v>
      </c>
      <c r="P48" s="639">
        <f t="shared" ca="1" si="6"/>
        <v>3594786.5903764218</v>
      </c>
      <c r="Q48" s="639">
        <f t="shared" ca="1" si="6"/>
        <v>3338345.8090637624</v>
      </c>
      <c r="R48" s="639">
        <f t="shared" ca="1" si="6"/>
        <v>1084845.2063549533</v>
      </c>
      <c r="S48" s="639">
        <f t="shared" ca="1" si="6"/>
        <v>4570426.2393780164</v>
      </c>
      <c r="T48" s="639">
        <f t="shared" ca="1" si="6"/>
        <v>3053711.6107952632</v>
      </c>
      <c r="U48" s="639">
        <f t="shared" ca="1" si="6"/>
        <v>4446730.4225383811</v>
      </c>
      <c r="V48" s="639">
        <f t="shared" ca="1" si="6"/>
        <v>55886945.199749388</v>
      </c>
      <c r="W48" s="639">
        <f ca="1">SUM(B48:V48)</f>
        <v>77857664.357706651</v>
      </c>
      <c r="Y48" s="203"/>
    </row>
    <row r="49" spans="1:25" x14ac:dyDescent="0.35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Y49" s="203"/>
    </row>
    <row r="50" spans="1:25" ht="16" thickBot="1" x14ac:dyDescent="0.4">
      <c r="A50" s="177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Y50" s="203"/>
    </row>
    <row r="51" spans="1:25" ht="16" thickBot="1" x14ac:dyDescent="0.4">
      <c r="A51" s="204" t="s">
        <v>304</v>
      </c>
      <c r="B51" s="651">
        <v>5.8000000000000003E-2</v>
      </c>
      <c r="C51" s="180" t="s">
        <v>859</v>
      </c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</row>
    <row r="52" spans="1:25" ht="16" thickBot="1" x14ac:dyDescent="0.4">
      <c r="A52" s="204" t="s">
        <v>305</v>
      </c>
      <c r="B52" s="652">
        <f ca="1">B48+NPV(B51,C48:V48)</f>
        <v>14946167.801577434</v>
      </c>
      <c r="C52" s="180" t="s">
        <v>306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</row>
    <row r="53" spans="1:25" ht="16" thickBot="1" x14ac:dyDescent="0.4">
      <c r="A53" s="204" t="s">
        <v>307</v>
      </c>
      <c r="B53" s="653">
        <f ca="1">IRR(B48:V48,-0.1)</f>
        <v>8.9719743846629507E-2</v>
      </c>
      <c r="C53" s="180" t="s">
        <v>859</v>
      </c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</row>
    <row r="54" spans="1:25" customFormat="1" ht="12.5" x14ac:dyDescent="0.25">
      <c r="B54" s="654"/>
      <c r="C54" s="654"/>
      <c r="D54" s="654"/>
      <c r="E54" s="654"/>
      <c r="F54" s="654"/>
      <c r="G54" s="654"/>
      <c r="H54" s="654"/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</row>
    <row r="55" spans="1:25" x14ac:dyDescent="0.35">
      <c r="A55" t="s">
        <v>447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</row>
    <row r="56" spans="1:25" x14ac:dyDescent="0.35">
      <c r="A56" s="177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</row>
    <row r="57" spans="1:25" x14ac:dyDescent="0.35">
      <c r="A57" s="198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</row>
    <row r="58" spans="1:25" x14ac:dyDescent="0.35">
      <c r="A58" s="177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</row>
    <row r="59" spans="1:25" x14ac:dyDescent="0.35">
      <c r="A59" s="198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</row>
    <row r="60" spans="1:25" x14ac:dyDescent="0.35">
      <c r="A60" s="177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</row>
    <row r="61" spans="1:25" x14ac:dyDescent="0.35">
      <c r="A61" s="177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</row>
    <row r="62" spans="1:25" x14ac:dyDescent="0.35">
      <c r="A62" s="177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</row>
    <row r="63" spans="1:25" x14ac:dyDescent="0.35">
      <c r="A63" s="177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</row>
    <row r="64" spans="1:25" x14ac:dyDescent="0.35">
      <c r="A64" s="177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</row>
    <row r="65" spans="1:23" x14ac:dyDescent="0.35">
      <c r="A65" s="177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</row>
    <row r="66" spans="1:23" x14ac:dyDescent="0.35">
      <c r="A66" s="177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</row>
    <row r="67" spans="1:23" x14ac:dyDescent="0.35">
      <c r="A67" s="177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</row>
    <row r="68" spans="1:23" x14ac:dyDescent="0.35">
      <c r="A68" s="177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</row>
    <row r="69" spans="1:23" x14ac:dyDescent="0.35">
      <c r="A69" s="177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</row>
    <row r="70" spans="1:23" x14ac:dyDescent="0.35">
      <c r="A70" s="177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</row>
    <row r="71" spans="1:23" x14ac:dyDescent="0.35">
      <c r="A71" s="177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</row>
    <row r="72" spans="1:23" x14ac:dyDescent="0.35">
      <c r="A72" s="177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</row>
    <row r="73" spans="1:23" x14ac:dyDescent="0.35">
      <c r="A73" s="177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</row>
    <row r="74" spans="1:23" x14ac:dyDescent="0.35">
      <c r="A74" s="177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</row>
    <row r="75" spans="1:23" x14ac:dyDescent="0.35">
      <c r="A75" s="177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</row>
    <row r="76" spans="1:23" x14ac:dyDescent="0.35">
      <c r="A76" s="177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</row>
    <row r="77" spans="1:23" x14ac:dyDescent="0.35">
      <c r="A77" s="177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</row>
    <row r="78" spans="1:23" x14ac:dyDescent="0.35">
      <c r="A78" s="177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</row>
    <row r="79" spans="1:23" x14ac:dyDescent="0.35">
      <c r="A79" s="177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</row>
    <row r="80" spans="1:23" x14ac:dyDescent="0.35">
      <c r="A80" s="177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</row>
    <row r="81" spans="1:22" x14ac:dyDescent="0.35">
      <c r="A81" s="177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</row>
    <row r="82" spans="1:22" x14ac:dyDescent="0.35">
      <c r="A82" s="177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</row>
    <row r="83" spans="1:22" x14ac:dyDescent="0.35">
      <c r="A83" s="177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</row>
    <row r="84" spans="1:22" x14ac:dyDescent="0.35">
      <c r="A84" s="177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</row>
    <row r="85" spans="1:22" x14ac:dyDescent="0.35">
      <c r="A85" s="177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</row>
    <row r="86" spans="1:22" x14ac:dyDescent="0.35">
      <c r="A86" s="177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</row>
    <row r="87" spans="1:22" x14ac:dyDescent="0.35">
      <c r="A87" s="177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</row>
    <row r="88" spans="1:22" x14ac:dyDescent="0.35">
      <c r="A88" s="177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</row>
    <row r="89" spans="1:22" x14ac:dyDescent="0.35">
      <c r="A89" s="177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</row>
    <row r="90" spans="1:22" x14ac:dyDescent="0.35">
      <c r="A90" s="177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</row>
    <row r="91" spans="1:22" x14ac:dyDescent="0.35">
      <c r="A91" s="177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</row>
    <row r="92" spans="1:22" x14ac:dyDescent="0.35">
      <c r="A92" s="177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</row>
    <row r="93" spans="1:22" x14ac:dyDescent="0.35">
      <c r="A93" s="177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</row>
    <row r="94" spans="1:22" x14ac:dyDescent="0.35">
      <c r="A94" s="177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</row>
    <row r="95" spans="1:22" x14ac:dyDescent="0.35">
      <c r="A95" s="177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</row>
    <row r="96" spans="1:22" x14ac:dyDescent="0.35">
      <c r="A96" s="177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</row>
    <row r="97" spans="1:22" x14ac:dyDescent="0.35">
      <c r="A97" s="177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</row>
    <row r="98" spans="1:22" x14ac:dyDescent="0.35">
      <c r="A98" s="177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</row>
    <row r="99" spans="1:22" x14ac:dyDescent="0.35">
      <c r="A99" s="177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</row>
    <row r="100" spans="1:22" x14ac:dyDescent="0.35">
      <c r="A100" s="177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</row>
    <row r="101" spans="1:22" x14ac:dyDescent="0.35">
      <c r="A101" s="177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</row>
    <row r="102" spans="1:22" x14ac:dyDescent="0.35">
      <c r="A102" s="177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</row>
    <row r="103" spans="1:22" x14ac:dyDescent="0.35">
      <c r="A103" s="177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</row>
    <row r="104" spans="1:22" x14ac:dyDescent="0.35">
      <c r="A104" s="177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</row>
    <row r="105" spans="1:22" x14ac:dyDescent="0.35">
      <c r="A105" s="177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</row>
  </sheetData>
  <sheetProtection objects="1"/>
  <mergeCells count="2">
    <mergeCell ref="B9:L9"/>
    <mergeCell ref="M9:W9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50" fitToWidth="0" orientation="landscape" horizontalDpi="300" verticalDpi="300" r:id="rId1"/>
  <headerFooter alignWithMargins="0"/>
  <colBreaks count="1" manualBreakCount="1">
    <brk id="12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1">
    <pageSetUpPr fitToPage="1"/>
  </sheetPr>
  <dimension ref="A1:V31"/>
  <sheetViews>
    <sheetView showGridLines="0" showZeros="0" view="pageBreakPreview" zoomScale="60" zoomScaleNormal="87" workbookViewId="0">
      <selection activeCell="A12" sqref="A12"/>
    </sheetView>
  </sheetViews>
  <sheetFormatPr defaultColWidth="12.54296875" defaultRowHeight="15.5" x14ac:dyDescent="0.35"/>
  <cols>
    <col min="1" max="1" width="47.7265625" style="495" customWidth="1"/>
    <col min="2" max="2" width="8.7265625" style="495" bestFit="1" customWidth="1"/>
    <col min="3" max="3" width="9.81640625" style="495" bestFit="1" customWidth="1"/>
    <col min="4" max="21" width="8.7265625" style="495" bestFit="1" customWidth="1"/>
    <col min="22" max="22" width="9.81640625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33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&amp;TECNOLOGIAS!$A$11</f>
        <v>VEÍCULO  Híbrido Piso Baixo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>
        <v>0</v>
      </c>
      <c r="C16" s="44">
        <v>11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44">
        <v>2</v>
      </c>
      <c r="N16" s="44">
        <v>0</v>
      </c>
      <c r="O16" s="44">
        <v>2</v>
      </c>
      <c r="P16" s="44">
        <v>0</v>
      </c>
      <c r="Q16" s="44">
        <v>1</v>
      </c>
      <c r="R16" s="44">
        <v>0</v>
      </c>
      <c r="S16" s="44">
        <v>2</v>
      </c>
      <c r="T16" s="44">
        <v>0</v>
      </c>
      <c r="U16" s="44">
        <v>1</v>
      </c>
      <c r="V16" s="44"/>
    </row>
    <row r="17" spans="1:22" x14ac:dyDescent="0.35">
      <c r="A17" s="286" t="s">
        <v>365</v>
      </c>
      <c r="B17" s="44"/>
      <c r="C17" s="44">
        <v>0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</row>
    <row r="18" spans="1:22" x14ac:dyDescent="0.35">
      <c r="A18" s="44" t="s">
        <v>25</v>
      </c>
      <c r="B18" s="44">
        <f>'8'!$B$15</f>
        <v>422000</v>
      </c>
      <c r="C18" s="44">
        <f>'8'!$B$15</f>
        <v>422000</v>
      </c>
      <c r="D18" s="44">
        <f>'8'!$B$15</f>
        <v>422000</v>
      </c>
      <c r="E18" s="44">
        <f>'8'!$B$15</f>
        <v>422000</v>
      </c>
      <c r="F18" s="44">
        <f>'8'!$B$15</f>
        <v>422000</v>
      </c>
      <c r="G18" s="44">
        <f>'8'!$B$15</f>
        <v>422000</v>
      </c>
      <c r="H18" s="44">
        <f>'8'!$B$15</f>
        <v>422000</v>
      </c>
      <c r="I18" s="44">
        <f>'8'!$B$15</f>
        <v>422000</v>
      </c>
      <c r="J18" s="44">
        <f>'8'!$B$15</f>
        <v>422000</v>
      </c>
      <c r="K18" s="44">
        <f>'8'!$B$15</f>
        <v>422000</v>
      </c>
      <c r="L18" s="44">
        <f>'8'!$B$15</f>
        <v>422000</v>
      </c>
      <c r="M18" s="44">
        <f>'8'!$B$15</f>
        <v>422000</v>
      </c>
      <c r="N18" s="44">
        <f>'8'!$B$15</f>
        <v>422000</v>
      </c>
      <c r="O18" s="44">
        <f>'8'!$B$15</f>
        <v>422000</v>
      </c>
      <c r="P18" s="44">
        <f>'8'!$B$15</f>
        <v>422000</v>
      </c>
      <c r="Q18" s="44">
        <f>'8'!$B$15</f>
        <v>422000</v>
      </c>
      <c r="R18" s="44">
        <f>'8'!$B$15</f>
        <v>422000</v>
      </c>
      <c r="S18" s="44">
        <f>'8'!$B$15</f>
        <v>422000</v>
      </c>
      <c r="T18" s="44">
        <f>'8'!$B$15</f>
        <v>422000</v>
      </c>
      <c r="U18" s="44">
        <f>'8'!$B$15</f>
        <v>422000</v>
      </c>
      <c r="V18" s="44">
        <f>'8'!$B$15</f>
        <v>422000</v>
      </c>
    </row>
    <row r="19" spans="1:22" x14ac:dyDescent="0.35">
      <c r="A19" s="44" t="s">
        <v>26</v>
      </c>
      <c r="B19" s="45">
        <f>ROUND(+B18*B16,2)</f>
        <v>0</v>
      </c>
      <c r="C19" s="45">
        <f t="shared" ref="C19:L19" si="0">ROUND(+C18*C16,2)</f>
        <v>4642000</v>
      </c>
      <c r="D19" s="45">
        <f t="shared" si="0"/>
        <v>0</v>
      </c>
      <c r="E19" s="45">
        <f t="shared" si="0"/>
        <v>0</v>
      </c>
      <c r="F19" s="45">
        <f t="shared" si="0"/>
        <v>0</v>
      </c>
      <c r="G19" s="45">
        <f t="shared" si="0"/>
        <v>0</v>
      </c>
      <c r="H19" s="45">
        <f t="shared" si="0"/>
        <v>0</v>
      </c>
      <c r="I19" s="45">
        <f t="shared" si="0"/>
        <v>0</v>
      </c>
      <c r="J19" s="45">
        <f t="shared" si="0"/>
        <v>0</v>
      </c>
      <c r="K19" s="45">
        <f t="shared" si="0"/>
        <v>0</v>
      </c>
      <c r="L19" s="45">
        <f t="shared" si="0"/>
        <v>0</v>
      </c>
      <c r="M19" s="45">
        <f t="shared" ref="M19:V19" si="1">ROUND(+M18*M16,2)</f>
        <v>844000</v>
      </c>
      <c r="N19" s="45">
        <f t="shared" si="1"/>
        <v>0</v>
      </c>
      <c r="O19" s="45">
        <f t="shared" si="1"/>
        <v>844000</v>
      </c>
      <c r="P19" s="45">
        <f t="shared" si="1"/>
        <v>0</v>
      </c>
      <c r="Q19" s="45">
        <f t="shared" si="1"/>
        <v>422000</v>
      </c>
      <c r="R19" s="45">
        <f t="shared" si="1"/>
        <v>0</v>
      </c>
      <c r="S19" s="45">
        <f t="shared" si="1"/>
        <v>844000</v>
      </c>
      <c r="T19" s="45">
        <f t="shared" si="1"/>
        <v>0</v>
      </c>
      <c r="U19" s="45">
        <f t="shared" si="1"/>
        <v>422000</v>
      </c>
      <c r="V19" s="45">
        <f t="shared" si="1"/>
        <v>0</v>
      </c>
    </row>
    <row r="20" spans="1:22" x14ac:dyDescent="0.35">
      <c r="A20" s="44" t="s">
        <v>27</v>
      </c>
      <c r="B20" s="44">
        <v>10</v>
      </c>
      <c r="C20" s="44">
        <v>10</v>
      </c>
      <c r="D20" s="44">
        <v>10</v>
      </c>
      <c r="E20" s="44">
        <v>10</v>
      </c>
      <c r="F20" s="44">
        <v>10</v>
      </c>
      <c r="G20" s="44">
        <v>10</v>
      </c>
      <c r="H20" s="44">
        <v>10</v>
      </c>
      <c r="I20" s="44">
        <v>10</v>
      </c>
      <c r="J20" s="44">
        <v>10</v>
      </c>
      <c r="K20" s="44">
        <v>10</v>
      </c>
      <c r="L20" s="44">
        <v>10</v>
      </c>
      <c r="M20" s="44">
        <v>10</v>
      </c>
      <c r="N20" s="44">
        <v>10</v>
      </c>
      <c r="O20" s="44">
        <v>10</v>
      </c>
      <c r="P20" s="44">
        <v>10</v>
      </c>
      <c r="Q20" s="44">
        <v>10</v>
      </c>
      <c r="R20" s="44">
        <v>10</v>
      </c>
      <c r="S20" s="44">
        <v>10</v>
      </c>
      <c r="T20" s="44">
        <v>10</v>
      </c>
      <c r="U20" s="44">
        <v>10</v>
      </c>
      <c r="V20" s="44">
        <v>10</v>
      </c>
    </row>
    <row r="21" spans="1:22" x14ac:dyDescent="0.35">
      <c r="A21" s="44" t="s">
        <v>228</v>
      </c>
      <c r="B21" s="166">
        <f>+B20-B17</f>
        <v>10</v>
      </c>
      <c r="C21" s="166">
        <f>+C20-C17</f>
        <v>10</v>
      </c>
      <c r="D21" s="166">
        <f>+D20-D17</f>
        <v>10</v>
      </c>
      <c r="E21" s="166">
        <f>+E20-E17</f>
        <v>10</v>
      </c>
      <c r="F21" s="166">
        <f>+F20-F17</f>
        <v>10</v>
      </c>
      <c r="G21" s="166">
        <f t="shared" ref="G21:L21" si="2">+G20-G17</f>
        <v>10</v>
      </c>
      <c r="H21" s="166">
        <f t="shared" si="2"/>
        <v>10</v>
      </c>
      <c r="I21" s="166">
        <f t="shared" si="2"/>
        <v>10</v>
      </c>
      <c r="J21" s="166">
        <f t="shared" si="2"/>
        <v>10</v>
      </c>
      <c r="K21" s="166">
        <f t="shared" si="2"/>
        <v>10</v>
      </c>
      <c r="L21" s="166">
        <f t="shared" si="2"/>
        <v>10</v>
      </c>
      <c r="M21" s="166">
        <f t="shared" ref="M21:V21" si="3">+M20-M17</f>
        <v>10</v>
      </c>
      <c r="N21" s="166">
        <f t="shared" si="3"/>
        <v>10</v>
      </c>
      <c r="O21" s="166">
        <f t="shared" si="3"/>
        <v>10</v>
      </c>
      <c r="P21" s="166">
        <f t="shared" si="3"/>
        <v>10</v>
      </c>
      <c r="Q21" s="166">
        <f t="shared" si="3"/>
        <v>10</v>
      </c>
      <c r="R21" s="166">
        <f t="shared" si="3"/>
        <v>10</v>
      </c>
      <c r="S21" s="166">
        <f t="shared" si="3"/>
        <v>10</v>
      </c>
      <c r="T21" s="166">
        <f t="shared" si="3"/>
        <v>10</v>
      </c>
      <c r="U21" s="166">
        <f t="shared" si="3"/>
        <v>10</v>
      </c>
      <c r="V21" s="166">
        <f t="shared" si="3"/>
        <v>10</v>
      </c>
    </row>
    <row r="22" spans="1:22" x14ac:dyDescent="0.35">
      <c r="A22" s="44" t="s">
        <v>229</v>
      </c>
      <c r="B22" s="566">
        <v>0.2</v>
      </c>
      <c r="C22" s="566">
        <v>0.2</v>
      </c>
      <c r="D22" s="566">
        <v>0.2</v>
      </c>
      <c r="E22" s="566">
        <v>0.2</v>
      </c>
      <c r="F22" s="566">
        <v>0.2</v>
      </c>
      <c r="G22" s="566">
        <v>0.2</v>
      </c>
      <c r="H22" s="566">
        <v>0.2</v>
      </c>
      <c r="I22" s="566">
        <v>0.2</v>
      </c>
      <c r="J22" s="566">
        <v>0.2</v>
      </c>
      <c r="K22" s="566">
        <v>0.2</v>
      </c>
      <c r="L22" s="566">
        <v>0.2</v>
      </c>
      <c r="M22" s="566">
        <v>0.2</v>
      </c>
      <c r="N22" s="566">
        <v>0.2</v>
      </c>
      <c r="O22" s="566">
        <v>0.2</v>
      </c>
      <c r="P22" s="566">
        <v>0.2</v>
      </c>
      <c r="Q22" s="566">
        <v>0.2</v>
      </c>
      <c r="R22" s="566">
        <v>0.2</v>
      </c>
      <c r="S22" s="566">
        <v>0.2</v>
      </c>
      <c r="T22" s="566">
        <v>0.2</v>
      </c>
      <c r="U22" s="566">
        <v>0.2</v>
      </c>
      <c r="V22" s="566">
        <v>0.2</v>
      </c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>
        <v>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2</v>
      </c>
      <c r="N27" s="44">
        <v>0</v>
      </c>
      <c r="O27" s="44">
        <v>2</v>
      </c>
      <c r="P27" s="44">
        <v>0</v>
      </c>
      <c r="Q27" s="44">
        <v>1</v>
      </c>
      <c r="R27" s="44">
        <v>0</v>
      </c>
      <c r="S27" s="44">
        <v>2</v>
      </c>
      <c r="T27" s="44">
        <v>0</v>
      </c>
      <c r="U27" s="44">
        <v>1</v>
      </c>
      <c r="V27" s="44">
        <v>11</v>
      </c>
    </row>
    <row r="28" spans="1:22" x14ac:dyDescent="0.35">
      <c r="A28" s="44" t="s">
        <v>231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>
        <f>0.33*M18</f>
        <v>139260</v>
      </c>
      <c r="N28" s="44"/>
      <c r="O28" s="44">
        <f>0.267*O18</f>
        <v>112674</v>
      </c>
      <c r="P28" s="44"/>
      <c r="Q28" s="44">
        <f>0.22*Q18</f>
        <v>92840</v>
      </c>
      <c r="R28" s="44"/>
      <c r="S28" s="44">
        <f>0.2*S18</f>
        <v>84400</v>
      </c>
      <c r="T28" s="44"/>
      <c r="U28" s="44">
        <f>0.2*U18</f>
        <v>84400</v>
      </c>
      <c r="V28" s="44">
        <f>0.4*V18</f>
        <v>168800</v>
      </c>
    </row>
    <row r="29" spans="1:22" x14ac:dyDescent="0.35">
      <c r="A29" s="44" t="s">
        <v>232</v>
      </c>
      <c r="B29" s="45">
        <f>ROUND(B27*B28,2)</f>
        <v>0</v>
      </c>
      <c r="C29" s="45">
        <f t="shared" ref="C29:L29" si="4">ROUND(C27*C28,2)</f>
        <v>0</v>
      </c>
      <c r="D29" s="45">
        <f t="shared" si="4"/>
        <v>0</v>
      </c>
      <c r="E29" s="45">
        <f t="shared" si="4"/>
        <v>0</v>
      </c>
      <c r="F29" s="45">
        <f t="shared" si="4"/>
        <v>0</v>
      </c>
      <c r="G29" s="45">
        <f t="shared" si="4"/>
        <v>0</v>
      </c>
      <c r="H29" s="45">
        <f t="shared" si="4"/>
        <v>0</v>
      </c>
      <c r="I29" s="45">
        <f t="shared" si="4"/>
        <v>0</v>
      </c>
      <c r="J29" s="45">
        <f t="shared" si="4"/>
        <v>0</v>
      </c>
      <c r="K29" s="45">
        <f t="shared" si="4"/>
        <v>0</v>
      </c>
      <c r="L29" s="45">
        <f t="shared" si="4"/>
        <v>0</v>
      </c>
      <c r="M29" s="45">
        <f t="shared" ref="M29:V29" si="5">ROUND(M27*M28,2)</f>
        <v>278520</v>
      </c>
      <c r="N29" s="45">
        <f t="shared" si="5"/>
        <v>0</v>
      </c>
      <c r="O29" s="45">
        <f t="shared" si="5"/>
        <v>225348</v>
      </c>
      <c r="P29" s="45">
        <f t="shared" si="5"/>
        <v>0</v>
      </c>
      <c r="Q29" s="45">
        <f t="shared" si="5"/>
        <v>92840</v>
      </c>
      <c r="R29" s="45">
        <f t="shared" si="5"/>
        <v>0</v>
      </c>
      <c r="S29" s="45">
        <f t="shared" si="5"/>
        <v>168800</v>
      </c>
      <c r="T29" s="45">
        <f t="shared" si="5"/>
        <v>0</v>
      </c>
      <c r="U29" s="45">
        <f t="shared" si="5"/>
        <v>84400</v>
      </c>
      <c r="V29" s="45">
        <f t="shared" si="5"/>
        <v>1856800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2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2">
    <pageSetUpPr fitToPage="1"/>
  </sheetPr>
  <dimension ref="A1:V31"/>
  <sheetViews>
    <sheetView showGridLines="0" showZeros="0" view="pageBreakPreview" zoomScale="60" zoomScaleNormal="87" workbookViewId="0">
      <selection activeCell="A2" sqref="A2"/>
    </sheetView>
  </sheetViews>
  <sheetFormatPr defaultColWidth="12.54296875" defaultRowHeight="15.5" x14ac:dyDescent="0.35"/>
  <cols>
    <col min="1" max="1" width="47.7265625" style="495" customWidth="1"/>
    <col min="2" max="2" width="8.7265625" style="495" bestFit="1" customWidth="1"/>
    <col min="3" max="3" width="7.54296875" style="495" bestFit="1" customWidth="1"/>
    <col min="4" max="4" width="8.7265625" style="495" bestFit="1" customWidth="1"/>
    <col min="5" max="5" width="7.54296875" style="495" bestFit="1" customWidth="1"/>
    <col min="6" max="6" width="8.7265625" style="495" bestFit="1" customWidth="1"/>
    <col min="7" max="7" width="7.54296875" style="495" bestFit="1" customWidth="1"/>
    <col min="8" max="8" width="8.7265625" style="495" bestFit="1" customWidth="1"/>
    <col min="9" max="9" width="7.54296875" style="495" bestFit="1" customWidth="1"/>
    <col min="10" max="10" width="8.7265625" style="495" bestFit="1" customWidth="1"/>
    <col min="11" max="11" width="7.54296875" style="495" bestFit="1" customWidth="1"/>
    <col min="12" max="12" width="8.7265625" style="495" bestFit="1" customWidth="1"/>
    <col min="13" max="13" width="7.54296875" style="495" bestFit="1" customWidth="1"/>
    <col min="14" max="14" width="8.7265625" style="495" bestFit="1" customWidth="1"/>
    <col min="15" max="15" width="7.54296875" style="495" bestFit="1" customWidth="1"/>
    <col min="16" max="16" width="8.7265625" style="495" bestFit="1" customWidth="1"/>
    <col min="17" max="17" width="7.54296875" style="495" bestFit="1" customWidth="1"/>
    <col min="18" max="18" width="8.7265625" style="495" bestFit="1" customWidth="1"/>
    <col min="19" max="19" width="7.54296875" style="495" bestFit="1" customWidth="1"/>
    <col min="20" max="20" width="8.7265625" style="495" bestFit="1" customWidth="1"/>
    <col min="21" max="21" width="7.54296875" style="495" bestFit="1" customWidth="1"/>
    <col min="22" max="22" width="8.7265625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34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&amp;TECNOLOGIAS!$A$12</f>
        <v>VEÍCULO  Van Atende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>
        <v>35</v>
      </c>
      <c r="C16" s="44">
        <v>0</v>
      </c>
      <c r="D16" s="44">
        <v>4</v>
      </c>
      <c r="E16" s="44">
        <v>0</v>
      </c>
      <c r="F16" s="44">
        <v>4</v>
      </c>
      <c r="G16" s="44">
        <v>0</v>
      </c>
      <c r="H16" s="44">
        <v>4</v>
      </c>
      <c r="I16" s="44">
        <v>0</v>
      </c>
      <c r="J16" s="44">
        <v>4</v>
      </c>
      <c r="K16" s="44">
        <v>0</v>
      </c>
      <c r="L16" s="44">
        <v>4</v>
      </c>
      <c r="M16" s="44">
        <v>0</v>
      </c>
      <c r="N16" s="44">
        <v>4</v>
      </c>
      <c r="O16" s="44">
        <v>0</v>
      </c>
      <c r="P16" s="44">
        <v>4</v>
      </c>
      <c r="Q16" s="44">
        <v>0</v>
      </c>
      <c r="R16" s="44">
        <v>4</v>
      </c>
      <c r="S16" s="44">
        <v>0</v>
      </c>
      <c r="T16" s="44">
        <v>3</v>
      </c>
      <c r="U16" s="44">
        <v>0</v>
      </c>
      <c r="V16" s="44"/>
    </row>
    <row r="17" spans="1:22" x14ac:dyDescent="0.35">
      <c r="A17" s="286" t="s">
        <v>365</v>
      </c>
      <c r="B17" s="44">
        <v>4.0999999999999996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</row>
    <row r="18" spans="1:22" x14ac:dyDescent="0.35">
      <c r="A18" s="44" t="s">
        <v>25</v>
      </c>
      <c r="B18" s="44">
        <f>0.42*'8'!$B$16</f>
        <v>25200</v>
      </c>
      <c r="C18" s="44">
        <f>'8'!$B$16</f>
        <v>60000</v>
      </c>
      <c r="D18" s="44">
        <f>'8'!$B$16</f>
        <v>60000</v>
      </c>
      <c r="E18" s="44">
        <f>'8'!$B$16</f>
        <v>60000</v>
      </c>
      <c r="F18" s="44">
        <f>'8'!$B$16</f>
        <v>60000</v>
      </c>
      <c r="G18" s="44">
        <f>'8'!$B$16</f>
        <v>60000</v>
      </c>
      <c r="H18" s="44">
        <f>'8'!$B$16</f>
        <v>60000</v>
      </c>
      <c r="I18" s="44">
        <f>'8'!$B$16</f>
        <v>60000</v>
      </c>
      <c r="J18" s="44">
        <f>'8'!$B$16</f>
        <v>60000</v>
      </c>
      <c r="K18" s="44">
        <f>'8'!$B$16</f>
        <v>60000</v>
      </c>
      <c r="L18" s="44">
        <f>'8'!$B$16</f>
        <v>60000</v>
      </c>
      <c r="M18" s="44">
        <f>'8'!$B$16</f>
        <v>60000</v>
      </c>
      <c r="N18" s="44">
        <f>'8'!$B$16</f>
        <v>60000</v>
      </c>
      <c r="O18" s="44">
        <f>'8'!$B$16</f>
        <v>60000</v>
      </c>
      <c r="P18" s="44">
        <f>'8'!$B$16</f>
        <v>60000</v>
      </c>
      <c r="Q18" s="44">
        <f>'8'!$B$16</f>
        <v>60000</v>
      </c>
      <c r="R18" s="44">
        <f>'8'!$B$16</f>
        <v>60000</v>
      </c>
      <c r="S18" s="44">
        <f>'8'!$B$16</f>
        <v>60000</v>
      </c>
      <c r="T18" s="44">
        <f>'8'!$B$16</f>
        <v>60000</v>
      </c>
      <c r="U18" s="44">
        <f>'8'!$B$16</f>
        <v>60000</v>
      </c>
      <c r="V18" s="44">
        <f>'8'!$B$16</f>
        <v>60000</v>
      </c>
    </row>
    <row r="19" spans="1:22" x14ac:dyDescent="0.35">
      <c r="A19" s="44" t="s">
        <v>26</v>
      </c>
      <c r="B19" s="45">
        <f>ROUND(+B18*B16,2)</f>
        <v>882000</v>
      </c>
      <c r="C19" s="45">
        <f t="shared" ref="C19:L19" si="0">ROUND(+C18*C16,2)</f>
        <v>0</v>
      </c>
      <c r="D19" s="45">
        <f t="shared" si="0"/>
        <v>240000</v>
      </c>
      <c r="E19" s="45">
        <f t="shared" si="0"/>
        <v>0</v>
      </c>
      <c r="F19" s="45">
        <f t="shared" si="0"/>
        <v>240000</v>
      </c>
      <c r="G19" s="45">
        <f t="shared" si="0"/>
        <v>0</v>
      </c>
      <c r="H19" s="45">
        <f t="shared" si="0"/>
        <v>240000</v>
      </c>
      <c r="I19" s="45">
        <f t="shared" si="0"/>
        <v>0</v>
      </c>
      <c r="J19" s="45">
        <f t="shared" si="0"/>
        <v>240000</v>
      </c>
      <c r="K19" s="45">
        <f t="shared" si="0"/>
        <v>0</v>
      </c>
      <c r="L19" s="45">
        <f t="shared" si="0"/>
        <v>240000</v>
      </c>
      <c r="M19" s="45">
        <f t="shared" ref="M19:V19" si="1">ROUND(+M18*M16,2)</f>
        <v>0</v>
      </c>
      <c r="N19" s="45">
        <f t="shared" si="1"/>
        <v>240000</v>
      </c>
      <c r="O19" s="45">
        <f t="shared" si="1"/>
        <v>0</v>
      </c>
      <c r="P19" s="45">
        <f t="shared" si="1"/>
        <v>240000</v>
      </c>
      <c r="Q19" s="45">
        <f t="shared" si="1"/>
        <v>0</v>
      </c>
      <c r="R19" s="45">
        <f t="shared" si="1"/>
        <v>240000</v>
      </c>
      <c r="S19" s="45">
        <f t="shared" si="1"/>
        <v>0</v>
      </c>
      <c r="T19" s="45">
        <f t="shared" si="1"/>
        <v>180000</v>
      </c>
      <c r="U19" s="45">
        <f t="shared" si="1"/>
        <v>0</v>
      </c>
      <c r="V19" s="45">
        <f t="shared" si="1"/>
        <v>0</v>
      </c>
    </row>
    <row r="20" spans="1:22" x14ac:dyDescent="0.35">
      <c r="A20" s="44" t="s">
        <v>27</v>
      </c>
      <c r="B20" s="44">
        <v>10</v>
      </c>
      <c r="C20" s="44">
        <v>10</v>
      </c>
      <c r="D20" s="44">
        <v>10</v>
      </c>
      <c r="E20" s="44">
        <v>10</v>
      </c>
      <c r="F20" s="44">
        <v>10</v>
      </c>
      <c r="G20" s="44">
        <v>10</v>
      </c>
      <c r="H20" s="44">
        <v>10</v>
      </c>
      <c r="I20" s="44">
        <v>10</v>
      </c>
      <c r="J20" s="44">
        <v>10</v>
      </c>
      <c r="K20" s="44">
        <v>10</v>
      </c>
      <c r="L20" s="44">
        <v>10</v>
      </c>
      <c r="M20" s="44">
        <v>10</v>
      </c>
      <c r="N20" s="44">
        <v>10</v>
      </c>
      <c r="O20" s="44">
        <v>10</v>
      </c>
      <c r="P20" s="44">
        <v>10</v>
      </c>
      <c r="Q20" s="44">
        <v>10</v>
      </c>
      <c r="R20" s="44">
        <v>10</v>
      </c>
      <c r="S20" s="44">
        <v>10</v>
      </c>
      <c r="T20" s="44">
        <v>10</v>
      </c>
      <c r="U20" s="44">
        <v>10</v>
      </c>
      <c r="V20" s="44">
        <v>10</v>
      </c>
    </row>
    <row r="21" spans="1:22" x14ac:dyDescent="0.35">
      <c r="A21" s="44" t="s">
        <v>228</v>
      </c>
      <c r="B21" s="166">
        <f>+B20-B17</f>
        <v>5.9</v>
      </c>
      <c r="C21" s="166">
        <f>+C20-C17</f>
        <v>10</v>
      </c>
      <c r="D21" s="166">
        <f>+D20-D17</f>
        <v>10</v>
      </c>
      <c r="E21" s="166">
        <f>+E20-E17</f>
        <v>10</v>
      </c>
      <c r="F21" s="166">
        <f>+F20-F17</f>
        <v>10</v>
      </c>
      <c r="G21" s="166">
        <f t="shared" ref="G21:L21" si="2">+G20-G17</f>
        <v>10</v>
      </c>
      <c r="H21" s="166">
        <f t="shared" si="2"/>
        <v>10</v>
      </c>
      <c r="I21" s="166">
        <f t="shared" si="2"/>
        <v>10</v>
      </c>
      <c r="J21" s="166">
        <f t="shared" si="2"/>
        <v>10</v>
      </c>
      <c r="K21" s="166">
        <f t="shared" si="2"/>
        <v>10</v>
      </c>
      <c r="L21" s="166">
        <f t="shared" si="2"/>
        <v>10</v>
      </c>
      <c r="M21" s="166">
        <f t="shared" ref="M21:V21" si="3">+M20-M17</f>
        <v>10</v>
      </c>
      <c r="N21" s="166">
        <f t="shared" si="3"/>
        <v>10</v>
      </c>
      <c r="O21" s="166">
        <f t="shared" si="3"/>
        <v>10</v>
      </c>
      <c r="P21" s="166">
        <f t="shared" si="3"/>
        <v>10</v>
      </c>
      <c r="Q21" s="166">
        <f t="shared" si="3"/>
        <v>10</v>
      </c>
      <c r="R21" s="166">
        <f t="shared" si="3"/>
        <v>10</v>
      </c>
      <c r="S21" s="166">
        <f t="shared" si="3"/>
        <v>10</v>
      </c>
      <c r="T21" s="166">
        <f t="shared" si="3"/>
        <v>10</v>
      </c>
      <c r="U21" s="166">
        <f t="shared" si="3"/>
        <v>10</v>
      </c>
      <c r="V21" s="166">
        <f t="shared" si="3"/>
        <v>10</v>
      </c>
    </row>
    <row r="22" spans="1:22" x14ac:dyDescent="0.35">
      <c r="A22" s="44" t="s">
        <v>229</v>
      </c>
      <c r="B22" s="566">
        <v>0.2</v>
      </c>
      <c r="C22" s="566">
        <v>0.2</v>
      </c>
      <c r="D22" s="566">
        <v>0.2</v>
      </c>
      <c r="E22" s="566">
        <v>0.2</v>
      </c>
      <c r="F22" s="566">
        <v>0.2</v>
      </c>
      <c r="G22" s="566">
        <v>0.2</v>
      </c>
      <c r="H22" s="566">
        <v>0.2</v>
      </c>
      <c r="I22" s="566">
        <v>0.2</v>
      </c>
      <c r="J22" s="566">
        <v>0.2</v>
      </c>
      <c r="K22" s="566">
        <v>0.2</v>
      </c>
      <c r="L22" s="566">
        <v>0.2</v>
      </c>
      <c r="M22" s="566">
        <v>0.2</v>
      </c>
      <c r="N22" s="566">
        <v>0.2</v>
      </c>
      <c r="O22" s="566">
        <v>0.2</v>
      </c>
      <c r="P22" s="566">
        <v>0.2</v>
      </c>
      <c r="Q22" s="566">
        <v>0.2</v>
      </c>
      <c r="R22" s="566">
        <v>0.2</v>
      </c>
      <c r="S22" s="566">
        <v>0.2</v>
      </c>
      <c r="T22" s="566">
        <v>0.2</v>
      </c>
      <c r="U22" s="566">
        <v>0.2</v>
      </c>
      <c r="V22" s="566">
        <v>0.2</v>
      </c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>
        <v>0</v>
      </c>
      <c r="C27" s="44">
        <v>0</v>
      </c>
      <c r="D27" s="44">
        <v>4</v>
      </c>
      <c r="E27" s="44">
        <v>0</v>
      </c>
      <c r="F27" s="44">
        <v>4</v>
      </c>
      <c r="G27" s="44">
        <v>0</v>
      </c>
      <c r="H27" s="44">
        <v>4</v>
      </c>
      <c r="I27" s="44">
        <v>0</v>
      </c>
      <c r="J27" s="44">
        <v>4</v>
      </c>
      <c r="K27" s="44">
        <v>0</v>
      </c>
      <c r="L27" s="44">
        <v>4</v>
      </c>
      <c r="M27" s="44">
        <v>0</v>
      </c>
      <c r="N27" s="44">
        <v>4</v>
      </c>
      <c r="O27" s="44">
        <v>0</v>
      </c>
      <c r="P27" s="44">
        <v>4</v>
      </c>
      <c r="Q27" s="44">
        <v>0</v>
      </c>
      <c r="R27" s="44">
        <v>4</v>
      </c>
      <c r="S27" s="44">
        <v>0</v>
      </c>
      <c r="T27" s="44">
        <v>3</v>
      </c>
      <c r="U27" s="44">
        <v>0</v>
      </c>
      <c r="V27" s="44">
        <v>35</v>
      </c>
    </row>
    <row r="28" spans="1:22" x14ac:dyDescent="0.35">
      <c r="A28" s="44" t="s">
        <v>231</v>
      </c>
      <c r="B28" s="44"/>
      <c r="C28" s="44">
        <f>0.2*C18</f>
        <v>12000</v>
      </c>
      <c r="D28" s="44">
        <f t="shared" ref="D28:U28" si="4">0.2*D18</f>
        <v>12000</v>
      </c>
      <c r="E28" s="44">
        <f t="shared" si="4"/>
        <v>12000</v>
      </c>
      <c r="F28" s="44">
        <f t="shared" si="4"/>
        <v>12000</v>
      </c>
      <c r="G28" s="44">
        <f t="shared" si="4"/>
        <v>12000</v>
      </c>
      <c r="H28" s="44">
        <f t="shared" si="4"/>
        <v>12000</v>
      </c>
      <c r="I28" s="44">
        <f t="shared" si="4"/>
        <v>12000</v>
      </c>
      <c r="J28" s="44">
        <f t="shared" si="4"/>
        <v>12000</v>
      </c>
      <c r="K28" s="44">
        <f t="shared" si="4"/>
        <v>12000</v>
      </c>
      <c r="L28" s="44">
        <f t="shared" si="4"/>
        <v>12000</v>
      </c>
      <c r="M28" s="44">
        <f t="shared" si="4"/>
        <v>12000</v>
      </c>
      <c r="N28" s="44">
        <f t="shared" si="4"/>
        <v>12000</v>
      </c>
      <c r="O28" s="44">
        <f t="shared" si="4"/>
        <v>12000</v>
      </c>
      <c r="P28" s="44">
        <f t="shared" si="4"/>
        <v>12000</v>
      </c>
      <c r="Q28" s="44">
        <f t="shared" si="4"/>
        <v>12000</v>
      </c>
      <c r="R28" s="44">
        <f t="shared" si="4"/>
        <v>12000</v>
      </c>
      <c r="S28" s="44">
        <f t="shared" si="4"/>
        <v>12000</v>
      </c>
      <c r="T28" s="44">
        <f t="shared" si="4"/>
        <v>12000</v>
      </c>
      <c r="U28" s="44">
        <f t="shared" si="4"/>
        <v>12000</v>
      </c>
      <c r="V28" s="44">
        <f>0.4*V18</f>
        <v>24000</v>
      </c>
    </row>
    <row r="29" spans="1:22" x14ac:dyDescent="0.35">
      <c r="A29" s="44" t="s">
        <v>232</v>
      </c>
      <c r="B29" s="45">
        <f>ROUND(B27*B28,2)</f>
        <v>0</v>
      </c>
      <c r="C29" s="45">
        <f t="shared" ref="C29:L29" si="5">ROUND(C27*C28,2)</f>
        <v>0</v>
      </c>
      <c r="D29" s="45">
        <f t="shared" si="5"/>
        <v>48000</v>
      </c>
      <c r="E29" s="45">
        <f t="shared" si="5"/>
        <v>0</v>
      </c>
      <c r="F29" s="45">
        <f t="shared" si="5"/>
        <v>48000</v>
      </c>
      <c r="G29" s="45">
        <f t="shared" si="5"/>
        <v>0</v>
      </c>
      <c r="H29" s="45">
        <f t="shared" si="5"/>
        <v>48000</v>
      </c>
      <c r="I29" s="45">
        <f t="shared" si="5"/>
        <v>0</v>
      </c>
      <c r="J29" s="45">
        <f t="shared" si="5"/>
        <v>48000</v>
      </c>
      <c r="K29" s="45">
        <f t="shared" si="5"/>
        <v>0</v>
      </c>
      <c r="L29" s="45">
        <f t="shared" si="5"/>
        <v>48000</v>
      </c>
      <c r="M29" s="45">
        <f t="shared" ref="M29:V29" si="6">ROUND(M27*M28,2)</f>
        <v>0</v>
      </c>
      <c r="N29" s="45">
        <f t="shared" si="6"/>
        <v>48000</v>
      </c>
      <c r="O29" s="45">
        <f t="shared" si="6"/>
        <v>0</v>
      </c>
      <c r="P29" s="45">
        <f t="shared" si="6"/>
        <v>48000</v>
      </c>
      <c r="Q29" s="45">
        <f t="shared" si="6"/>
        <v>0</v>
      </c>
      <c r="R29" s="45">
        <f t="shared" si="6"/>
        <v>48000</v>
      </c>
      <c r="S29" s="45">
        <f t="shared" si="6"/>
        <v>0</v>
      </c>
      <c r="T29" s="45">
        <f t="shared" si="6"/>
        <v>36000</v>
      </c>
      <c r="U29" s="45">
        <f t="shared" si="6"/>
        <v>0</v>
      </c>
      <c r="V29" s="45">
        <f t="shared" si="6"/>
        <v>840000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5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3">
    <pageSetUpPr fitToPage="1"/>
  </sheetPr>
  <dimension ref="A1:V31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47.7265625" style="495" customWidth="1"/>
    <col min="2" max="22" width="7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35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&amp;TECNOLOGIAS!$A$13</f>
        <v>VEÍCULO  TIPO 7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</row>
    <row r="17" spans="1:22" x14ac:dyDescent="0.35">
      <c r="A17" s="286" t="s">
        <v>365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</row>
    <row r="18" spans="1:22" x14ac:dyDescent="0.35">
      <c r="A18" s="44" t="s">
        <v>25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</row>
    <row r="19" spans="1:22" x14ac:dyDescent="0.35">
      <c r="A19" s="44" t="s">
        <v>26</v>
      </c>
      <c r="B19" s="45">
        <f>ROUND(+B18*B16,2)</f>
        <v>0</v>
      </c>
      <c r="C19" s="45">
        <f t="shared" ref="C19:L19" si="0">ROUND(+C18*C16,2)</f>
        <v>0</v>
      </c>
      <c r="D19" s="45">
        <f t="shared" si="0"/>
        <v>0</v>
      </c>
      <c r="E19" s="45">
        <f t="shared" si="0"/>
        <v>0</v>
      </c>
      <c r="F19" s="45">
        <f t="shared" si="0"/>
        <v>0</v>
      </c>
      <c r="G19" s="45">
        <f t="shared" si="0"/>
        <v>0</v>
      </c>
      <c r="H19" s="45">
        <f t="shared" si="0"/>
        <v>0</v>
      </c>
      <c r="I19" s="45">
        <f t="shared" si="0"/>
        <v>0</v>
      </c>
      <c r="J19" s="45">
        <f t="shared" si="0"/>
        <v>0</v>
      </c>
      <c r="K19" s="45">
        <f t="shared" si="0"/>
        <v>0</v>
      </c>
      <c r="L19" s="45">
        <f t="shared" si="0"/>
        <v>0</v>
      </c>
      <c r="M19" s="45">
        <f t="shared" ref="M19:V19" si="1">ROUND(+M18*M16,2)</f>
        <v>0</v>
      </c>
      <c r="N19" s="45">
        <f t="shared" si="1"/>
        <v>0</v>
      </c>
      <c r="O19" s="45">
        <f t="shared" si="1"/>
        <v>0</v>
      </c>
      <c r="P19" s="45">
        <f t="shared" si="1"/>
        <v>0</v>
      </c>
      <c r="Q19" s="45">
        <f t="shared" si="1"/>
        <v>0</v>
      </c>
      <c r="R19" s="45">
        <f t="shared" si="1"/>
        <v>0</v>
      </c>
      <c r="S19" s="45">
        <f t="shared" si="1"/>
        <v>0</v>
      </c>
      <c r="T19" s="45">
        <f t="shared" si="1"/>
        <v>0</v>
      </c>
      <c r="U19" s="45">
        <f t="shared" si="1"/>
        <v>0</v>
      </c>
      <c r="V19" s="45">
        <f t="shared" si="1"/>
        <v>0</v>
      </c>
    </row>
    <row r="20" spans="1:22" x14ac:dyDescent="0.35">
      <c r="A20" s="44" t="s">
        <v>27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</row>
    <row r="21" spans="1:22" x14ac:dyDescent="0.35">
      <c r="A21" s="44" t="s">
        <v>228</v>
      </c>
      <c r="B21" s="166">
        <f>+B20-B17</f>
        <v>0</v>
      </c>
      <c r="C21" s="166">
        <f>+C20-C17</f>
        <v>0</v>
      </c>
      <c r="D21" s="166">
        <f>+D20-D17</f>
        <v>0</v>
      </c>
      <c r="E21" s="166">
        <f>+E20-E17</f>
        <v>0</v>
      </c>
      <c r="F21" s="166">
        <f>+F20-F17</f>
        <v>0</v>
      </c>
      <c r="G21" s="166">
        <f t="shared" ref="G21:L21" si="2">+G20-G17</f>
        <v>0</v>
      </c>
      <c r="H21" s="166">
        <f t="shared" si="2"/>
        <v>0</v>
      </c>
      <c r="I21" s="166">
        <f t="shared" si="2"/>
        <v>0</v>
      </c>
      <c r="J21" s="166">
        <f t="shared" si="2"/>
        <v>0</v>
      </c>
      <c r="K21" s="166">
        <f t="shared" si="2"/>
        <v>0</v>
      </c>
      <c r="L21" s="166">
        <f t="shared" si="2"/>
        <v>0</v>
      </c>
      <c r="M21" s="166">
        <f t="shared" ref="M21:V21" si="3">+M20-M17</f>
        <v>0</v>
      </c>
      <c r="N21" s="166">
        <f t="shared" si="3"/>
        <v>0</v>
      </c>
      <c r="O21" s="166">
        <f t="shared" si="3"/>
        <v>0</v>
      </c>
      <c r="P21" s="166">
        <f t="shared" si="3"/>
        <v>0</v>
      </c>
      <c r="Q21" s="166">
        <f t="shared" si="3"/>
        <v>0</v>
      </c>
      <c r="R21" s="166">
        <f t="shared" si="3"/>
        <v>0</v>
      </c>
      <c r="S21" s="166">
        <f t="shared" si="3"/>
        <v>0</v>
      </c>
      <c r="T21" s="166">
        <f t="shared" si="3"/>
        <v>0</v>
      </c>
      <c r="U21" s="166">
        <f t="shared" si="3"/>
        <v>0</v>
      </c>
      <c r="V21" s="166">
        <f t="shared" si="3"/>
        <v>0</v>
      </c>
    </row>
    <row r="22" spans="1:22" x14ac:dyDescent="0.35">
      <c r="A22" s="44" t="s">
        <v>229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 x14ac:dyDescent="0.35">
      <c r="A28" s="44" t="s">
        <v>231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</row>
    <row r="29" spans="1:22" x14ac:dyDescent="0.35">
      <c r="A29" s="44" t="s">
        <v>232</v>
      </c>
      <c r="B29" s="45">
        <f>ROUND(B27*B28,2)</f>
        <v>0</v>
      </c>
      <c r="C29" s="45">
        <f t="shared" ref="C29:L29" si="4">ROUND(C27*C28,2)</f>
        <v>0</v>
      </c>
      <c r="D29" s="45">
        <f t="shared" si="4"/>
        <v>0</v>
      </c>
      <c r="E29" s="45">
        <f t="shared" si="4"/>
        <v>0</v>
      </c>
      <c r="F29" s="45">
        <f t="shared" si="4"/>
        <v>0</v>
      </c>
      <c r="G29" s="45">
        <f t="shared" si="4"/>
        <v>0</v>
      </c>
      <c r="H29" s="45">
        <f t="shared" si="4"/>
        <v>0</v>
      </c>
      <c r="I29" s="45">
        <f t="shared" si="4"/>
        <v>0</v>
      </c>
      <c r="J29" s="45">
        <f t="shared" si="4"/>
        <v>0</v>
      </c>
      <c r="K29" s="45">
        <f t="shared" si="4"/>
        <v>0</v>
      </c>
      <c r="L29" s="45">
        <f t="shared" si="4"/>
        <v>0</v>
      </c>
      <c r="M29" s="45">
        <f t="shared" ref="M29:V29" si="5">ROUND(M27*M28,2)</f>
        <v>0</v>
      </c>
      <c r="N29" s="45">
        <f t="shared" si="5"/>
        <v>0</v>
      </c>
      <c r="O29" s="45">
        <f t="shared" si="5"/>
        <v>0</v>
      </c>
      <c r="P29" s="45">
        <f t="shared" si="5"/>
        <v>0</v>
      </c>
      <c r="Q29" s="45">
        <f t="shared" si="5"/>
        <v>0</v>
      </c>
      <c r="R29" s="45">
        <f t="shared" si="5"/>
        <v>0</v>
      </c>
      <c r="S29" s="45">
        <f t="shared" si="5"/>
        <v>0</v>
      </c>
      <c r="T29" s="45">
        <f t="shared" si="5"/>
        <v>0</v>
      </c>
      <c r="U29" s="45">
        <f t="shared" si="5"/>
        <v>0</v>
      </c>
      <c r="V29" s="45">
        <f t="shared" si="5"/>
        <v>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5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14">
    <pageSetUpPr fitToPage="1"/>
  </sheetPr>
  <dimension ref="A1:V31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47.7265625" style="495" customWidth="1"/>
    <col min="2" max="22" width="7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360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&amp;TECNOLOGIAS!$A$14</f>
        <v>VEÍCULO  TIPO 8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</row>
    <row r="17" spans="1:22" x14ac:dyDescent="0.35">
      <c r="A17" s="286" t="s">
        <v>365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</row>
    <row r="18" spans="1:22" x14ac:dyDescent="0.35">
      <c r="A18" s="44" t="s">
        <v>25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</row>
    <row r="19" spans="1:22" x14ac:dyDescent="0.35">
      <c r="A19" s="44" t="s">
        <v>26</v>
      </c>
      <c r="B19" s="45">
        <f t="shared" ref="B19:L19" si="0">ROUND(+B18*B16,2)</f>
        <v>0</v>
      </c>
      <c r="C19" s="45">
        <f t="shared" si="0"/>
        <v>0</v>
      </c>
      <c r="D19" s="45">
        <f t="shared" si="0"/>
        <v>0</v>
      </c>
      <c r="E19" s="45">
        <f t="shared" si="0"/>
        <v>0</v>
      </c>
      <c r="F19" s="45">
        <f t="shared" si="0"/>
        <v>0</v>
      </c>
      <c r="G19" s="45">
        <f t="shared" si="0"/>
        <v>0</v>
      </c>
      <c r="H19" s="45">
        <f t="shared" si="0"/>
        <v>0</v>
      </c>
      <c r="I19" s="45">
        <f t="shared" si="0"/>
        <v>0</v>
      </c>
      <c r="J19" s="45">
        <f t="shared" si="0"/>
        <v>0</v>
      </c>
      <c r="K19" s="45">
        <f t="shared" si="0"/>
        <v>0</v>
      </c>
      <c r="L19" s="45">
        <f t="shared" si="0"/>
        <v>0</v>
      </c>
      <c r="M19" s="45">
        <f t="shared" ref="M19:V19" si="1">ROUND(+M18*M16,2)</f>
        <v>0</v>
      </c>
      <c r="N19" s="45">
        <f t="shared" si="1"/>
        <v>0</v>
      </c>
      <c r="O19" s="45">
        <f t="shared" si="1"/>
        <v>0</v>
      </c>
      <c r="P19" s="45">
        <f t="shared" si="1"/>
        <v>0</v>
      </c>
      <c r="Q19" s="45">
        <f t="shared" si="1"/>
        <v>0</v>
      </c>
      <c r="R19" s="45">
        <f t="shared" si="1"/>
        <v>0</v>
      </c>
      <c r="S19" s="45">
        <f t="shared" si="1"/>
        <v>0</v>
      </c>
      <c r="T19" s="45">
        <f t="shared" si="1"/>
        <v>0</v>
      </c>
      <c r="U19" s="45">
        <f t="shared" si="1"/>
        <v>0</v>
      </c>
      <c r="V19" s="45">
        <f t="shared" si="1"/>
        <v>0</v>
      </c>
    </row>
    <row r="20" spans="1:22" x14ac:dyDescent="0.35">
      <c r="A20" s="44" t="s">
        <v>27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</row>
    <row r="21" spans="1:22" x14ac:dyDescent="0.35">
      <c r="A21" s="44" t="s">
        <v>228</v>
      </c>
      <c r="B21" s="166">
        <f>+B20-B17</f>
        <v>0</v>
      </c>
      <c r="C21" s="166">
        <f>+C20-C17</f>
        <v>0</v>
      </c>
      <c r="D21" s="166">
        <f>+D20-D17</f>
        <v>0</v>
      </c>
      <c r="E21" s="166">
        <f>+E20-E17</f>
        <v>0</v>
      </c>
      <c r="F21" s="166">
        <f>+F20-F17</f>
        <v>0</v>
      </c>
      <c r="G21" s="166">
        <f t="shared" ref="G21:L21" si="2">+G20-G17</f>
        <v>0</v>
      </c>
      <c r="H21" s="166">
        <f t="shared" si="2"/>
        <v>0</v>
      </c>
      <c r="I21" s="166">
        <f t="shared" si="2"/>
        <v>0</v>
      </c>
      <c r="J21" s="166">
        <f t="shared" si="2"/>
        <v>0</v>
      </c>
      <c r="K21" s="166">
        <f t="shared" si="2"/>
        <v>0</v>
      </c>
      <c r="L21" s="166">
        <f t="shared" si="2"/>
        <v>0</v>
      </c>
      <c r="M21" s="166">
        <f t="shared" ref="M21:V21" si="3">+M20-M17</f>
        <v>0</v>
      </c>
      <c r="N21" s="166">
        <f t="shared" si="3"/>
        <v>0</v>
      </c>
      <c r="O21" s="166">
        <f t="shared" si="3"/>
        <v>0</v>
      </c>
      <c r="P21" s="166">
        <f t="shared" si="3"/>
        <v>0</v>
      </c>
      <c r="Q21" s="166">
        <f t="shared" si="3"/>
        <v>0</v>
      </c>
      <c r="R21" s="166">
        <f t="shared" si="3"/>
        <v>0</v>
      </c>
      <c r="S21" s="166">
        <f t="shared" si="3"/>
        <v>0</v>
      </c>
      <c r="T21" s="166">
        <f t="shared" si="3"/>
        <v>0</v>
      </c>
      <c r="U21" s="166">
        <f t="shared" si="3"/>
        <v>0</v>
      </c>
      <c r="V21" s="166">
        <f t="shared" si="3"/>
        <v>0</v>
      </c>
    </row>
    <row r="22" spans="1:22" x14ac:dyDescent="0.35">
      <c r="A22" s="44" t="s">
        <v>229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 x14ac:dyDescent="0.35">
      <c r="A28" s="44" t="s">
        <v>231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</row>
    <row r="29" spans="1:22" x14ac:dyDescent="0.35">
      <c r="A29" s="44" t="s">
        <v>232</v>
      </c>
      <c r="B29" s="45">
        <f t="shared" ref="B29:L29" si="4">ROUND(B27*B28,2)</f>
        <v>0</v>
      </c>
      <c r="C29" s="45">
        <f t="shared" si="4"/>
        <v>0</v>
      </c>
      <c r="D29" s="45">
        <f t="shared" si="4"/>
        <v>0</v>
      </c>
      <c r="E29" s="45">
        <f t="shared" si="4"/>
        <v>0</v>
      </c>
      <c r="F29" s="45">
        <f t="shared" si="4"/>
        <v>0</v>
      </c>
      <c r="G29" s="45">
        <f t="shared" si="4"/>
        <v>0</v>
      </c>
      <c r="H29" s="45">
        <f t="shared" si="4"/>
        <v>0</v>
      </c>
      <c r="I29" s="45">
        <f t="shared" si="4"/>
        <v>0</v>
      </c>
      <c r="J29" s="45">
        <f t="shared" si="4"/>
        <v>0</v>
      </c>
      <c r="K29" s="45">
        <f t="shared" si="4"/>
        <v>0</v>
      </c>
      <c r="L29" s="45">
        <f t="shared" si="4"/>
        <v>0</v>
      </c>
      <c r="M29" s="45">
        <f t="shared" ref="M29:V29" si="5">ROUND(M27*M28,2)</f>
        <v>0</v>
      </c>
      <c r="N29" s="45">
        <f t="shared" si="5"/>
        <v>0</v>
      </c>
      <c r="O29" s="45">
        <f t="shared" si="5"/>
        <v>0</v>
      </c>
      <c r="P29" s="45">
        <f t="shared" si="5"/>
        <v>0</v>
      </c>
      <c r="Q29" s="45">
        <f t="shared" si="5"/>
        <v>0</v>
      </c>
      <c r="R29" s="45">
        <f t="shared" si="5"/>
        <v>0</v>
      </c>
      <c r="S29" s="45">
        <f t="shared" si="5"/>
        <v>0</v>
      </c>
      <c r="T29" s="45">
        <f t="shared" si="5"/>
        <v>0</v>
      </c>
      <c r="U29" s="45">
        <f t="shared" si="5"/>
        <v>0</v>
      </c>
      <c r="V29" s="45">
        <f t="shared" si="5"/>
        <v>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5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40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&amp;TECNOLOGIAS!$A$7</f>
        <v>VEÍCULO  Micro Ônibus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>
        <v>14</v>
      </c>
      <c r="C13" s="29">
        <v>27</v>
      </c>
      <c r="D13" s="29">
        <v>25</v>
      </c>
      <c r="E13" s="29">
        <v>26</v>
      </c>
      <c r="F13" s="29">
        <v>27</v>
      </c>
      <c r="G13" s="29">
        <v>25</v>
      </c>
      <c r="H13" s="29">
        <v>26</v>
      </c>
      <c r="I13" s="29">
        <v>26</v>
      </c>
      <c r="J13" s="29">
        <v>25</v>
      </c>
      <c r="K13" s="29">
        <v>13</v>
      </c>
      <c r="L13" s="29">
        <v>0</v>
      </c>
      <c r="M13" s="29">
        <v>0</v>
      </c>
      <c r="N13" s="29">
        <v>0</v>
      </c>
      <c r="O13" s="29">
        <v>0</v>
      </c>
      <c r="P13" s="29">
        <v>7</v>
      </c>
      <c r="Q13" s="29">
        <v>14</v>
      </c>
      <c r="R13" s="29">
        <v>14</v>
      </c>
      <c r="S13" s="29">
        <v>14</v>
      </c>
      <c r="T13" s="29">
        <v>15</v>
      </c>
      <c r="U13" s="29">
        <v>15</v>
      </c>
    </row>
    <row r="14" spans="1:21" x14ac:dyDescent="0.25">
      <c r="A14" s="51" t="s">
        <v>42</v>
      </c>
      <c r="B14" s="29">
        <v>0</v>
      </c>
      <c r="C14" s="29">
        <v>0</v>
      </c>
      <c r="D14" s="29">
        <v>14</v>
      </c>
      <c r="E14" s="29">
        <v>27</v>
      </c>
      <c r="F14" s="29">
        <v>25</v>
      </c>
      <c r="G14" s="29">
        <v>26</v>
      </c>
      <c r="H14" s="29">
        <v>27</v>
      </c>
      <c r="I14" s="29">
        <v>25</v>
      </c>
      <c r="J14" s="29">
        <v>26</v>
      </c>
      <c r="K14" s="29">
        <v>26</v>
      </c>
      <c r="L14" s="29">
        <v>25</v>
      </c>
      <c r="M14" s="29">
        <v>13</v>
      </c>
      <c r="N14" s="29">
        <v>0</v>
      </c>
      <c r="O14" s="29">
        <v>0</v>
      </c>
      <c r="P14" s="29">
        <v>0</v>
      </c>
      <c r="Q14" s="29">
        <v>0</v>
      </c>
      <c r="R14" s="29">
        <v>7</v>
      </c>
      <c r="S14" s="29">
        <v>14</v>
      </c>
      <c r="T14" s="29">
        <v>14</v>
      </c>
      <c r="U14" s="29">
        <v>14</v>
      </c>
    </row>
    <row r="15" spans="1:21" x14ac:dyDescent="0.25">
      <c r="A15" s="51" t="s">
        <v>43</v>
      </c>
      <c r="B15" s="29">
        <v>0</v>
      </c>
      <c r="C15" s="29">
        <v>0</v>
      </c>
      <c r="D15" s="29">
        <v>0</v>
      </c>
      <c r="E15" s="29">
        <v>0</v>
      </c>
      <c r="F15" s="29">
        <v>14</v>
      </c>
      <c r="G15" s="29">
        <v>27</v>
      </c>
      <c r="H15" s="29">
        <v>25</v>
      </c>
      <c r="I15" s="29">
        <v>26</v>
      </c>
      <c r="J15" s="29">
        <v>27</v>
      </c>
      <c r="K15" s="29">
        <v>25</v>
      </c>
      <c r="L15" s="29">
        <v>26</v>
      </c>
      <c r="M15" s="29">
        <v>26</v>
      </c>
      <c r="N15" s="29">
        <v>25</v>
      </c>
      <c r="O15" s="29">
        <v>13</v>
      </c>
      <c r="P15" s="29">
        <v>0</v>
      </c>
      <c r="Q15" s="29">
        <v>0</v>
      </c>
      <c r="R15" s="29">
        <v>0</v>
      </c>
      <c r="S15" s="29">
        <v>0</v>
      </c>
      <c r="T15" s="29">
        <v>7</v>
      </c>
      <c r="U15" s="29">
        <v>14</v>
      </c>
    </row>
    <row r="16" spans="1:21" x14ac:dyDescent="0.25">
      <c r="A16" s="51" t="s">
        <v>44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14</v>
      </c>
      <c r="I16" s="29">
        <v>27</v>
      </c>
      <c r="J16" s="29">
        <v>25</v>
      </c>
      <c r="K16" s="29">
        <v>26</v>
      </c>
      <c r="L16" s="29">
        <v>27</v>
      </c>
      <c r="M16" s="29">
        <v>25</v>
      </c>
      <c r="N16" s="29">
        <v>26</v>
      </c>
      <c r="O16" s="29">
        <v>26</v>
      </c>
      <c r="P16" s="29">
        <v>25</v>
      </c>
      <c r="Q16" s="29">
        <v>13</v>
      </c>
      <c r="R16" s="29">
        <v>0</v>
      </c>
      <c r="S16" s="29">
        <v>0</v>
      </c>
      <c r="T16" s="29">
        <v>0</v>
      </c>
      <c r="U16" s="29">
        <v>0</v>
      </c>
    </row>
    <row r="17" spans="1:21" x14ac:dyDescent="0.25">
      <c r="A17" s="51" t="s">
        <v>45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14</v>
      </c>
      <c r="K17" s="29">
        <v>27</v>
      </c>
      <c r="L17" s="29">
        <v>25</v>
      </c>
      <c r="M17" s="29">
        <v>26</v>
      </c>
      <c r="N17" s="29">
        <v>27</v>
      </c>
      <c r="O17" s="29">
        <v>25</v>
      </c>
      <c r="P17" s="29">
        <v>26</v>
      </c>
      <c r="Q17" s="29">
        <v>26</v>
      </c>
      <c r="R17" s="29">
        <v>25</v>
      </c>
      <c r="S17" s="29">
        <v>13</v>
      </c>
      <c r="T17" s="29">
        <v>0</v>
      </c>
      <c r="U17" s="29">
        <v>0</v>
      </c>
    </row>
    <row r="18" spans="1:21" x14ac:dyDescent="0.25">
      <c r="A18" s="51" t="s">
        <v>46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14</v>
      </c>
      <c r="M18" s="29">
        <v>27</v>
      </c>
      <c r="N18" s="29">
        <v>25</v>
      </c>
      <c r="O18" s="29">
        <v>26</v>
      </c>
      <c r="P18" s="29">
        <v>27</v>
      </c>
      <c r="Q18" s="29">
        <v>25</v>
      </c>
      <c r="R18" s="29">
        <v>26</v>
      </c>
      <c r="S18" s="29">
        <v>26</v>
      </c>
      <c r="T18" s="29">
        <v>25</v>
      </c>
      <c r="U18" s="29">
        <v>13</v>
      </c>
    </row>
    <row r="19" spans="1:21" x14ac:dyDescent="0.25">
      <c r="A19" s="51" t="s">
        <v>47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14</v>
      </c>
      <c r="O19" s="29">
        <v>27</v>
      </c>
      <c r="P19" s="29">
        <v>25</v>
      </c>
      <c r="Q19" s="29">
        <v>26</v>
      </c>
      <c r="R19" s="29">
        <v>27</v>
      </c>
      <c r="S19" s="29">
        <v>25</v>
      </c>
      <c r="T19" s="29">
        <v>26</v>
      </c>
      <c r="U19" s="29">
        <v>26</v>
      </c>
    </row>
    <row r="20" spans="1:21" x14ac:dyDescent="0.25">
      <c r="A20" s="51" t="s">
        <v>48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7</v>
      </c>
      <c r="Q20" s="29">
        <v>13</v>
      </c>
      <c r="R20" s="29">
        <v>18</v>
      </c>
      <c r="S20" s="29">
        <v>25</v>
      </c>
      <c r="T20" s="29">
        <v>27</v>
      </c>
      <c r="U20" s="29">
        <v>25</v>
      </c>
    </row>
    <row r="21" spans="1:21" x14ac:dyDescent="0.25">
      <c r="A21" s="51" t="s">
        <v>49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3</v>
      </c>
      <c r="U21" s="29">
        <v>10</v>
      </c>
    </row>
    <row r="22" spans="1:21" x14ac:dyDescent="0.25">
      <c r="A22" s="51" t="s">
        <v>50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</row>
    <row r="23" spans="1:21" x14ac:dyDescent="0.25">
      <c r="A23" s="51" t="s">
        <v>51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52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&amp;TECNOLOGIAS!$A$8</f>
        <v>VEÍCULO  Básico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>
        <v>0</v>
      </c>
      <c r="C13" s="29">
        <v>0</v>
      </c>
      <c r="D13" s="29">
        <v>34</v>
      </c>
      <c r="E13" s="29">
        <v>34</v>
      </c>
      <c r="F13" s="29">
        <v>30</v>
      </c>
      <c r="G13" s="29">
        <v>30</v>
      </c>
      <c r="H13" s="29">
        <v>12</v>
      </c>
      <c r="I13" s="29">
        <v>12</v>
      </c>
      <c r="J13" s="29">
        <v>0</v>
      </c>
      <c r="K13" s="29">
        <v>0</v>
      </c>
      <c r="L13" s="29">
        <v>0</v>
      </c>
      <c r="M13" s="29">
        <v>0</v>
      </c>
      <c r="N13" s="29">
        <v>4</v>
      </c>
      <c r="O13" s="29">
        <v>4</v>
      </c>
      <c r="P13" s="29">
        <v>8</v>
      </c>
      <c r="Q13" s="29">
        <v>8</v>
      </c>
      <c r="R13" s="29">
        <v>12</v>
      </c>
      <c r="S13" s="29">
        <v>12</v>
      </c>
      <c r="T13" s="29">
        <v>14</v>
      </c>
      <c r="U13" s="29">
        <v>14</v>
      </c>
    </row>
    <row r="14" spans="1:21" x14ac:dyDescent="0.25">
      <c r="A14" s="51" t="s">
        <v>42</v>
      </c>
      <c r="B14" s="29">
        <v>0</v>
      </c>
      <c r="C14" s="29">
        <v>0</v>
      </c>
      <c r="D14" s="29">
        <v>0</v>
      </c>
      <c r="E14" s="29">
        <v>0</v>
      </c>
      <c r="F14" s="29">
        <v>34</v>
      </c>
      <c r="G14" s="29">
        <v>34</v>
      </c>
      <c r="H14" s="29">
        <v>30</v>
      </c>
      <c r="I14" s="29">
        <v>30</v>
      </c>
      <c r="J14" s="29">
        <v>12</v>
      </c>
      <c r="K14" s="29">
        <v>12</v>
      </c>
      <c r="L14" s="29">
        <v>0</v>
      </c>
      <c r="M14" s="29">
        <v>0</v>
      </c>
      <c r="N14" s="29">
        <v>0</v>
      </c>
      <c r="O14" s="29">
        <v>0</v>
      </c>
      <c r="P14" s="29">
        <v>4</v>
      </c>
      <c r="Q14" s="29">
        <v>4</v>
      </c>
      <c r="R14" s="29">
        <v>8</v>
      </c>
      <c r="S14" s="29">
        <v>8</v>
      </c>
      <c r="T14" s="29">
        <v>12</v>
      </c>
      <c r="U14" s="29">
        <v>12</v>
      </c>
    </row>
    <row r="15" spans="1:21" x14ac:dyDescent="0.25">
      <c r="A15" s="51" t="s">
        <v>43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34</v>
      </c>
      <c r="I15" s="29">
        <v>34</v>
      </c>
      <c r="J15" s="29">
        <v>30</v>
      </c>
      <c r="K15" s="29">
        <v>30</v>
      </c>
      <c r="L15" s="29">
        <v>12</v>
      </c>
      <c r="M15" s="29">
        <v>12</v>
      </c>
      <c r="N15" s="29">
        <v>0</v>
      </c>
      <c r="O15" s="29">
        <v>0</v>
      </c>
      <c r="P15" s="29">
        <v>0</v>
      </c>
      <c r="Q15" s="29">
        <v>0</v>
      </c>
      <c r="R15" s="29">
        <v>4</v>
      </c>
      <c r="S15" s="29">
        <v>4</v>
      </c>
      <c r="T15" s="29">
        <v>8</v>
      </c>
      <c r="U15" s="29">
        <v>8</v>
      </c>
    </row>
    <row r="16" spans="1:21" x14ac:dyDescent="0.25">
      <c r="A16" s="51" t="s">
        <v>44</v>
      </c>
      <c r="B16" s="29">
        <v>100</v>
      </c>
      <c r="C16" s="29">
        <v>100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34</v>
      </c>
      <c r="K16" s="29">
        <v>34</v>
      </c>
      <c r="L16" s="29">
        <v>30</v>
      </c>
      <c r="M16" s="29">
        <v>30</v>
      </c>
      <c r="N16" s="29">
        <v>12</v>
      </c>
      <c r="O16" s="29">
        <v>12</v>
      </c>
      <c r="P16" s="29">
        <v>0</v>
      </c>
      <c r="Q16" s="29">
        <v>0</v>
      </c>
      <c r="R16" s="29">
        <v>0</v>
      </c>
      <c r="S16" s="29">
        <v>0</v>
      </c>
      <c r="T16" s="29">
        <v>4</v>
      </c>
      <c r="U16" s="29">
        <v>4</v>
      </c>
    </row>
    <row r="17" spans="1:21" x14ac:dyDescent="0.25">
      <c r="A17" s="51" t="s">
        <v>45</v>
      </c>
      <c r="B17" s="29">
        <v>100</v>
      </c>
      <c r="C17" s="29">
        <v>100</v>
      </c>
      <c r="D17" s="29">
        <v>100</v>
      </c>
      <c r="E17" s="29">
        <v>100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34</v>
      </c>
      <c r="M17" s="29">
        <v>34</v>
      </c>
      <c r="N17" s="29">
        <v>30</v>
      </c>
      <c r="O17" s="29">
        <v>30</v>
      </c>
      <c r="P17" s="29">
        <v>12</v>
      </c>
      <c r="Q17" s="29">
        <v>12</v>
      </c>
      <c r="R17" s="29">
        <v>0</v>
      </c>
      <c r="S17" s="29">
        <v>0</v>
      </c>
      <c r="T17" s="29">
        <v>0</v>
      </c>
      <c r="U17" s="29">
        <v>0</v>
      </c>
    </row>
    <row r="18" spans="1:21" x14ac:dyDescent="0.25">
      <c r="A18" s="51" t="s">
        <v>46</v>
      </c>
      <c r="B18" s="29">
        <v>184</v>
      </c>
      <c r="C18" s="29">
        <v>184</v>
      </c>
      <c r="D18" s="29">
        <v>100</v>
      </c>
      <c r="E18" s="29">
        <v>100</v>
      </c>
      <c r="F18" s="29">
        <v>100</v>
      </c>
      <c r="G18" s="29">
        <v>100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34</v>
      </c>
      <c r="O18" s="29">
        <v>34</v>
      </c>
      <c r="P18" s="29">
        <v>30</v>
      </c>
      <c r="Q18" s="29">
        <v>30</v>
      </c>
      <c r="R18" s="29">
        <v>12</v>
      </c>
      <c r="S18" s="29">
        <v>12</v>
      </c>
      <c r="T18" s="29">
        <v>0</v>
      </c>
      <c r="U18" s="29">
        <v>0</v>
      </c>
    </row>
    <row r="19" spans="1:21" x14ac:dyDescent="0.25">
      <c r="A19" s="51" t="s">
        <v>47</v>
      </c>
      <c r="B19" s="29">
        <v>100</v>
      </c>
      <c r="C19" s="29">
        <v>100</v>
      </c>
      <c r="D19" s="29">
        <v>184</v>
      </c>
      <c r="E19" s="29">
        <v>184</v>
      </c>
      <c r="F19" s="29">
        <v>100</v>
      </c>
      <c r="G19" s="29">
        <v>100</v>
      </c>
      <c r="H19" s="29">
        <v>100</v>
      </c>
      <c r="I19" s="29">
        <v>100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26</v>
      </c>
      <c r="Q19" s="29">
        <v>26</v>
      </c>
      <c r="R19" s="29">
        <v>30</v>
      </c>
      <c r="S19" s="29">
        <v>30</v>
      </c>
      <c r="T19" s="29">
        <v>12</v>
      </c>
      <c r="U19" s="29">
        <v>12</v>
      </c>
    </row>
    <row r="20" spans="1:21" x14ac:dyDescent="0.25">
      <c r="A20" s="51" t="s">
        <v>48</v>
      </c>
      <c r="B20" s="29">
        <v>100</v>
      </c>
      <c r="C20" s="29">
        <v>100</v>
      </c>
      <c r="D20" s="29">
        <v>100</v>
      </c>
      <c r="E20" s="29">
        <v>100</v>
      </c>
      <c r="F20" s="29">
        <v>184</v>
      </c>
      <c r="G20" s="29">
        <v>93</v>
      </c>
      <c r="H20" s="29">
        <v>90</v>
      </c>
      <c r="I20" s="29">
        <v>0</v>
      </c>
      <c r="J20" s="29">
        <v>4</v>
      </c>
      <c r="K20" s="29">
        <v>4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14</v>
      </c>
      <c r="S20" s="29">
        <v>14</v>
      </c>
      <c r="T20" s="29">
        <v>30</v>
      </c>
      <c r="U20" s="29">
        <v>30</v>
      </c>
    </row>
    <row r="21" spans="1:21" x14ac:dyDescent="0.25">
      <c r="A21" s="51" t="s">
        <v>49</v>
      </c>
      <c r="B21" s="29">
        <v>100</v>
      </c>
      <c r="C21" s="29">
        <v>100</v>
      </c>
      <c r="D21" s="29">
        <v>100</v>
      </c>
      <c r="E21" s="29">
        <v>21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4</v>
      </c>
      <c r="M21" s="29">
        <v>4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</row>
    <row r="22" spans="1:21" x14ac:dyDescent="0.25">
      <c r="A22" s="51" t="s">
        <v>50</v>
      </c>
      <c r="B22" s="29">
        <v>100</v>
      </c>
      <c r="C22" s="29">
        <v>12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</row>
    <row r="23" spans="1:21" x14ac:dyDescent="0.25">
      <c r="A23" s="51" t="s">
        <v>51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53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&amp;TECNOLOGIAS!$A$9</f>
        <v>VEÍCULO  Padron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>
        <v>67</v>
      </c>
      <c r="C13" s="29">
        <v>132</v>
      </c>
      <c r="D13" s="29">
        <v>130</v>
      </c>
      <c r="E13" s="29">
        <v>130</v>
      </c>
      <c r="F13" s="29">
        <v>131</v>
      </c>
      <c r="G13" s="29">
        <v>131</v>
      </c>
      <c r="H13" s="29">
        <v>130</v>
      </c>
      <c r="I13" s="29">
        <v>130</v>
      </c>
      <c r="J13" s="29">
        <v>130</v>
      </c>
      <c r="K13" s="29">
        <v>65</v>
      </c>
      <c r="L13" s="29">
        <v>0</v>
      </c>
      <c r="M13" s="29">
        <v>0</v>
      </c>
      <c r="N13" s="29">
        <v>0</v>
      </c>
      <c r="O13" s="29">
        <v>0</v>
      </c>
      <c r="P13" s="29">
        <v>30</v>
      </c>
      <c r="Q13" s="29">
        <v>67</v>
      </c>
      <c r="R13" s="29">
        <v>77</v>
      </c>
      <c r="S13" s="29">
        <v>70</v>
      </c>
      <c r="T13" s="29">
        <v>70</v>
      </c>
      <c r="U13" s="29">
        <v>75</v>
      </c>
    </row>
    <row r="14" spans="1:21" x14ac:dyDescent="0.25">
      <c r="A14" s="51" t="s">
        <v>42</v>
      </c>
      <c r="B14" s="29">
        <v>0</v>
      </c>
      <c r="C14" s="29">
        <v>0</v>
      </c>
      <c r="D14" s="29">
        <v>67</v>
      </c>
      <c r="E14" s="29">
        <v>132</v>
      </c>
      <c r="F14" s="29">
        <v>130</v>
      </c>
      <c r="G14" s="29">
        <v>130</v>
      </c>
      <c r="H14" s="29">
        <v>131</v>
      </c>
      <c r="I14" s="29">
        <v>131</v>
      </c>
      <c r="J14" s="29">
        <v>130</v>
      </c>
      <c r="K14" s="29">
        <v>130</v>
      </c>
      <c r="L14" s="29">
        <v>130</v>
      </c>
      <c r="M14" s="29">
        <v>65</v>
      </c>
      <c r="N14" s="29">
        <v>0</v>
      </c>
      <c r="O14" s="29">
        <v>0</v>
      </c>
      <c r="P14" s="29">
        <v>0</v>
      </c>
      <c r="Q14" s="29">
        <v>0</v>
      </c>
      <c r="R14" s="29">
        <v>30</v>
      </c>
      <c r="S14" s="29">
        <v>67</v>
      </c>
      <c r="T14" s="29">
        <v>77</v>
      </c>
      <c r="U14" s="29">
        <v>70</v>
      </c>
    </row>
    <row r="15" spans="1:21" x14ac:dyDescent="0.25">
      <c r="A15" s="51" t="s">
        <v>43</v>
      </c>
      <c r="B15" s="29">
        <v>0</v>
      </c>
      <c r="C15" s="29">
        <v>0</v>
      </c>
      <c r="D15" s="29">
        <v>0</v>
      </c>
      <c r="E15" s="29">
        <v>0</v>
      </c>
      <c r="F15" s="29">
        <v>67</v>
      </c>
      <c r="G15" s="29">
        <v>132</v>
      </c>
      <c r="H15" s="29">
        <v>130</v>
      </c>
      <c r="I15" s="29">
        <v>130</v>
      </c>
      <c r="J15" s="29">
        <v>131</v>
      </c>
      <c r="K15" s="29">
        <v>131</v>
      </c>
      <c r="L15" s="29">
        <v>130</v>
      </c>
      <c r="M15" s="29">
        <v>130</v>
      </c>
      <c r="N15" s="29">
        <v>130</v>
      </c>
      <c r="O15" s="29">
        <v>65</v>
      </c>
      <c r="P15" s="29">
        <v>0</v>
      </c>
      <c r="Q15" s="29">
        <v>0</v>
      </c>
      <c r="R15" s="29">
        <v>0</v>
      </c>
      <c r="S15" s="29">
        <v>0</v>
      </c>
      <c r="T15" s="29">
        <v>30</v>
      </c>
      <c r="U15" s="29">
        <v>67</v>
      </c>
    </row>
    <row r="16" spans="1:21" x14ac:dyDescent="0.25">
      <c r="A16" s="51" t="s">
        <v>44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67</v>
      </c>
      <c r="I16" s="29">
        <v>132</v>
      </c>
      <c r="J16" s="29">
        <v>130</v>
      </c>
      <c r="K16" s="29">
        <v>130</v>
      </c>
      <c r="L16" s="29">
        <v>131</v>
      </c>
      <c r="M16" s="29">
        <v>131</v>
      </c>
      <c r="N16" s="29">
        <v>130</v>
      </c>
      <c r="O16" s="29">
        <v>130</v>
      </c>
      <c r="P16" s="29">
        <v>130</v>
      </c>
      <c r="Q16" s="29">
        <v>65</v>
      </c>
      <c r="R16" s="29">
        <v>0</v>
      </c>
      <c r="S16" s="29">
        <v>0</v>
      </c>
      <c r="T16" s="29">
        <v>0</v>
      </c>
      <c r="U16" s="29">
        <v>0</v>
      </c>
    </row>
    <row r="17" spans="1:21" x14ac:dyDescent="0.25">
      <c r="A17" s="51" t="s">
        <v>45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67</v>
      </c>
      <c r="K17" s="29">
        <v>132</v>
      </c>
      <c r="L17" s="29">
        <v>130</v>
      </c>
      <c r="M17" s="29">
        <v>130</v>
      </c>
      <c r="N17" s="29">
        <v>131</v>
      </c>
      <c r="O17" s="29">
        <v>131</v>
      </c>
      <c r="P17" s="29">
        <v>130</v>
      </c>
      <c r="Q17" s="29">
        <v>130</v>
      </c>
      <c r="R17" s="29">
        <v>130</v>
      </c>
      <c r="S17" s="29">
        <v>65</v>
      </c>
      <c r="T17" s="29">
        <v>0</v>
      </c>
      <c r="U17" s="29">
        <v>0</v>
      </c>
    </row>
    <row r="18" spans="1:21" x14ac:dyDescent="0.25">
      <c r="A18" s="51" t="s">
        <v>46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67</v>
      </c>
      <c r="M18" s="29">
        <v>132</v>
      </c>
      <c r="N18" s="29">
        <v>130</v>
      </c>
      <c r="O18" s="29">
        <v>130</v>
      </c>
      <c r="P18" s="29">
        <v>131</v>
      </c>
      <c r="Q18" s="29">
        <v>131</v>
      </c>
      <c r="R18" s="29">
        <v>130</v>
      </c>
      <c r="S18" s="29">
        <v>130</v>
      </c>
      <c r="T18" s="29">
        <v>130</v>
      </c>
      <c r="U18" s="29">
        <v>65</v>
      </c>
    </row>
    <row r="19" spans="1:21" x14ac:dyDescent="0.25">
      <c r="A19" s="51" t="s">
        <v>47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67</v>
      </c>
      <c r="O19" s="29">
        <v>132</v>
      </c>
      <c r="P19" s="29">
        <v>130</v>
      </c>
      <c r="Q19" s="29">
        <v>130</v>
      </c>
      <c r="R19" s="29">
        <v>131</v>
      </c>
      <c r="S19" s="29">
        <v>131</v>
      </c>
      <c r="T19" s="29">
        <v>130</v>
      </c>
      <c r="U19" s="29">
        <v>130</v>
      </c>
    </row>
    <row r="20" spans="1:21" x14ac:dyDescent="0.25">
      <c r="A20" s="51" t="s">
        <v>48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37</v>
      </c>
      <c r="Q20" s="29">
        <v>65</v>
      </c>
      <c r="R20" s="29">
        <v>90</v>
      </c>
      <c r="S20" s="29">
        <v>125</v>
      </c>
      <c r="T20" s="29">
        <v>131</v>
      </c>
      <c r="U20" s="29">
        <v>131</v>
      </c>
    </row>
    <row r="21" spans="1:21" x14ac:dyDescent="0.25">
      <c r="A21" s="51" t="s">
        <v>49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20</v>
      </c>
      <c r="U21" s="29">
        <v>50</v>
      </c>
    </row>
    <row r="22" spans="1:21" x14ac:dyDescent="0.25">
      <c r="A22" s="51" t="s">
        <v>50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</row>
    <row r="23" spans="1:21" x14ac:dyDescent="0.25">
      <c r="A23" s="51" t="s">
        <v>51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54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&amp;TECNOLOGIAS!$A$10</f>
        <v>VEÍCULO  Articulados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>
        <v>0</v>
      </c>
      <c r="C13" s="29">
        <v>0</v>
      </c>
      <c r="D13" s="29">
        <v>0</v>
      </c>
      <c r="E13" s="29">
        <v>0</v>
      </c>
      <c r="F13" s="29">
        <v>13</v>
      </c>
      <c r="G13" s="29">
        <v>26</v>
      </c>
      <c r="H13" s="29">
        <v>25</v>
      </c>
      <c r="I13" s="29">
        <v>25</v>
      </c>
      <c r="J13" s="29">
        <v>24</v>
      </c>
      <c r="K13" s="29">
        <v>11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5</v>
      </c>
      <c r="S13" s="29">
        <v>9</v>
      </c>
      <c r="T13" s="29">
        <v>8</v>
      </c>
      <c r="U13" s="29">
        <v>8</v>
      </c>
    </row>
    <row r="14" spans="1:21" x14ac:dyDescent="0.25">
      <c r="A14" s="51" t="s">
        <v>42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13</v>
      </c>
      <c r="I14" s="29">
        <v>26</v>
      </c>
      <c r="J14" s="29">
        <v>25</v>
      </c>
      <c r="K14" s="29">
        <v>25</v>
      </c>
      <c r="L14" s="29">
        <v>24</v>
      </c>
      <c r="M14" s="29">
        <v>11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5</v>
      </c>
      <c r="U14" s="29">
        <v>9</v>
      </c>
    </row>
    <row r="15" spans="1:21" x14ac:dyDescent="0.25">
      <c r="A15" s="51" t="s">
        <v>43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13</v>
      </c>
      <c r="K15" s="29">
        <v>26</v>
      </c>
      <c r="L15" s="29">
        <v>25</v>
      </c>
      <c r="M15" s="29">
        <v>25</v>
      </c>
      <c r="N15" s="29">
        <v>24</v>
      </c>
      <c r="O15" s="29">
        <v>11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</row>
    <row r="16" spans="1:21" x14ac:dyDescent="0.25">
      <c r="A16" s="51" t="s">
        <v>44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13</v>
      </c>
      <c r="M16" s="29">
        <v>26</v>
      </c>
      <c r="N16" s="29">
        <v>25</v>
      </c>
      <c r="O16" s="29">
        <v>25</v>
      </c>
      <c r="P16" s="29">
        <v>24</v>
      </c>
      <c r="Q16" s="29">
        <v>11</v>
      </c>
      <c r="R16" s="29">
        <v>0</v>
      </c>
      <c r="S16" s="29">
        <v>0</v>
      </c>
      <c r="T16" s="29">
        <v>0</v>
      </c>
      <c r="U16" s="29">
        <v>0</v>
      </c>
    </row>
    <row r="17" spans="1:21" x14ac:dyDescent="0.25">
      <c r="A17" s="51" t="s">
        <v>45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13</v>
      </c>
      <c r="O17" s="29">
        <v>26</v>
      </c>
      <c r="P17" s="29">
        <v>25</v>
      </c>
      <c r="Q17" s="29">
        <v>25</v>
      </c>
      <c r="R17" s="29">
        <v>24</v>
      </c>
      <c r="S17" s="29">
        <v>11</v>
      </c>
      <c r="T17" s="29">
        <v>0</v>
      </c>
      <c r="U17" s="29">
        <v>0</v>
      </c>
    </row>
    <row r="18" spans="1:21" x14ac:dyDescent="0.25">
      <c r="A18" s="51" t="s">
        <v>46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13</v>
      </c>
      <c r="Q18" s="29">
        <v>26</v>
      </c>
      <c r="R18" s="29">
        <v>25</v>
      </c>
      <c r="S18" s="29">
        <v>25</v>
      </c>
      <c r="T18" s="29">
        <v>24</v>
      </c>
      <c r="U18" s="29">
        <v>11</v>
      </c>
    </row>
    <row r="19" spans="1:21" x14ac:dyDescent="0.25">
      <c r="A19" s="51" t="s">
        <v>47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8</v>
      </c>
      <c r="S19" s="29">
        <v>17</v>
      </c>
      <c r="T19" s="29">
        <v>25</v>
      </c>
      <c r="U19" s="29">
        <v>25</v>
      </c>
    </row>
    <row r="20" spans="1:21" x14ac:dyDescent="0.25">
      <c r="A20" s="51" t="s">
        <v>48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9</v>
      </c>
    </row>
    <row r="21" spans="1:21" x14ac:dyDescent="0.25">
      <c r="A21" s="51" t="s">
        <v>49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</row>
    <row r="22" spans="1:21" x14ac:dyDescent="0.25">
      <c r="A22" s="51" t="s">
        <v>50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</row>
    <row r="23" spans="1:21" x14ac:dyDescent="0.25">
      <c r="A23" s="51" t="s">
        <v>51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55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&amp;TECNOLOGIAS!$A$11</f>
        <v>VEÍCULO  Híbrido Piso Baixo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>
        <v>0</v>
      </c>
      <c r="C13" s="29">
        <v>11</v>
      </c>
      <c r="D13" s="29">
        <v>11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2</v>
      </c>
      <c r="N13" s="29">
        <v>2</v>
      </c>
      <c r="O13" s="29">
        <v>2</v>
      </c>
      <c r="P13" s="29">
        <v>2</v>
      </c>
      <c r="Q13" s="29">
        <v>1</v>
      </c>
      <c r="R13" s="29">
        <v>1</v>
      </c>
      <c r="S13" s="29">
        <v>2</v>
      </c>
      <c r="T13" s="29">
        <v>2</v>
      </c>
      <c r="U13" s="29">
        <v>1</v>
      </c>
    </row>
    <row r="14" spans="1:21" x14ac:dyDescent="0.25">
      <c r="A14" s="51" t="s">
        <v>42</v>
      </c>
      <c r="B14" s="29">
        <v>0</v>
      </c>
      <c r="C14" s="29">
        <v>0</v>
      </c>
      <c r="D14" s="29">
        <v>0</v>
      </c>
      <c r="E14" s="29">
        <v>11</v>
      </c>
      <c r="F14" s="29">
        <v>11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2</v>
      </c>
      <c r="P14" s="29">
        <v>2</v>
      </c>
      <c r="Q14" s="29">
        <v>2</v>
      </c>
      <c r="R14" s="29">
        <v>2</v>
      </c>
      <c r="S14" s="29">
        <v>1</v>
      </c>
      <c r="T14" s="29">
        <v>1</v>
      </c>
      <c r="U14" s="29">
        <v>2</v>
      </c>
    </row>
    <row r="15" spans="1:21" x14ac:dyDescent="0.25">
      <c r="A15" s="51" t="s">
        <v>43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11</v>
      </c>
      <c r="H15" s="29">
        <v>11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</v>
      </c>
      <c r="R15" s="29">
        <v>2</v>
      </c>
      <c r="S15" s="29">
        <v>2</v>
      </c>
      <c r="T15" s="29">
        <v>2</v>
      </c>
      <c r="U15" s="29">
        <v>1</v>
      </c>
    </row>
    <row r="16" spans="1:21" x14ac:dyDescent="0.25">
      <c r="A16" s="51" t="s">
        <v>44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11</v>
      </c>
      <c r="J16" s="29">
        <v>11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</v>
      </c>
      <c r="T16" s="29">
        <v>2</v>
      </c>
      <c r="U16" s="29">
        <v>2</v>
      </c>
    </row>
    <row r="17" spans="1:21" x14ac:dyDescent="0.25">
      <c r="A17" s="51" t="s">
        <v>45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11</v>
      </c>
      <c r="L17" s="29">
        <v>11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2</v>
      </c>
    </row>
    <row r="18" spans="1:21" x14ac:dyDescent="0.25">
      <c r="A18" s="51" t="s">
        <v>46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9</v>
      </c>
      <c r="N18" s="29">
        <v>9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</row>
    <row r="19" spans="1:21" x14ac:dyDescent="0.25">
      <c r="A19" s="51" t="s">
        <v>47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7</v>
      </c>
      <c r="P19" s="29">
        <v>7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</row>
    <row r="20" spans="1:21" x14ac:dyDescent="0.25">
      <c r="A20" s="51" t="s">
        <v>48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6</v>
      </c>
      <c r="R20" s="29">
        <v>6</v>
      </c>
      <c r="S20" s="29">
        <v>0</v>
      </c>
      <c r="T20" s="29">
        <v>0</v>
      </c>
      <c r="U20" s="29">
        <v>0</v>
      </c>
    </row>
    <row r="21" spans="1:21" x14ac:dyDescent="0.25">
      <c r="A21" s="51" t="s">
        <v>49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4</v>
      </c>
      <c r="T21" s="29">
        <v>4</v>
      </c>
      <c r="U21" s="29">
        <v>0</v>
      </c>
    </row>
    <row r="22" spans="1:21" x14ac:dyDescent="0.25">
      <c r="A22" s="51" t="s">
        <v>50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3</v>
      </c>
    </row>
    <row r="23" spans="1:21" x14ac:dyDescent="0.25">
      <c r="A23" s="51" t="s">
        <v>51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B90"/>
  <sheetViews>
    <sheetView showGridLines="0" view="pageBreakPreview" topLeftCell="A13" zoomScale="75" zoomScaleNormal="75" zoomScaleSheetLayoutView="75" workbookViewId="0"/>
  </sheetViews>
  <sheetFormatPr defaultColWidth="9.1796875" defaultRowHeight="12.5" x14ac:dyDescent="0.25"/>
  <cols>
    <col min="1" max="1" width="9.54296875" style="545" customWidth="1"/>
    <col min="2" max="2" width="98.81640625" style="490" customWidth="1"/>
    <col min="3" max="4" width="1.7265625" style="490" customWidth="1"/>
    <col min="5" max="5" width="1.54296875" style="490" customWidth="1"/>
    <col min="6" max="6" width="1.453125" style="490" customWidth="1"/>
    <col min="7" max="16384" width="9.1796875" style="490"/>
  </cols>
  <sheetData>
    <row r="1" spans="1:2" x14ac:dyDescent="0.25">
      <c r="A1" s="544" t="s">
        <v>359</v>
      </c>
      <c r="B1" s="545"/>
    </row>
    <row r="2" spans="1:2" ht="13.5" customHeight="1" thickBot="1" x14ac:dyDescent="0.3">
      <c r="A2" s="544" t="s">
        <v>448</v>
      </c>
      <c r="B2" s="545"/>
    </row>
    <row r="3" spans="1:2" ht="13" thickBot="1" x14ac:dyDescent="0.3">
      <c r="A3" s="546" t="s">
        <v>308</v>
      </c>
      <c r="B3" s="547" t="s">
        <v>309</v>
      </c>
    </row>
    <row r="4" spans="1:2" ht="12.75" customHeight="1" x14ac:dyDescent="0.25">
      <c r="A4" s="548">
        <v>1</v>
      </c>
      <c r="B4" s="549" t="s">
        <v>314</v>
      </c>
    </row>
    <row r="5" spans="1:2" ht="12.75" customHeight="1" x14ac:dyDescent="0.25">
      <c r="A5" s="550">
        <v>2</v>
      </c>
      <c r="B5" s="551" t="s">
        <v>313</v>
      </c>
    </row>
    <row r="6" spans="1:2" ht="12.75" customHeight="1" x14ac:dyDescent="0.25">
      <c r="A6" s="550">
        <v>3</v>
      </c>
      <c r="B6" s="551" t="s">
        <v>315</v>
      </c>
    </row>
    <row r="7" spans="1:2" ht="12.75" customHeight="1" x14ac:dyDescent="0.25">
      <c r="A7" s="550" t="s">
        <v>420</v>
      </c>
      <c r="B7" s="551" t="s">
        <v>421</v>
      </c>
    </row>
    <row r="8" spans="1:2" ht="12.75" customHeight="1" x14ac:dyDescent="0.25">
      <c r="A8" s="550" t="s">
        <v>422</v>
      </c>
      <c r="B8" s="551" t="s">
        <v>423</v>
      </c>
    </row>
    <row r="9" spans="1:2" ht="12.75" customHeight="1" x14ac:dyDescent="0.25">
      <c r="A9" s="550">
        <v>6</v>
      </c>
      <c r="B9" s="551" t="s">
        <v>409</v>
      </c>
    </row>
    <row r="10" spans="1:2" ht="12.75" customHeight="1" x14ac:dyDescent="0.25">
      <c r="A10" s="550">
        <v>7</v>
      </c>
      <c r="B10" s="551" t="s">
        <v>410</v>
      </c>
    </row>
    <row r="11" spans="1:2" ht="12.75" customHeight="1" x14ac:dyDescent="0.25">
      <c r="A11" s="550">
        <v>8</v>
      </c>
      <c r="B11" s="551" t="s">
        <v>316</v>
      </c>
    </row>
    <row r="12" spans="1:2" ht="12.75" customHeight="1" x14ac:dyDescent="0.25">
      <c r="A12" s="550">
        <v>9</v>
      </c>
      <c r="B12" s="551" t="s">
        <v>848</v>
      </c>
    </row>
    <row r="13" spans="1:2" ht="12.75" customHeight="1" x14ac:dyDescent="0.25">
      <c r="A13" s="550">
        <v>10</v>
      </c>
      <c r="B13" s="551" t="s">
        <v>318</v>
      </c>
    </row>
    <row r="14" spans="1:2" ht="12.75" customHeight="1" x14ac:dyDescent="0.25">
      <c r="A14" s="550">
        <v>11</v>
      </c>
      <c r="B14" s="551" t="s">
        <v>362</v>
      </c>
    </row>
    <row r="15" spans="1:2" ht="12.75" customHeight="1" x14ac:dyDescent="0.25">
      <c r="A15" s="550">
        <v>12</v>
      </c>
      <c r="B15" s="551" t="s">
        <v>320</v>
      </c>
    </row>
    <row r="16" spans="1:2" ht="12.75" customHeight="1" x14ac:dyDescent="0.25">
      <c r="A16" s="550">
        <v>13</v>
      </c>
      <c r="B16" s="551" t="s">
        <v>364</v>
      </c>
    </row>
    <row r="17" spans="1:2" ht="12.75" customHeight="1" x14ac:dyDescent="0.25">
      <c r="A17" s="550">
        <v>14</v>
      </c>
      <c r="B17" s="551" t="s">
        <v>321</v>
      </c>
    </row>
    <row r="18" spans="1:2" ht="12.75" customHeight="1" x14ac:dyDescent="0.25">
      <c r="A18" s="550">
        <v>15</v>
      </c>
      <c r="B18" s="551" t="s">
        <v>322</v>
      </c>
    </row>
    <row r="19" spans="1:2" x14ac:dyDescent="0.25">
      <c r="A19" s="550">
        <v>16</v>
      </c>
      <c r="B19" s="551" t="s">
        <v>408</v>
      </c>
    </row>
    <row r="20" spans="1:2" ht="25.5" customHeight="1" x14ac:dyDescent="0.25">
      <c r="A20" s="550" t="s">
        <v>766</v>
      </c>
      <c r="B20" s="481" t="s">
        <v>849</v>
      </c>
    </row>
    <row r="21" spans="1:2" ht="12.75" customHeight="1" x14ac:dyDescent="0.25">
      <c r="A21" s="550">
        <v>17</v>
      </c>
      <c r="B21" s="551" t="s">
        <v>779</v>
      </c>
    </row>
    <row r="22" spans="1:2" ht="12.75" customHeight="1" x14ac:dyDescent="0.25">
      <c r="A22" s="550">
        <v>18</v>
      </c>
      <c r="B22" s="551" t="s">
        <v>769</v>
      </c>
    </row>
    <row r="23" spans="1:2" ht="12.75" customHeight="1" x14ac:dyDescent="0.25">
      <c r="A23" s="550">
        <v>19</v>
      </c>
      <c r="B23" s="551" t="s">
        <v>411</v>
      </c>
    </row>
    <row r="24" spans="1:2" ht="12.75" customHeight="1" x14ac:dyDescent="0.25">
      <c r="A24" s="550">
        <v>20</v>
      </c>
      <c r="B24" s="551" t="s">
        <v>412</v>
      </c>
    </row>
    <row r="25" spans="1:2" ht="12.75" customHeight="1" x14ac:dyDescent="0.25">
      <c r="A25" s="550">
        <v>21</v>
      </c>
      <c r="B25" s="551" t="s">
        <v>770</v>
      </c>
    </row>
    <row r="26" spans="1:2" ht="12.75" customHeight="1" x14ac:dyDescent="0.25">
      <c r="A26" s="550">
        <v>22</v>
      </c>
      <c r="B26" s="551" t="s">
        <v>771</v>
      </c>
    </row>
    <row r="27" spans="1:2" ht="12.75" customHeight="1" x14ac:dyDescent="0.25">
      <c r="A27" s="550">
        <v>23</v>
      </c>
      <c r="B27" s="551" t="s">
        <v>772</v>
      </c>
    </row>
    <row r="28" spans="1:2" ht="12.75" customHeight="1" x14ac:dyDescent="0.25">
      <c r="A28" s="550">
        <v>24</v>
      </c>
      <c r="B28" s="551" t="s">
        <v>773</v>
      </c>
    </row>
    <row r="29" spans="1:2" ht="12.75" customHeight="1" x14ac:dyDescent="0.25">
      <c r="A29" s="550">
        <v>25</v>
      </c>
      <c r="B29" s="551" t="s">
        <v>774</v>
      </c>
    </row>
    <row r="30" spans="1:2" ht="24.75" customHeight="1" x14ac:dyDescent="0.25">
      <c r="A30" s="552">
        <v>26</v>
      </c>
      <c r="B30" s="553" t="s">
        <v>850</v>
      </c>
    </row>
    <row r="31" spans="1:2" ht="12.75" customHeight="1" x14ac:dyDescent="0.25">
      <c r="A31" s="552">
        <v>27</v>
      </c>
      <c r="B31" s="553" t="s">
        <v>775</v>
      </c>
    </row>
    <row r="32" spans="1:2" ht="12.75" customHeight="1" x14ac:dyDescent="0.25">
      <c r="A32" s="552">
        <v>28</v>
      </c>
      <c r="B32" s="553" t="s">
        <v>323</v>
      </c>
    </row>
    <row r="33" spans="1:2" ht="12.75" customHeight="1" x14ac:dyDescent="0.25">
      <c r="A33" s="550" t="s">
        <v>424</v>
      </c>
      <c r="B33" s="551" t="s">
        <v>425</v>
      </c>
    </row>
    <row r="34" spans="1:2" ht="12.75" customHeight="1" x14ac:dyDescent="0.25">
      <c r="A34" s="550" t="s">
        <v>310</v>
      </c>
      <c r="B34" s="551" t="s">
        <v>405</v>
      </c>
    </row>
    <row r="35" spans="1:2" ht="12.75" customHeight="1" x14ac:dyDescent="0.25">
      <c r="A35" s="550" t="s">
        <v>311</v>
      </c>
      <c r="B35" s="551" t="s">
        <v>851</v>
      </c>
    </row>
    <row r="36" spans="1:2" ht="12.75" customHeight="1" x14ac:dyDescent="0.25">
      <c r="A36" s="550" t="s">
        <v>830</v>
      </c>
      <c r="B36" s="551" t="s">
        <v>831</v>
      </c>
    </row>
    <row r="37" spans="1:2" ht="12.75" customHeight="1" x14ac:dyDescent="0.25">
      <c r="A37" s="550" t="s">
        <v>312</v>
      </c>
      <c r="B37" s="551" t="s">
        <v>324</v>
      </c>
    </row>
    <row r="38" spans="1:2" ht="12.75" customHeight="1" x14ac:dyDescent="0.25">
      <c r="A38" s="552" t="s">
        <v>326</v>
      </c>
      <c r="B38" s="551" t="s">
        <v>406</v>
      </c>
    </row>
    <row r="39" spans="1:2" ht="24" customHeight="1" x14ac:dyDescent="0.25">
      <c r="A39" s="552" t="s">
        <v>368</v>
      </c>
      <c r="B39" s="553" t="s">
        <v>852</v>
      </c>
    </row>
    <row r="40" spans="1:2" ht="12.75" customHeight="1" x14ac:dyDescent="0.25">
      <c r="A40" s="550" t="s">
        <v>426</v>
      </c>
      <c r="B40" s="551" t="s">
        <v>325</v>
      </c>
    </row>
    <row r="41" spans="1:2" ht="12.75" customHeight="1" x14ac:dyDescent="0.25">
      <c r="A41" s="550" t="s">
        <v>836</v>
      </c>
      <c r="B41" s="551" t="s">
        <v>837</v>
      </c>
    </row>
    <row r="42" spans="1:2" ht="12.75" customHeight="1" x14ac:dyDescent="0.25">
      <c r="A42" s="552" t="s">
        <v>356</v>
      </c>
      <c r="B42" s="553" t="s">
        <v>370</v>
      </c>
    </row>
    <row r="43" spans="1:2" ht="12.75" customHeight="1" x14ac:dyDescent="0.25">
      <c r="A43" s="552" t="s">
        <v>354</v>
      </c>
      <c r="B43" s="551" t="s">
        <v>407</v>
      </c>
    </row>
    <row r="44" spans="1:2" ht="24.75" customHeight="1" x14ac:dyDescent="0.25">
      <c r="A44" s="550" t="s">
        <v>355</v>
      </c>
      <c r="B44" s="553" t="s">
        <v>853</v>
      </c>
    </row>
    <row r="45" spans="1:2" ht="12.75" customHeight="1" x14ac:dyDescent="0.25">
      <c r="A45" s="550" t="s">
        <v>834</v>
      </c>
      <c r="B45" s="551" t="s">
        <v>835</v>
      </c>
    </row>
    <row r="46" spans="1:2" ht="12.75" customHeight="1" x14ac:dyDescent="0.25">
      <c r="A46" s="550" t="s">
        <v>430</v>
      </c>
      <c r="B46" s="551" t="s">
        <v>777</v>
      </c>
    </row>
    <row r="47" spans="1:2" ht="12.75" customHeight="1" x14ac:dyDescent="0.25">
      <c r="A47" s="551" t="s">
        <v>427</v>
      </c>
      <c r="B47" s="551" t="s">
        <v>776</v>
      </c>
    </row>
    <row r="48" spans="1:2" ht="24" customHeight="1" x14ac:dyDescent="0.25">
      <c r="A48" s="552" t="s">
        <v>428</v>
      </c>
      <c r="B48" s="553" t="s">
        <v>854</v>
      </c>
    </row>
    <row r="49" spans="1:2" ht="12.75" customHeight="1" x14ac:dyDescent="0.25">
      <c r="A49" s="551" t="s">
        <v>429</v>
      </c>
      <c r="B49" s="551" t="s">
        <v>778</v>
      </c>
    </row>
    <row r="50" spans="1:2" ht="12.75" customHeight="1" x14ac:dyDescent="0.25">
      <c r="A50" s="554" t="s">
        <v>832</v>
      </c>
      <c r="B50" s="551" t="s">
        <v>833</v>
      </c>
    </row>
    <row r="51" spans="1:2" ht="27.75" customHeight="1" thickBot="1" x14ac:dyDescent="0.3">
      <c r="A51" s="555">
        <v>34</v>
      </c>
      <c r="B51" s="556" t="s">
        <v>855</v>
      </c>
    </row>
    <row r="52" spans="1:2" s="532" customFormat="1" ht="12.75" customHeight="1" x14ac:dyDescent="0.25">
      <c r="A52" s="557"/>
      <c r="B52" s="558"/>
    </row>
    <row r="53" spans="1:2" s="532" customFormat="1" ht="12.75" customHeight="1" thickBot="1" x14ac:dyDescent="0.3">
      <c r="A53" s="559" t="s">
        <v>449</v>
      </c>
      <c r="B53" s="558"/>
    </row>
    <row r="54" spans="1:2" s="532" customFormat="1" ht="12.75" customHeight="1" x14ac:dyDescent="0.25">
      <c r="A54" s="546" t="s">
        <v>308</v>
      </c>
      <c r="B54" s="547" t="s">
        <v>309</v>
      </c>
    </row>
    <row r="55" spans="1:2" ht="12.75" customHeight="1" x14ac:dyDescent="0.25">
      <c r="A55" s="552" t="s">
        <v>451</v>
      </c>
      <c r="B55" s="551" t="s">
        <v>818</v>
      </c>
    </row>
    <row r="56" spans="1:2" ht="12.75" customHeight="1" x14ac:dyDescent="0.25">
      <c r="A56" s="552" t="s">
        <v>452</v>
      </c>
      <c r="B56" s="551" t="s">
        <v>811</v>
      </c>
    </row>
    <row r="57" spans="1:2" ht="12.75" customHeight="1" x14ac:dyDescent="0.25">
      <c r="A57" s="552" t="s">
        <v>453</v>
      </c>
      <c r="B57" s="551" t="s">
        <v>812</v>
      </c>
    </row>
    <row r="58" spans="1:2" ht="12.75" customHeight="1" x14ac:dyDescent="0.25">
      <c r="A58" s="552" t="s">
        <v>454</v>
      </c>
      <c r="B58" s="551" t="s">
        <v>813</v>
      </c>
    </row>
    <row r="59" spans="1:2" ht="12.75" customHeight="1" x14ac:dyDescent="0.25">
      <c r="A59" s="552" t="s">
        <v>455</v>
      </c>
      <c r="B59" s="551" t="s">
        <v>814</v>
      </c>
    </row>
    <row r="60" spans="1:2" ht="12.75" customHeight="1" x14ac:dyDescent="0.25">
      <c r="A60" s="552" t="s">
        <v>456</v>
      </c>
      <c r="B60" s="551" t="s">
        <v>815</v>
      </c>
    </row>
    <row r="61" spans="1:2" ht="12.75" customHeight="1" x14ac:dyDescent="0.25">
      <c r="A61" s="552" t="s">
        <v>457</v>
      </c>
      <c r="B61" s="551" t="s">
        <v>816</v>
      </c>
    </row>
    <row r="62" spans="1:2" ht="12.75" customHeight="1" x14ac:dyDescent="0.25">
      <c r="A62" s="552" t="s">
        <v>458</v>
      </c>
      <c r="B62" s="551" t="s">
        <v>817</v>
      </c>
    </row>
    <row r="63" spans="1:2" ht="12.75" customHeight="1" x14ac:dyDescent="0.25">
      <c r="A63" s="552" t="s">
        <v>460</v>
      </c>
      <c r="B63" s="551" t="s">
        <v>459</v>
      </c>
    </row>
    <row r="64" spans="1:2" ht="12.75" customHeight="1" x14ac:dyDescent="0.25">
      <c r="A64" s="552" t="s">
        <v>461</v>
      </c>
      <c r="B64" s="551" t="s">
        <v>810</v>
      </c>
    </row>
    <row r="65" spans="1:2" ht="12.75" customHeight="1" x14ac:dyDescent="0.25">
      <c r="A65" s="552" t="s">
        <v>462</v>
      </c>
      <c r="B65" s="551" t="s">
        <v>806</v>
      </c>
    </row>
    <row r="66" spans="1:2" ht="12.75" customHeight="1" x14ac:dyDescent="0.25">
      <c r="A66" s="552" t="s">
        <v>463</v>
      </c>
      <c r="B66" s="551" t="s">
        <v>807</v>
      </c>
    </row>
    <row r="67" spans="1:2" ht="12.75" customHeight="1" x14ac:dyDescent="0.25">
      <c r="A67" s="552" t="s">
        <v>464</v>
      </c>
      <c r="B67" s="551" t="s">
        <v>808</v>
      </c>
    </row>
    <row r="68" spans="1:2" ht="12.75" customHeight="1" x14ac:dyDescent="0.25">
      <c r="A68" s="552" t="s">
        <v>465</v>
      </c>
      <c r="B68" s="551" t="s">
        <v>809</v>
      </c>
    </row>
    <row r="69" spans="1:2" ht="12.75" customHeight="1" x14ac:dyDescent="0.25">
      <c r="A69" s="552" t="s">
        <v>470</v>
      </c>
      <c r="B69" s="551" t="s">
        <v>466</v>
      </c>
    </row>
    <row r="70" spans="1:2" ht="12.75" customHeight="1" x14ac:dyDescent="0.25">
      <c r="A70" s="552" t="s">
        <v>471</v>
      </c>
      <c r="B70" s="551" t="s">
        <v>467</v>
      </c>
    </row>
    <row r="71" spans="1:2" ht="12.75" customHeight="1" x14ac:dyDescent="0.25">
      <c r="A71" s="552" t="s">
        <v>472</v>
      </c>
      <c r="B71" s="551" t="s">
        <v>468</v>
      </c>
    </row>
    <row r="72" spans="1:2" ht="12.75" customHeight="1" x14ac:dyDescent="0.25">
      <c r="A72" s="552" t="s">
        <v>473</v>
      </c>
      <c r="B72" s="551" t="s">
        <v>469</v>
      </c>
    </row>
    <row r="73" spans="1:2" ht="12.75" customHeight="1" x14ac:dyDescent="0.25">
      <c r="A73" s="552">
        <v>38</v>
      </c>
      <c r="B73" s="551" t="s">
        <v>474</v>
      </c>
    </row>
    <row r="74" spans="1:2" ht="12.75" customHeight="1" x14ac:dyDescent="0.25">
      <c r="A74" s="552" t="s">
        <v>479</v>
      </c>
      <c r="B74" s="551" t="s">
        <v>475</v>
      </c>
    </row>
    <row r="75" spans="1:2" ht="12.75" customHeight="1" x14ac:dyDescent="0.25">
      <c r="A75" s="552" t="s">
        <v>480</v>
      </c>
      <c r="B75" s="551" t="s">
        <v>476</v>
      </c>
    </row>
    <row r="76" spans="1:2" ht="12.75" customHeight="1" x14ac:dyDescent="0.25">
      <c r="A76" s="552" t="s">
        <v>481</v>
      </c>
      <c r="B76" s="551" t="s">
        <v>477</v>
      </c>
    </row>
    <row r="77" spans="1:2" ht="12.75" customHeight="1" x14ac:dyDescent="0.25">
      <c r="A77" s="552" t="s">
        <v>482</v>
      </c>
      <c r="B77" s="551" t="s">
        <v>478</v>
      </c>
    </row>
    <row r="78" spans="1:2" ht="12.75" customHeight="1" x14ac:dyDescent="0.25">
      <c r="A78" s="552" t="s">
        <v>498</v>
      </c>
      <c r="B78" s="551" t="s">
        <v>499</v>
      </c>
    </row>
    <row r="79" spans="1:2" ht="12.75" customHeight="1" x14ac:dyDescent="0.25">
      <c r="A79" s="552" t="s">
        <v>488</v>
      </c>
      <c r="B79" s="551" t="s">
        <v>483</v>
      </c>
    </row>
    <row r="80" spans="1:2" ht="12.75" customHeight="1" x14ac:dyDescent="0.25">
      <c r="A80" s="552" t="s">
        <v>489</v>
      </c>
      <c r="B80" s="551" t="s">
        <v>485</v>
      </c>
    </row>
    <row r="81" spans="1:2" ht="12.75" customHeight="1" x14ac:dyDescent="0.25">
      <c r="A81" s="552" t="s">
        <v>490</v>
      </c>
      <c r="B81" s="551" t="s">
        <v>484</v>
      </c>
    </row>
    <row r="82" spans="1:2" ht="12.75" customHeight="1" x14ac:dyDescent="0.25">
      <c r="A82" s="552" t="s">
        <v>491</v>
      </c>
      <c r="B82" s="551" t="s">
        <v>486</v>
      </c>
    </row>
    <row r="83" spans="1:2" ht="12.75" customHeight="1" x14ac:dyDescent="0.25">
      <c r="A83" s="552" t="s">
        <v>492</v>
      </c>
      <c r="B83" s="551" t="s">
        <v>487</v>
      </c>
    </row>
    <row r="84" spans="1:2" ht="12.75" customHeight="1" thickBot="1" x14ac:dyDescent="0.3">
      <c r="A84" s="555" t="s">
        <v>500</v>
      </c>
      <c r="B84" s="560" t="s">
        <v>493</v>
      </c>
    </row>
    <row r="85" spans="1:2" s="532" customFormat="1" ht="12.75" customHeight="1" x14ac:dyDescent="0.25">
      <c r="A85" s="557"/>
      <c r="B85" s="558"/>
    </row>
    <row r="86" spans="1:2" s="532" customFormat="1" ht="12.75" customHeight="1" thickBot="1" x14ac:dyDescent="0.3">
      <c r="A86" s="559" t="s">
        <v>450</v>
      </c>
      <c r="B86" s="558"/>
    </row>
    <row r="87" spans="1:2" ht="12.75" customHeight="1" x14ac:dyDescent="0.25">
      <c r="A87" s="546" t="s">
        <v>308</v>
      </c>
      <c r="B87" s="547" t="s">
        <v>309</v>
      </c>
    </row>
    <row r="88" spans="1:2" ht="12.75" customHeight="1" x14ac:dyDescent="0.25">
      <c r="A88" s="561">
        <v>43</v>
      </c>
      <c r="B88" s="551" t="s">
        <v>755</v>
      </c>
    </row>
    <row r="89" spans="1:2" ht="12.75" customHeight="1" x14ac:dyDescent="0.25">
      <c r="A89" s="552">
        <v>44</v>
      </c>
      <c r="B89" s="562" t="s">
        <v>756</v>
      </c>
    </row>
    <row r="90" spans="1:2" ht="12.75" customHeight="1" thickBot="1" x14ac:dyDescent="0.3">
      <c r="A90" s="563">
        <v>45</v>
      </c>
      <c r="B90" s="564" t="s">
        <v>757</v>
      </c>
    </row>
  </sheetData>
  <sheetProtection objects="1"/>
  <phoneticPr fontId="0" type="noConversion"/>
  <pageMargins left="0.39" right="0.39" top="0.57999999999999996" bottom="0.62" header="0.49212598499999999" footer="0.49212598499999999"/>
  <pageSetup paperSize="9" scale="73" orientation="portrait" horizontalDpi="300" verticalDpi="300" r:id="rId1"/>
  <headerFooter alignWithMargins="0"/>
  <rowBreaks count="1" manualBreakCount="1">
    <brk id="5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56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&amp;TECNOLOGIAS!$A$12</f>
        <v>VEÍCULO  Van Atende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>
        <v>3</v>
      </c>
      <c r="C13" s="29">
        <v>3</v>
      </c>
      <c r="D13" s="29">
        <v>4</v>
      </c>
      <c r="E13" s="29">
        <v>4</v>
      </c>
      <c r="F13" s="29">
        <v>4</v>
      </c>
      <c r="G13" s="29">
        <v>4</v>
      </c>
      <c r="H13" s="29">
        <v>4</v>
      </c>
      <c r="I13" s="29">
        <v>4</v>
      </c>
      <c r="J13" s="29">
        <v>4</v>
      </c>
      <c r="K13" s="29">
        <v>4</v>
      </c>
      <c r="L13" s="29">
        <v>4</v>
      </c>
      <c r="M13" s="29">
        <v>4</v>
      </c>
      <c r="N13" s="29">
        <v>4</v>
      </c>
      <c r="O13" s="29">
        <v>4</v>
      </c>
      <c r="P13" s="29">
        <v>4</v>
      </c>
      <c r="Q13" s="29">
        <v>4</v>
      </c>
      <c r="R13" s="29">
        <v>4</v>
      </c>
      <c r="S13" s="29">
        <v>4</v>
      </c>
      <c r="T13" s="29">
        <v>3</v>
      </c>
      <c r="U13" s="29">
        <v>3</v>
      </c>
    </row>
    <row r="14" spans="1:21" x14ac:dyDescent="0.25">
      <c r="A14" s="51" t="s">
        <v>42</v>
      </c>
      <c r="B14" s="29">
        <v>4</v>
      </c>
      <c r="C14" s="29">
        <v>4</v>
      </c>
      <c r="D14" s="29">
        <v>3</v>
      </c>
      <c r="E14" s="29">
        <v>3</v>
      </c>
      <c r="F14" s="29">
        <v>4</v>
      </c>
      <c r="G14" s="29">
        <v>4</v>
      </c>
      <c r="H14" s="29">
        <v>4</v>
      </c>
      <c r="I14" s="29">
        <v>4</v>
      </c>
      <c r="J14" s="29">
        <v>4</v>
      </c>
      <c r="K14" s="29">
        <v>4</v>
      </c>
      <c r="L14" s="29">
        <v>4</v>
      </c>
      <c r="M14" s="29">
        <v>4</v>
      </c>
      <c r="N14" s="29">
        <v>4</v>
      </c>
      <c r="O14" s="29">
        <v>4</v>
      </c>
      <c r="P14" s="29">
        <v>4</v>
      </c>
      <c r="Q14" s="29">
        <v>4</v>
      </c>
      <c r="R14" s="29">
        <v>4</v>
      </c>
      <c r="S14" s="29">
        <v>4</v>
      </c>
      <c r="T14" s="29">
        <v>4</v>
      </c>
      <c r="U14" s="29">
        <v>4</v>
      </c>
    </row>
    <row r="15" spans="1:21" x14ac:dyDescent="0.25">
      <c r="A15" s="51" t="s">
        <v>43</v>
      </c>
      <c r="B15" s="29">
        <v>4</v>
      </c>
      <c r="C15" s="29">
        <v>4</v>
      </c>
      <c r="D15" s="29">
        <v>4</v>
      </c>
      <c r="E15" s="29">
        <v>4</v>
      </c>
      <c r="F15" s="29">
        <v>3</v>
      </c>
      <c r="G15" s="29">
        <v>3</v>
      </c>
      <c r="H15" s="29">
        <v>4</v>
      </c>
      <c r="I15" s="29">
        <v>4</v>
      </c>
      <c r="J15" s="29">
        <v>4</v>
      </c>
      <c r="K15" s="29">
        <v>4</v>
      </c>
      <c r="L15" s="29">
        <v>4</v>
      </c>
      <c r="M15" s="29">
        <v>4</v>
      </c>
      <c r="N15" s="29">
        <v>4</v>
      </c>
      <c r="O15" s="29">
        <v>4</v>
      </c>
      <c r="P15" s="29">
        <v>4</v>
      </c>
      <c r="Q15" s="29">
        <v>4</v>
      </c>
      <c r="R15" s="29">
        <v>4</v>
      </c>
      <c r="S15" s="29">
        <v>4</v>
      </c>
      <c r="T15" s="29">
        <v>4</v>
      </c>
      <c r="U15" s="29">
        <v>4</v>
      </c>
    </row>
    <row r="16" spans="1:21" x14ac:dyDescent="0.25">
      <c r="A16" s="51" t="s">
        <v>44</v>
      </c>
      <c r="B16" s="29">
        <v>4</v>
      </c>
      <c r="C16" s="29">
        <v>4</v>
      </c>
      <c r="D16" s="29">
        <v>4</v>
      </c>
      <c r="E16" s="29">
        <v>4</v>
      </c>
      <c r="F16" s="29">
        <v>4</v>
      </c>
      <c r="G16" s="29">
        <v>4</v>
      </c>
      <c r="H16" s="29">
        <v>3</v>
      </c>
      <c r="I16" s="29">
        <v>3</v>
      </c>
      <c r="J16" s="29">
        <v>4</v>
      </c>
      <c r="K16" s="29">
        <v>4</v>
      </c>
      <c r="L16" s="29">
        <v>4</v>
      </c>
      <c r="M16" s="29">
        <v>4</v>
      </c>
      <c r="N16" s="29">
        <v>4</v>
      </c>
      <c r="O16" s="29">
        <v>4</v>
      </c>
      <c r="P16" s="29">
        <v>4</v>
      </c>
      <c r="Q16" s="29">
        <v>4</v>
      </c>
      <c r="R16" s="29">
        <v>4</v>
      </c>
      <c r="S16" s="29">
        <v>4</v>
      </c>
      <c r="T16" s="29">
        <v>4</v>
      </c>
      <c r="U16" s="29">
        <v>4</v>
      </c>
    </row>
    <row r="17" spans="1:21" x14ac:dyDescent="0.25">
      <c r="A17" s="51" t="s">
        <v>45</v>
      </c>
      <c r="B17" s="29">
        <v>4</v>
      </c>
      <c r="C17" s="29">
        <v>4</v>
      </c>
      <c r="D17" s="29">
        <v>4</v>
      </c>
      <c r="E17" s="29">
        <v>4</v>
      </c>
      <c r="F17" s="29">
        <v>4</v>
      </c>
      <c r="G17" s="29">
        <v>4</v>
      </c>
      <c r="H17" s="29">
        <v>4</v>
      </c>
      <c r="I17" s="29">
        <v>4</v>
      </c>
      <c r="J17" s="29">
        <v>3</v>
      </c>
      <c r="K17" s="29">
        <v>3</v>
      </c>
      <c r="L17" s="29">
        <v>4</v>
      </c>
      <c r="M17" s="29">
        <v>4</v>
      </c>
      <c r="N17" s="29">
        <v>4</v>
      </c>
      <c r="O17" s="29">
        <v>4</v>
      </c>
      <c r="P17" s="29">
        <v>4</v>
      </c>
      <c r="Q17" s="29">
        <v>4</v>
      </c>
      <c r="R17" s="29">
        <v>4</v>
      </c>
      <c r="S17" s="29">
        <v>4</v>
      </c>
      <c r="T17" s="29">
        <v>4</v>
      </c>
      <c r="U17" s="29">
        <v>4</v>
      </c>
    </row>
    <row r="18" spans="1:21" x14ac:dyDescent="0.25">
      <c r="A18" s="51" t="s">
        <v>46</v>
      </c>
      <c r="B18" s="29">
        <v>4</v>
      </c>
      <c r="C18" s="29">
        <v>4</v>
      </c>
      <c r="D18" s="29">
        <v>4</v>
      </c>
      <c r="E18" s="29">
        <v>4</v>
      </c>
      <c r="F18" s="29">
        <v>4</v>
      </c>
      <c r="G18" s="29">
        <v>4</v>
      </c>
      <c r="H18" s="29">
        <v>4</v>
      </c>
      <c r="I18" s="29">
        <v>4</v>
      </c>
      <c r="J18" s="29">
        <v>4</v>
      </c>
      <c r="K18" s="29">
        <v>4</v>
      </c>
      <c r="L18" s="29">
        <v>3</v>
      </c>
      <c r="M18" s="29">
        <v>3</v>
      </c>
      <c r="N18" s="29">
        <v>4</v>
      </c>
      <c r="O18" s="29">
        <v>4</v>
      </c>
      <c r="P18" s="29">
        <v>4</v>
      </c>
      <c r="Q18" s="29">
        <v>4</v>
      </c>
      <c r="R18" s="29">
        <v>4</v>
      </c>
      <c r="S18" s="29">
        <v>4</v>
      </c>
      <c r="T18" s="29">
        <v>4</v>
      </c>
      <c r="U18" s="29">
        <v>4</v>
      </c>
    </row>
    <row r="19" spans="1:21" x14ac:dyDescent="0.25">
      <c r="A19" s="51" t="s">
        <v>47</v>
      </c>
      <c r="B19" s="29">
        <v>4</v>
      </c>
      <c r="C19" s="29">
        <v>4</v>
      </c>
      <c r="D19" s="29">
        <v>4</v>
      </c>
      <c r="E19" s="29">
        <v>4</v>
      </c>
      <c r="F19" s="29">
        <v>4</v>
      </c>
      <c r="G19" s="29">
        <v>4</v>
      </c>
      <c r="H19" s="29">
        <v>4</v>
      </c>
      <c r="I19" s="29">
        <v>4</v>
      </c>
      <c r="J19" s="29">
        <v>4</v>
      </c>
      <c r="K19" s="29">
        <v>4</v>
      </c>
      <c r="L19" s="29">
        <v>4</v>
      </c>
      <c r="M19" s="29">
        <v>4</v>
      </c>
      <c r="N19" s="29">
        <v>3</v>
      </c>
      <c r="O19" s="29">
        <v>3</v>
      </c>
      <c r="P19" s="29">
        <v>4</v>
      </c>
      <c r="Q19" s="29">
        <v>4</v>
      </c>
      <c r="R19" s="29">
        <v>4</v>
      </c>
      <c r="S19" s="29">
        <v>4</v>
      </c>
      <c r="T19" s="29">
        <v>4</v>
      </c>
      <c r="U19" s="29">
        <v>4</v>
      </c>
    </row>
    <row r="20" spans="1:21" x14ac:dyDescent="0.25">
      <c r="A20" s="51" t="s">
        <v>48</v>
      </c>
      <c r="B20" s="29">
        <v>4</v>
      </c>
      <c r="C20" s="29">
        <v>4</v>
      </c>
      <c r="D20" s="29">
        <v>4</v>
      </c>
      <c r="E20" s="29">
        <v>4</v>
      </c>
      <c r="F20" s="29">
        <v>4</v>
      </c>
      <c r="G20" s="29">
        <v>4</v>
      </c>
      <c r="H20" s="29">
        <v>4</v>
      </c>
      <c r="I20" s="29">
        <v>4</v>
      </c>
      <c r="J20" s="29">
        <v>4</v>
      </c>
      <c r="K20" s="29">
        <v>4</v>
      </c>
      <c r="L20" s="29">
        <v>4</v>
      </c>
      <c r="M20" s="29">
        <v>4</v>
      </c>
      <c r="N20" s="29">
        <v>4</v>
      </c>
      <c r="O20" s="29">
        <v>4</v>
      </c>
      <c r="P20" s="29">
        <v>3</v>
      </c>
      <c r="Q20" s="29">
        <v>3</v>
      </c>
      <c r="R20" s="29">
        <v>4</v>
      </c>
      <c r="S20" s="29">
        <v>4</v>
      </c>
      <c r="T20" s="29">
        <v>4</v>
      </c>
      <c r="U20" s="29">
        <v>4</v>
      </c>
    </row>
    <row r="21" spans="1:21" x14ac:dyDescent="0.25">
      <c r="A21" s="51" t="s">
        <v>49</v>
      </c>
      <c r="B21" s="29">
        <v>4</v>
      </c>
      <c r="C21" s="29">
        <v>4</v>
      </c>
      <c r="D21" s="29">
        <v>4</v>
      </c>
      <c r="E21" s="29">
        <v>4</v>
      </c>
      <c r="F21" s="29">
        <v>4</v>
      </c>
      <c r="G21" s="29">
        <v>4</v>
      </c>
      <c r="H21" s="29">
        <v>4</v>
      </c>
      <c r="I21" s="29">
        <v>4</v>
      </c>
      <c r="J21" s="29">
        <v>4</v>
      </c>
      <c r="K21" s="29">
        <v>4</v>
      </c>
      <c r="L21" s="29">
        <v>4</v>
      </c>
      <c r="M21" s="29">
        <v>4</v>
      </c>
      <c r="N21" s="29">
        <v>4</v>
      </c>
      <c r="O21" s="29">
        <v>4</v>
      </c>
      <c r="P21" s="29">
        <v>4</v>
      </c>
      <c r="Q21" s="29">
        <v>4</v>
      </c>
      <c r="R21" s="29">
        <v>3</v>
      </c>
      <c r="S21" s="29">
        <v>3</v>
      </c>
      <c r="T21" s="29">
        <v>4</v>
      </c>
      <c r="U21" s="29">
        <v>4</v>
      </c>
    </row>
    <row r="22" spans="1:21" x14ac:dyDescent="0.25">
      <c r="A22" s="51" t="s">
        <v>50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</row>
    <row r="23" spans="1:21" x14ac:dyDescent="0.25">
      <c r="A23" s="51" t="s">
        <v>51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57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&amp;TECNOLOGIAS!$A$13</f>
        <v>VEÍCULO  TIPO 7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 x14ac:dyDescent="0.25">
      <c r="A14" s="51" t="s">
        <v>42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 x14ac:dyDescent="0.25">
      <c r="A15" s="51" t="s">
        <v>43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pans="1:21" x14ac:dyDescent="0.25">
      <c r="A16" s="51" t="s">
        <v>44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pans="1:21" x14ac:dyDescent="0.25">
      <c r="A17" s="51" t="s">
        <v>45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pans="1:21" x14ac:dyDescent="0.25">
      <c r="A18" s="51" t="s">
        <v>46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1" x14ac:dyDescent="0.25">
      <c r="A19" s="51" t="s">
        <v>47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</row>
    <row r="20" spans="1:21" x14ac:dyDescent="0.25">
      <c r="A20" s="51" t="s">
        <v>48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</row>
    <row r="21" spans="1:21" x14ac:dyDescent="0.25">
      <c r="A21" s="51" t="s">
        <v>49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1" x14ac:dyDescent="0.25">
      <c r="A22" s="51" t="s">
        <v>50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</row>
    <row r="23" spans="1:21" x14ac:dyDescent="0.25">
      <c r="A23" s="51" t="s">
        <v>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pageSetUpPr fitToPage="1"/>
  </sheetPr>
  <dimension ref="A1:U33"/>
  <sheetViews>
    <sheetView showGridLines="0" showZeros="0" view="pageBreakPreview" zoomScale="60" zoomScaleNormal="100" workbookViewId="0"/>
  </sheetViews>
  <sheetFormatPr defaultColWidth="12.54296875" defaultRowHeight="12.5" x14ac:dyDescent="0.25"/>
  <cols>
    <col min="1" max="1" width="16.453125" style="490" customWidth="1"/>
    <col min="2" max="21" width="7.7265625" style="490" customWidth="1"/>
    <col min="22" max="16384" width="12.54296875" style="490"/>
  </cols>
  <sheetData>
    <row r="1" spans="1:21" ht="15.5" x14ac:dyDescent="0.35">
      <c r="A1" s="529" t="str">
        <f>TECNOLOGIAS!A1</f>
        <v>Proponente: TransPolitécnica</v>
      </c>
    </row>
    <row r="2" spans="1:21" ht="15.5" x14ac:dyDescent="0.35">
      <c r="A2" s="529" t="str">
        <f>TECNOLOGIAS!A2</f>
        <v>Área de Concessão: 5 (Cinco)</v>
      </c>
    </row>
    <row r="4" spans="1:21" ht="18" x14ac:dyDescent="0.4">
      <c r="A4" s="18" t="s">
        <v>361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6" spans="1:21" ht="15.5" x14ac:dyDescent="0.35">
      <c r="A6" s="20" t="s">
        <v>36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15.5" x14ac:dyDescent="0.35">
      <c r="A8" s="36" t="str">
        <f>"VEÍCULO  "  &amp;TECNOLOGIAS!$A$14</f>
        <v>VEÍCULO  TIPO 8</v>
      </c>
      <c r="B8" s="31"/>
      <c r="C8" s="46"/>
      <c r="D8" s="21"/>
      <c r="E8" s="21"/>
      <c r="F8" s="21"/>
      <c r="G8" s="21"/>
      <c r="H8" s="21"/>
      <c r="I8" s="21"/>
      <c r="J8" s="21"/>
      <c r="K8" s="21"/>
    </row>
    <row r="9" spans="1:21" ht="13" thickBo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</row>
    <row r="10" spans="1:21" ht="16" thickBot="1" x14ac:dyDescent="0.3">
      <c r="A10" s="255" t="s">
        <v>37</v>
      </c>
      <c r="B10" s="659" t="s">
        <v>38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1"/>
    </row>
    <row r="11" spans="1:21" x14ac:dyDescent="0.25">
      <c r="A11" s="47" t="s">
        <v>39</v>
      </c>
      <c r="B11" s="47" t="s">
        <v>372</v>
      </c>
      <c r="C11" s="256" t="s">
        <v>372</v>
      </c>
      <c r="D11" s="256" t="s">
        <v>372</v>
      </c>
      <c r="E11" s="256" t="s">
        <v>372</v>
      </c>
      <c r="F11" s="256" t="s">
        <v>372</v>
      </c>
      <c r="G11" s="256" t="s">
        <v>372</v>
      </c>
      <c r="H11" s="256" t="s">
        <v>372</v>
      </c>
      <c r="I11" s="256" t="s">
        <v>372</v>
      </c>
      <c r="J11" s="256" t="s">
        <v>372</v>
      </c>
      <c r="K11" s="256" t="s">
        <v>372</v>
      </c>
      <c r="L11" s="256" t="s">
        <v>372</v>
      </c>
      <c r="M11" s="256" t="s">
        <v>372</v>
      </c>
      <c r="N11" s="256" t="s">
        <v>372</v>
      </c>
      <c r="O11" s="256" t="s">
        <v>372</v>
      </c>
      <c r="P11" s="256" t="s">
        <v>372</v>
      </c>
      <c r="Q11" s="256" t="s">
        <v>372</v>
      </c>
      <c r="R11" s="256" t="s">
        <v>372</v>
      </c>
      <c r="S11" s="256" t="s">
        <v>372</v>
      </c>
      <c r="T11" s="256" t="s">
        <v>372</v>
      </c>
      <c r="U11" s="256" t="s">
        <v>372</v>
      </c>
    </row>
    <row r="12" spans="1:21" ht="13" thickBot="1" x14ac:dyDescent="0.3">
      <c r="A12" s="49"/>
      <c r="B12" s="49">
        <v>1</v>
      </c>
      <c r="C12" s="50">
        <v>2</v>
      </c>
      <c r="D12" s="50">
        <v>3</v>
      </c>
      <c r="E12" s="50">
        <v>4</v>
      </c>
      <c r="F12" s="50">
        <v>5</v>
      </c>
      <c r="G12" s="50">
        <v>6</v>
      </c>
      <c r="H12" s="50">
        <v>7</v>
      </c>
      <c r="I12" s="50">
        <v>8</v>
      </c>
      <c r="J12" s="50">
        <v>9</v>
      </c>
      <c r="K12" s="50">
        <v>10</v>
      </c>
      <c r="L12" s="50">
        <v>11</v>
      </c>
      <c r="M12" s="50">
        <v>12</v>
      </c>
      <c r="N12" s="50">
        <v>13</v>
      </c>
      <c r="O12" s="50">
        <v>14</v>
      </c>
      <c r="P12" s="50">
        <v>15</v>
      </c>
      <c r="Q12" s="50">
        <v>16</v>
      </c>
      <c r="R12" s="50">
        <v>17</v>
      </c>
      <c r="S12" s="50">
        <v>18</v>
      </c>
      <c r="T12" s="50">
        <v>19</v>
      </c>
      <c r="U12" s="50">
        <v>20</v>
      </c>
    </row>
    <row r="13" spans="1:21" x14ac:dyDescent="0.25">
      <c r="A13" s="28" t="s">
        <v>41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 x14ac:dyDescent="0.25">
      <c r="A14" s="51" t="s">
        <v>42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 x14ac:dyDescent="0.25">
      <c r="A15" s="51" t="s">
        <v>43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pans="1:21" x14ac:dyDescent="0.25">
      <c r="A16" s="51" t="s">
        <v>44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pans="1:21" x14ac:dyDescent="0.25">
      <c r="A17" s="51" t="s">
        <v>45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pans="1:21" x14ac:dyDescent="0.25">
      <c r="A18" s="51" t="s">
        <v>46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1" x14ac:dyDescent="0.25">
      <c r="A19" s="51" t="s">
        <v>47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</row>
    <row r="20" spans="1:21" x14ac:dyDescent="0.25">
      <c r="A20" s="51" t="s">
        <v>48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</row>
    <row r="21" spans="1:21" x14ac:dyDescent="0.25">
      <c r="A21" s="51" t="s">
        <v>49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1" x14ac:dyDescent="0.25">
      <c r="A22" s="51" t="s">
        <v>50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</row>
    <row r="23" spans="1:21" x14ac:dyDescent="0.25">
      <c r="A23" s="51" t="s">
        <v>51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1:21" s="532" customFormat="1" x14ac:dyDescent="0.25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21" s="532" customFormat="1" x14ac:dyDescent="0.25">
      <c r="A25" s="490" t="s">
        <v>447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</row>
    <row r="26" spans="1:21" s="532" customFormat="1" x14ac:dyDescent="0.25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</row>
    <row r="27" spans="1:21" s="532" customFormat="1" x14ac:dyDescent="0.25">
      <c r="A27" s="362"/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</row>
    <row r="28" spans="1:21" s="532" customFormat="1" x14ac:dyDescent="0.25">
      <c r="A28" s="362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</row>
    <row r="29" spans="1:21" s="532" customFormat="1" x14ac:dyDescent="0.25">
      <c r="A29" s="362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</row>
    <row r="30" spans="1:21" s="532" customFormat="1" x14ac:dyDescent="0.25">
      <c r="A30" s="362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</row>
    <row r="31" spans="1:21" s="532" customFormat="1" x14ac:dyDescent="0.25">
      <c r="A31" s="362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</row>
    <row r="32" spans="1:21" s="532" customFormat="1" x14ac:dyDescent="0.25">
      <c r="A32" s="362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</row>
    <row r="33" spans="1:21" s="532" customFormat="1" x14ac:dyDescent="0.25">
      <c r="A33" s="362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</row>
  </sheetData>
  <sheetProtection objects="1"/>
  <mergeCells count="1">
    <mergeCell ref="B10:U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pageSetUpPr fitToPage="1"/>
  </sheetPr>
  <dimension ref="A1:S31"/>
  <sheetViews>
    <sheetView showGridLines="0" showZeros="0" view="pageBreakPreview" zoomScale="60" zoomScaleNormal="100" workbookViewId="0">
      <selection activeCell="C18" sqref="C18"/>
    </sheetView>
  </sheetViews>
  <sheetFormatPr defaultColWidth="12.54296875" defaultRowHeight="12.5" x14ac:dyDescent="0.25"/>
  <cols>
    <col min="1" max="1" width="7.453125" style="490" customWidth="1"/>
    <col min="2" max="2" width="16.26953125" style="490" bestFit="1" customWidth="1"/>
    <col min="3" max="3" width="13.7265625" style="490" bestFit="1" customWidth="1"/>
    <col min="4" max="4" width="17.1796875" style="490" bestFit="1" customWidth="1"/>
    <col min="5" max="5" width="14.54296875" style="490" bestFit="1" customWidth="1"/>
    <col min="6" max="9" width="16.453125" style="490" customWidth="1"/>
    <col min="10" max="16384" width="12.54296875" style="490"/>
  </cols>
  <sheetData>
    <row r="1" spans="1:19" ht="15.5" x14ac:dyDescent="0.35">
      <c r="A1" s="529" t="str">
        <f>TECNOLOGIAS!A1</f>
        <v>Proponente: TransPolitécnica</v>
      </c>
    </row>
    <row r="2" spans="1:19" ht="15.5" x14ac:dyDescent="0.35">
      <c r="A2" s="529" t="str">
        <f>TECNOLOGIAS!A2</f>
        <v>Área de Concessão: 5 (Cinco)</v>
      </c>
    </row>
    <row r="4" spans="1:19" ht="18" x14ac:dyDescent="0.4">
      <c r="A4" s="18" t="s">
        <v>58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6" spans="1:19" ht="15.5" x14ac:dyDescent="0.35">
      <c r="A6" s="20" t="s">
        <v>439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</row>
    <row r="7" spans="1:19" ht="13" thickBot="1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19" ht="16" thickBot="1" x14ac:dyDescent="0.4">
      <c r="A8" s="255" t="s">
        <v>372</v>
      </c>
      <c r="B8" s="257" t="s">
        <v>780</v>
      </c>
      <c r="C8" s="302"/>
      <c r="D8" s="258"/>
      <c r="E8" s="258"/>
      <c r="F8" s="258"/>
      <c r="G8" s="258"/>
      <c r="H8" s="303"/>
      <c r="I8" s="259"/>
      <c r="J8" s="19"/>
      <c r="K8" s="19"/>
      <c r="L8" s="19"/>
      <c r="M8" s="19"/>
      <c r="N8" s="19"/>
      <c r="O8" s="19"/>
      <c r="P8" s="19"/>
      <c r="Q8" s="19"/>
      <c r="R8" s="19"/>
      <c r="S8" s="19"/>
    </row>
    <row r="9" spans="1:19" ht="16" thickBot="1" x14ac:dyDescent="0.4">
      <c r="A9" s="26"/>
      <c r="B9" s="49" t="str">
        <f>TECNOLOGIAS!$A$7</f>
        <v>Micro Ônibus</v>
      </c>
      <c r="C9" s="49" t="str">
        <f>TECNOLOGIAS!$A$8</f>
        <v>Básico</v>
      </c>
      <c r="D9" s="49" t="str">
        <f>TECNOLOGIAS!$A$9</f>
        <v>Padron</v>
      </c>
      <c r="E9" s="49" t="str">
        <f>TECNOLOGIAS!$A$10</f>
        <v>Articulados</v>
      </c>
      <c r="F9" s="49" t="str">
        <f>TECNOLOGIAS!$A$11</f>
        <v>Híbrido Piso Baixo</v>
      </c>
      <c r="G9" s="49" t="str">
        <f>TECNOLOGIAS!$A$12</f>
        <v>Van Atende</v>
      </c>
      <c r="H9" s="49" t="str">
        <f>TECNOLOGIAS!$A$13</f>
        <v>TIPO 7</v>
      </c>
      <c r="I9" s="49" t="str">
        <f>TECNOLOGIAS!$A$14</f>
        <v>TIPO 8</v>
      </c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19" ht="15.75" customHeight="1" x14ac:dyDescent="0.35">
      <c r="A10" s="28">
        <v>1</v>
      </c>
      <c r="B10" s="29">
        <v>37476</v>
      </c>
      <c r="C10" s="604">
        <v>35984.050938337801</v>
      </c>
      <c r="D10" s="29">
        <v>34668</v>
      </c>
      <c r="E10" s="29">
        <v>44934</v>
      </c>
      <c r="F10" s="29">
        <v>42348</v>
      </c>
      <c r="G10" s="29">
        <v>18600</v>
      </c>
      <c r="H10" s="300"/>
      <c r="I10" s="301"/>
      <c r="J10" s="19"/>
      <c r="K10" s="19"/>
      <c r="L10" s="19"/>
      <c r="M10" s="19"/>
      <c r="N10" s="19"/>
      <c r="O10" s="19"/>
      <c r="P10" s="19"/>
      <c r="Q10" s="19"/>
      <c r="R10" s="19"/>
      <c r="S10" s="19"/>
    </row>
    <row r="11" spans="1:19" ht="15.75" customHeight="1" x14ac:dyDescent="0.35">
      <c r="A11" s="28">
        <v>2</v>
      </c>
      <c r="B11" s="29">
        <f>B10</f>
        <v>37476</v>
      </c>
      <c r="C11" s="604">
        <v>35984.129909365562</v>
      </c>
      <c r="D11" s="29">
        <f>D10</f>
        <v>34668</v>
      </c>
      <c r="E11" s="29">
        <f>E10</f>
        <v>44934</v>
      </c>
      <c r="F11" s="29">
        <f>F10</f>
        <v>42348</v>
      </c>
      <c r="G11" s="29">
        <f>G10</f>
        <v>18600</v>
      </c>
      <c r="H11" s="300"/>
      <c r="I11" s="301"/>
      <c r="J11" s="19"/>
      <c r="K11" s="19"/>
      <c r="L11" s="19"/>
      <c r="M11" s="19"/>
      <c r="N11" s="19"/>
      <c r="O11" s="19"/>
      <c r="P11" s="19"/>
      <c r="Q11" s="19"/>
      <c r="R11" s="19"/>
      <c r="S11" s="19"/>
    </row>
    <row r="12" spans="1:19" ht="15.75" customHeight="1" x14ac:dyDescent="0.35">
      <c r="A12" s="28">
        <v>3</v>
      </c>
      <c r="B12" s="29">
        <f t="shared" ref="B12:B29" si="0">B11</f>
        <v>37476</v>
      </c>
      <c r="C12" s="604">
        <v>36092.459183673476</v>
      </c>
      <c r="D12" s="29">
        <f t="shared" ref="D12:D29" si="1">D11</f>
        <v>34668</v>
      </c>
      <c r="E12" s="29">
        <f t="shared" ref="E12:E29" si="2">E11</f>
        <v>44934</v>
      </c>
      <c r="F12" s="29">
        <f t="shared" ref="F12:F29" si="3">F11</f>
        <v>42348</v>
      </c>
      <c r="G12" s="29">
        <f t="shared" ref="G12:G29" si="4">G11</f>
        <v>18600</v>
      </c>
      <c r="H12" s="300"/>
      <c r="I12" s="301"/>
      <c r="J12" s="19"/>
      <c r="K12" s="19"/>
      <c r="L12" s="19"/>
      <c r="M12" s="19"/>
      <c r="N12" s="19"/>
      <c r="O12" s="19"/>
      <c r="P12" s="19"/>
      <c r="Q12" s="19"/>
      <c r="R12" s="19"/>
      <c r="S12" s="19"/>
    </row>
    <row r="13" spans="1:19" ht="15.75" customHeight="1" x14ac:dyDescent="0.35">
      <c r="A13" s="28">
        <v>4</v>
      </c>
      <c r="B13" s="29">
        <f t="shared" si="0"/>
        <v>37476</v>
      </c>
      <c r="C13" s="604">
        <v>36229.555555555555</v>
      </c>
      <c r="D13" s="29">
        <f t="shared" si="1"/>
        <v>34668</v>
      </c>
      <c r="E13" s="29">
        <f t="shared" si="2"/>
        <v>44934</v>
      </c>
      <c r="F13" s="29">
        <f t="shared" si="3"/>
        <v>42348</v>
      </c>
      <c r="G13" s="29">
        <f t="shared" si="4"/>
        <v>18600</v>
      </c>
      <c r="H13" s="300"/>
      <c r="I13" s="301"/>
      <c r="J13" s="19"/>
      <c r="K13" s="19"/>
      <c r="L13" s="19"/>
      <c r="M13" s="19"/>
      <c r="N13" s="19"/>
      <c r="O13" s="19"/>
      <c r="P13" s="19"/>
      <c r="Q13" s="19"/>
      <c r="R13" s="19"/>
      <c r="S13" s="19"/>
    </row>
    <row r="14" spans="1:19" ht="15.75" customHeight="1" x14ac:dyDescent="0.35">
      <c r="A14" s="28">
        <v>5</v>
      </c>
      <c r="B14" s="29">
        <f t="shared" si="0"/>
        <v>37476</v>
      </c>
      <c r="C14" s="604">
        <v>36180.183098591551</v>
      </c>
      <c r="D14" s="29">
        <f t="shared" si="1"/>
        <v>34668</v>
      </c>
      <c r="E14" s="29">
        <f t="shared" si="2"/>
        <v>44934</v>
      </c>
      <c r="F14" s="29">
        <f t="shared" si="3"/>
        <v>42348</v>
      </c>
      <c r="G14" s="29">
        <f t="shared" si="4"/>
        <v>18600</v>
      </c>
      <c r="H14" s="300"/>
      <c r="I14" s="301"/>
      <c r="J14" s="19"/>
      <c r="K14" s="19"/>
      <c r="L14" s="19"/>
      <c r="M14" s="19"/>
      <c r="N14" s="19"/>
      <c r="O14" s="19"/>
      <c r="P14" s="19"/>
      <c r="Q14" s="19"/>
      <c r="R14" s="19"/>
      <c r="S14" s="19"/>
    </row>
    <row r="15" spans="1:19" ht="15.75" customHeight="1" x14ac:dyDescent="0.35">
      <c r="A15" s="28">
        <v>6</v>
      </c>
      <c r="B15" s="29">
        <f t="shared" si="0"/>
        <v>37476</v>
      </c>
      <c r="C15" s="604">
        <v>36101.241176470598</v>
      </c>
      <c r="D15" s="29">
        <f t="shared" si="1"/>
        <v>34668</v>
      </c>
      <c r="E15" s="29">
        <f t="shared" si="2"/>
        <v>44934</v>
      </c>
      <c r="F15" s="29">
        <f t="shared" si="3"/>
        <v>42348</v>
      </c>
      <c r="G15" s="29">
        <f t="shared" si="4"/>
        <v>18600</v>
      </c>
      <c r="H15" s="300"/>
      <c r="I15" s="301"/>
      <c r="J15" s="19"/>
      <c r="K15" s="19"/>
      <c r="L15" s="19"/>
      <c r="M15" s="19"/>
      <c r="N15" s="19"/>
      <c r="O15" s="19"/>
      <c r="P15" s="19"/>
      <c r="Q15" s="19"/>
      <c r="R15" s="19"/>
      <c r="S15" s="19"/>
    </row>
    <row r="16" spans="1:19" ht="15.75" customHeight="1" x14ac:dyDescent="0.35">
      <c r="A16" s="28">
        <v>7</v>
      </c>
      <c r="B16" s="29">
        <f t="shared" si="0"/>
        <v>37476</v>
      </c>
      <c r="C16" s="604">
        <v>35962.885375494065</v>
      </c>
      <c r="D16" s="29">
        <f t="shared" si="1"/>
        <v>34668</v>
      </c>
      <c r="E16" s="29">
        <f t="shared" si="2"/>
        <v>44934</v>
      </c>
      <c r="F16" s="29">
        <f t="shared" si="3"/>
        <v>42348</v>
      </c>
      <c r="G16" s="29">
        <f t="shared" si="4"/>
        <v>18600</v>
      </c>
      <c r="H16" s="300"/>
      <c r="I16" s="301"/>
      <c r="J16" s="19"/>
      <c r="K16" s="19"/>
      <c r="L16" s="19"/>
      <c r="M16" s="19"/>
      <c r="N16" s="19"/>
      <c r="O16" s="19"/>
      <c r="P16" s="19"/>
      <c r="Q16" s="19"/>
      <c r="R16" s="19"/>
      <c r="S16" s="19"/>
    </row>
    <row r="17" spans="1:19" ht="15.75" customHeight="1" x14ac:dyDescent="0.35">
      <c r="A17" s="28">
        <v>8</v>
      </c>
      <c r="B17" s="29">
        <f t="shared" si="0"/>
        <v>37476</v>
      </c>
      <c r="C17" s="604">
        <v>35690.263473053892</v>
      </c>
      <c r="D17" s="29">
        <f t="shared" si="1"/>
        <v>34668</v>
      </c>
      <c r="E17" s="29">
        <f t="shared" si="2"/>
        <v>44934</v>
      </c>
      <c r="F17" s="29">
        <f t="shared" si="3"/>
        <v>42348</v>
      </c>
      <c r="G17" s="29">
        <f t="shared" si="4"/>
        <v>18600</v>
      </c>
      <c r="H17" s="300"/>
      <c r="I17" s="301"/>
      <c r="J17" s="19"/>
      <c r="K17" s="19"/>
      <c r="L17" s="19"/>
      <c r="M17" s="19"/>
      <c r="N17" s="19"/>
      <c r="O17" s="19"/>
      <c r="P17" s="19"/>
      <c r="Q17" s="19"/>
      <c r="R17" s="19"/>
      <c r="S17" s="19"/>
    </row>
    <row r="18" spans="1:19" ht="15.75" customHeight="1" x14ac:dyDescent="0.35">
      <c r="A18" s="28">
        <v>9</v>
      </c>
      <c r="B18" s="29">
        <f t="shared" si="0"/>
        <v>37476</v>
      </c>
      <c r="C18" s="29">
        <v>37722</v>
      </c>
      <c r="D18" s="29">
        <f t="shared" si="1"/>
        <v>34668</v>
      </c>
      <c r="E18" s="29">
        <f t="shared" si="2"/>
        <v>44934</v>
      </c>
      <c r="F18" s="29">
        <f t="shared" si="3"/>
        <v>42348</v>
      </c>
      <c r="G18" s="29">
        <f t="shared" si="4"/>
        <v>18600</v>
      </c>
      <c r="H18" s="300"/>
      <c r="I18" s="301"/>
      <c r="J18" s="19"/>
      <c r="K18" s="19"/>
      <c r="L18" s="19"/>
      <c r="M18" s="19"/>
      <c r="N18" s="19"/>
      <c r="O18" s="19"/>
      <c r="P18" s="19"/>
      <c r="Q18" s="19"/>
      <c r="R18" s="19"/>
      <c r="S18" s="19"/>
    </row>
    <row r="19" spans="1:19" ht="15.75" customHeight="1" x14ac:dyDescent="0.35">
      <c r="A19" s="28">
        <v>10</v>
      </c>
      <c r="B19" s="29">
        <f t="shared" si="0"/>
        <v>37476</v>
      </c>
      <c r="C19" s="29">
        <v>37722</v>
      </c>
      <c r="D19" s="29">
        <f t="shared" si="1"/>
        <v>34668</v>
      </c>
      <c r="E19" s="29">
        <f t="shared" si="2"/>
        <v>44934</v>
      </c>
      <c r="F19" s="29">
        <f t="shared" si="3"/>
        <v>42348</v>
      </c>
      <c r="G19" s="29">
        <f t="shared" si="4"/>
        <v>18600</v>
      </c>
      <c r="H19" s="300"/>
      <c r="I19" s="301"/>
      <c r="J19" s="19"/>
      <c r="K19" s="19"/>
      <c r="L19" s="19"/>
      <c r="M19" s="19"/>
      <c r="N19" s="19"/>
      <c r="O19" s="19"/>
      <c r="P19" s="19"/>
      <c r="Q19" s="19"/>
      <c r="R19" s="19"/>
      <c r="S19" s="19"/>
    </row>
    <row r="20" spans="1:19" ht="15.5" x14ac:dyDescent="0.35">
      <c r="A20" s="28">
        <v>11</v>
      </c>
      <c r="B20" s="29">
        <f t="shared" si="0"/>
        <v>37476</v>
      </c>
      <c r="C20" s="29">
        <f>C19</f>
        <v>37722</v>
      </c>
      <c r="D20" s="29">
        <f t="shared" si="1"/>
        <v>34668</v>
      </c>
      <c r="E20" s="29">
        <f t="shared" si="2"/>
        <v>44934</v>
      </c>
      <c r="F20" s="29">
        <f t="shared" si="3"/>
        <v>42348</v>
      </c>
      <c r="G20" s="29">
        <f t="shared" si="4"/>
        <v>18600</v>
      </c>
      <c r="H20" s="300"/>
      <c r="I20" s="301"/>
    </row>
    <row r="21" spans="1:19" ht="15.5" x14ac:dyDescent="0.35">
      <c r="A21" s="28">
        <v>12</v>
      </c>
      <c r="B21" s="29">
        <f t="shared" si="0"/>
        <v>37476</v>
      </c>
      <c r="C21" s="29">
        <f t="shared" ref="C21:C29" si="5">C20</f>
        <v>37722</v>
      </c>
      <c r="D21" s="29">
        <f t="shared" si="1"/>
        <v>34668</v>
      </c>
      <c r="E21" s="29">
        <f t="shared" si="2"/>
        <v>44934</v>
      </c>
      <c r="F21" s="29">
        <f t="shared" si="3"/>
        <v>42348</v>
      </c>
      <c r="G21" s="29">
        <f t="shared" si="4"/>
        <v>18600</v>
      </c>
      <c r="H21" s="300"/>
      <c r="I21" s="301"/>
    </row>
    <row r="22" spans="1:19" ht="15.5" x14ac:dyDescent="0.35">
      <c r="A22" s="28">
        <v>13</v>
      </c>
      <c r="B22" s="29">
        <f t="shared" si="0"/>
        <v>37476</v>
      </c>
      <c r="C22" s="29">
        <f t="shared" si="5"/>
        <v>37722</v>
      </c>
      <c r="D22" s="29">
        <f t="shared" si="1"/>
        <v>34668</v>
      </c>
      <c r="E22" s="29">
        <f t="shared" si="2"/>
        <v>44934</v>
      </c>
      <c r="F22" s="29">
        <f t="shared" si="3"/>
        <v>42348</v>
      </c>
      <c r="G22" s="29">
        <f t="shared" si="4"/>
        <v>18600</v>
      </c>
      <c r="H22" s="300"/>
      <c r="I22" s="301"/>
    </row>
    <row r="23" spans="1:19" ht="15.5" x14ac:dyDescent="0.35">
      <c r="A23" s="28">
        <v>14</v>
      </c>
      <c r="B23" s="29">
        <f t="shared" si="0"/>
        <v>37476</v>
      </c>
      <c r="C23" s="29">
        <f t="shared" si="5"/>
        <v>37722</v>
      </c>
      <c r="D23" s="29">
        <f t="shared" si="1"/>
        <v>34668</v>
      </c>
      <c r="E23" s="29">
        <f t="shared" si="2"/>
        <v>44934</v>
      </c>
      <c r="F23" s="29">
        <f t="shared" si="3"/>
        <v>42348</v>
      </c>
      <c r="G23" s="29">
        <f t="shared" si="4"/>
        <v>18600</v>
      </c>
      <c r="H23" s="300"/>
      <c r="I23" s="301"/>
    </row>
    <row r="24" spans="1:19" ht="15.5" x14ac:dyDescent="0.35">
      <c r="A24" s="28">
        <v>15</v>
      </c>
      <c r="B24" s="29">
        <f t="shared" si="0"/>
        <v>37476</v>
      </c>
      <c r="C24" s="29">
        <f t="shared" si="5"/>
        <v>37722</v>
      </c>
      <c r="D24" s="29">
        <f t="shared" si="1"/>
        <v>34668</v>
      </c>
      <c r="E24" s="29">
        <f t="shared" si="2"/>
        <v>44934</v>
      </c>
      <c r="F24" s="29">
        <f t="shared" si="3"/>
        <v>42348</v>
      </c>
      <c r="G24" s="29">
        <f t="shared" si="4"/>
        <v>18600</v>
      </c>
      <c r="H24" s="300"/>
      <c r="I24" s="301"/>
    </row>
    <row r="25" spans="1:19" ht="15.5" x14ac:dyDescent="0.35">
      <c r="A25" s="28">
        <v>16</v>
      </c>
      <c r="B25" s="29">
        <f t="shared" si="0"/>
        <v>37476</v>
      </c>
      <c r="C25" s="29">
        <f t="shared" si="5"/>
        <v>37722</v>
      </c>
      <c r="D25" s="29">
        <f t="shared" si="1"/>
        <v>34668</v>
      </c>
      <c r="E25" s="29">
        <f t="shared" si="2"/>
        <v>44934</v>
      </c>
      <c r="F25" s="29">
        <f t="shared" si="3"/>
        <v>42348</v>
      </c>
      <c r="G25" s="29">
        <f t="shared" si="4"/>
        <v>18600</v>
      </c>
      <c r="H25" s="300"/>
      <c r="I25" s="301"/>
    </row>
    <row r="26" spans="1:19" ht="15.5" x14ac:dyDescent="0.35">
      <c r="A26" s="28">
        <v>17</v>
      </c>
      <c r="B26" s="29">
        <f t="shared" si="0"/>
        <v>37476</v>
      </c>
      <c r="C26" s="29">
        <f t="shared" si="5"/>
        <v>37722</v>
      </c>
      <c r="D26" s="29">
        <f t="shared" si="1"/>
        <v>34668</v>
      </c>
      <c r="E26" s="29">
        <f t="shared" si="2"/>
        <v>44934</v>
      </c>
      <c r="F26" s="29">
        <f t="shared" si="3"/>
        <v>42348</v>
      </c>
      <c r="G26" s="29">
        <f t="shared" si="4"/>
        <v>18600</v>
      </c>
      <c r="H26" s="300"/>
      <c r="I26" s="301"/>
    </row>
    <row r="27" spans="1:19" ht="15.5" x14ac:dyDescent="0.35">
      <c r="A27" s="28">
        <v>18</v>
      </c>
      <c r="B27" s="29">
        <f t="shared" si="0"/>
        <v>37476</v>
      </c>
      <c r="C27" s="29">
        <f t="shared" si="5"/>
        <v>37722</v>
      </c>
      <c r="D27" s="29">
        <f t="shared" si="1"/>
        <v>34668</v>
      </c>
      <c r="E27" s="29">
        <f t="shared" si="2"/>
        <v>44934</v>
      </c>
      <c r="F27" s="29">
        <f t="shared" si="3"/>
        <v>42348</v>
      </c>
      <c r="G27" s="29">
        <f t="shared" si="4"/>
        <v>18600</v>
      </c>
      <c r="H27" s="300"/>
      <c r="I27" s="301"/>
    </row>
    <row r="28" spans="1:19" ht="15.5" x14ac:dyDescent="0.35">
      <c r="A28" s="28">
        <v>19</v>
      </c>
      <c r="B28" s="29">
        <f t="shared" si="0"/>
        <v>37476</v>
      </c>
      <c r="C28" s="29">
        <f t="shared" si="5"/>
        <v>37722</v>
      </c>
      <c r="D28" s="29">
        <f t="shared" si="1"/>
        <v>34668</v>
      </c>
      <c r="E28" s="29">
        <f t="shared" si="2"/>
        <v>44934</v>
      </c>
      <c r="F28" s="29">
        <f t="shared" si="3"/>
        <v>42348</v>
      </c>
      <c r="G28" s="29">
        <f t="shared" si="4"/>
        <v>18600</v>
      </c>
      <c r="H28" s="300"/>
      <c r="I28" s="301"/>
    </row>
    <row r="29" spans="1:19" ht="15.5" x14ac:dyDescent="0.35">
      <c r="A29" s="28">
        <v>20</v>
      </c>
      <c r="B29" s="29">
        <f t="shared" si="0"/>
        <v>37476</v>
      </c>
      <c r="C29" s="29">
        <f t="shared" si="5"/>
        <v>37722</v>
      </c>
      <c r="D29" s="29">
        <f t="shared" si="1"/>
        <v>34668</v>
      </c>
      <c r="E29" s="29">
        <f t="shared" si="2"/>
        <v>44934</v>
      </c>
      <c r="F29" s="29">
        <f t="shared" si="3"/>
        <v>42348</v>
      </c>
      <c r="G29" s="29">
        <f t="shared" si="4"/>
        <v>18600</v>
      </c>
      <c r="H29" s="300"/>
      <c r="I29" s="301"/>
    </row>
    <row r="31" spans="1:19" x14ac:dyDescent="0.25">
      <c r="A31" s="490" t="s">
        <v>447</v>
      </c>
      <c r="C31" s="17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6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pageSetUpPr fitToPage="1"/>
  </sheetPr>
  <dimension ref="A1:J31"/>
  <sheetViews>
    <sheetView showGridLines="0" showZeros="0" view="pageBreakPreview" zoomScale="60" zoomScaleNormal="100" workbookViewId="0">
      <selection activeCell="D10" sqref="D10"/>
    </sheetView>
  </sheetViews>
  <sheetFormatPr defaultColWidth="12.54296875" defaultRowHeight="12.5" x14ac:dyDescent="0.25"/>
  <cols>
    <col min="1" max="1" width="7.453125" style="490" customWidth="1"/>
    <col min="2" max="6" width="18.26953125" style="490" customWidth="1"/>
    <col min="7" max="8" width="16.453125" style="490" customWidth="1"/>
    <col min="9" max="9" width="12.81640625" style="490" customWidth="1"/>
    <col min="10" max="16384" width="12.54296875" style="490"/>
  </cols>
  <sheetData>
    <row r="1" spans="1:10" ht="15.5" x14ac:dyDescent="0.35">
      <c r="A1" s="529" t="str">
        <f>TECNOLOGIAS!A1</f>
        <v>Proponente: TransPolitécnica</v>
      </c>
    </row>
    <row r="2" spans="1:10" ht="15.5" x14ac:dyDescent="0.35">
      <c r="A2" s="529" t="str">
        <f>TECNOLOGIAS!A2</f>
        <v>Área de Concessão: 5 (Cinco)</v>
      </c>
    </row>
    <row r="4" spans="1:10" ht="18" x14ac:dyDescent="0.4">
      <c r="A4" s="18" t="s">
        <v>2</v>
      </c>
      <c r="B4" s="19"/>
      <c r="C4" s="19"/>
      <c r="D4" s="19"/>
      <c r="E4" s="19"/>
      <c r="F4" s="19"/>
      <c r="G4" s="19"/>
      <c r="H4" s="19"/>
      <c r="I4" s="19"/>
    </row>
    <row r="6" spans="1:10" ht="15.5" x14ac:dyDescent="0.35">
      <c r="A6" s="20" t="s">
        <v>432</v>
      </c>
      <c r="B6" s="21"/>
      <c r="C6" s="21"/>
      <c r="D6" s="21"/>
      <c r="E6" s="21"/>
      <c r="F6" s="21"/>
      <c r="G6" s="21"/>
      <c r="H6" s="21"/>
      <c r="I6" s="21"/>
    </row>
    <row r="7" spans="1:10" ht="13" thickBot="1" x14ac:dyDescent="0.3">
      <c r="A7" s="21"/>
      <c r="B7" s="21"/>
      <c r="C7" s="21"/>
      <c r="D7" s="21"/>
      <c r="E7" s="21"/>
      <c r="F7" s="21"/>
      <c r="G7" s="21"/>
      <c r="H7" s="21"/>
      <c r="I7" s="21"/>
    </row>
    <row r="8" spans="1:10" ht="16" thickBot="1" x14ac:dyDescent="0.35">
      <c r="A8" s="24" t="s">
        <v>372</v>
      </c>
      <c r="B8" s="22" t="s">
        <v>433</v>
      </c>
      <c r="C8" s="52"/>
      <c r="D8" s="23"/>
      <c r="E8" s="23"/>
      <c r="F8" s="23"/>
      <c r="G8" s="23"/>
      <c r="H8" s="23"/>
      <c r="I8" s="25"/>
      <c r="J8" s="25"/>
    </row>
    <row r="9" spans="1:10" ht="13" thickBot="1" x14ac:dyDescent="0.3">
      <c r="A9" s="26"/>
      <c r="B9" s="27" t="str">
        <f>TECNOLOGIAS!$A$7</f>
        <v>Micro Ônibus</v>
      </c>
      <c r="C9" s="27" t="str">
        <f>TECNOLOGIAS!$A$8</f>
        <v>Básico</v>
      </c>
      <c r="D9" s="27" t="str">
        <f>TECNOLOGIAS!$A$9</f>
        <v>Padron</v>
      </c>
      <c r="E9" s="27" t="str">
        <f>TECNOLOGIAS!$A$10</f>
        <v>Articulados</v>
      </c>
      <c r="F9" s="27" t="str">
        <f>TECNOLOGIAS!$A$11</f>
        <v>Híbrido Piso Baixo</v>
      </c>
      <c r="G9" s="27" t="str">
        <f>TECNOLOGIAS!$A$12</f>
        <v>Van Atende</v>
      </c>
      <c r="H9" s="27" t="str">
        <f>TECNOLOGIAS!$A$13</f>
        <v>TIPO 7</v>
      </c>
      <c r="I9" s="27" t="str">
        <f>TECNOLOGIAS!$A$14</f>
        <v>TIPO 8</v>
      </c>
      <c r="J9" s="49" t="s">
        <v>59</v>
      </c>
    </row>
    <row r="10" spans="1:10" x14ac:dyDescent="0.25">
      <c r="A10" s="29">
        <v>1</v>
      </c>
      <c r="B10" s="30">
        <f>+'6'!B10*'3'!B11</f>
        <v>487188</v>
      </c>
      <c r="C10" s="30">
        <f>+'6'!C10*'3'!D11</f>
        <v>26844102</v>
      </c>
      <c r="D10" s="30">
        <f>+'6'!D10*'3'!F11</f>
        <v>2184084</v>
      </c>
      <c r="E10" s="30">
        <f>+'6'!E10*'3'!H11</f>
        <v>0</v>
      </c>
      <c r="F10" s="30">
        <f>+'6'!F10*'3'!J11</f>
        <v>0</v>
      </c>
      <c r="G10" s="30">
        <f>+'6'!G10*'3'!L11</f>
        <v>613800</v>
      </c>
      <c r="H10" s="30">
        <f>+'6'!H10*'3'!N11</f>
        <v>0</v>
      </c>
      <c r="I10" s="30">
        <f>+'6'!I10*'3'!P11</f>
        <v>0</v>
      </c>
      <c r="J10" s="30">
        <f>SUM(B10:I10)</f>
        <v>30129174</v>
      </c>
    </row>
    <row r="11" spans="1:10" x14ac:dyDescent="0.25">
      <c r="A11" s="29">
        <v>2</v>
      </c>
      <c r="B11" s="30">
        <f>+'6'!B11*'3'!B12</f>
        <v>936900</v>
      </c>
      <c r="C11" s="30">
        <f>+'6'!C11*'3'!D12</f>
        <v>23821494</v>
      </c>
      <c r="D11" s="30">
        <f>+'6'!D11*'3'!F12</f>
        <v>4333500</v>
      </c>
      <c r="E11" s="30">
        <f>+'6'!E11*'3'!H12</f>
        <v>0</v>
      </c>
      <c r="F11" s="30">
        <f>+'6'!F11*'3'!J12</f>
        <v>423480</v>
      </c>
      <c r="G11" s="30">
        <f>+'6'!G11*'3'!L12</f>
        <v>613800</v>
      </c>
      <c r="H11" s="30">
        <f>+'6'!H11*'3'!N12</f>
        <v>0</v>
      </c>
      <c r="I11" s="30">
        <f>+'6'!I11*'3'!P12</f>
        <v>0</v>
      </c>
      <c r="J11" s="30">
        <f t="shared" ref="J11:J19" si="0">SUM(B11:I11)</f>
        <v>30129174</v>
      </c>
    </row>
    <row r="12" spans="1:10" x14ac:dyDescent="0.25">
      <c r="A12" s="29">
        <v>3</v>
      </c>
      <c r="B12" s="30">
        <f>+'6'!B12*'3'!B13</f>
        <v>1386612</v>
      </c>
      <c r="C12" s="30">
        <f>+'6'!C12*'3'!D13</f>
        <v>21222366.000000004</v>
      </c>
      <c r="D12" s="30">
        <f>+'6'!D12*'3'!F13</f>
        <v>6482916</v>
      </c>
      <c r="E12" s="30">
        <f>+'6'!E12*'3'!H13</f>
        <v>0</v>
      </c>
      <c r="F12" s="30">
        <f>+'6'!F12*'3'!J13</f>
        <v>423480</v>
      </c>
      <c r="G12" s="30">
        <f>+'6'!G12*'3'!L13</f>
        <v>613800</v>
      </c>
      <c r="H12" s="30">
        <f>+'6'!H12*'3'!N13</f>
        <v>0</v>
      </c>
      <c r="I12" s="30">
        <f>+'6'!I12*'3'!P13</f>
        <v>0</v>
      </c>
      <c r="J12" s="30">
        <f t="shared" si="0"/>
        <v>30129174.000000004</v>
      </c>
    </row>
    <row r="13" spans="1:10" x14ac:dyDescent="0.25">
      <c r="A13" s="29">
        <v>4</v>
      </c>
      <c r="B13" s="30">
        <f>+'6'!B13*'3'!B14</f>
        <v>1873800</v>
      </c>
      <c r="C13" s="30">
        <f>+'6'!C13*'3'!D14</f>
        <v>18585762</v>
      </c>
      <c r="D13" s="30">
        <f>+'6'!D13*'3'!F14</f>
        <v>8632332</v>
      </c>
      <c r="E13" s="30">
        <f>+'6'!E13*'3'!H14</f>
        <v>0</v>
      </c>
      <c r="F13" s="30">
        <f>+'6'!F13*'3'!J14</f>
        <v>423480</v>
      </c>
      <c r="G13" s="30">
        <f>+'6'!G13*'3'!L14</f>
        <v>613800</v>
      </c>
      <c r="H13" s="30">
        <f>+'6'!H13*'3'!N14</f>
        <v>0</v>
      </c>
      <c r="I13" s="30">
        <f>+'6'!I13*'3'!P14</f>
        <v>0</v>
      </c>
      <c r="J13" s="30">
        <f t="shared" si="0"/>
        <v>30129174</v>
      </c>
    </row>
    <row r="14" spans="1:10" x14ac:dyDescent="0.25">
      <c r="A14" s="29">
        <v>5</v>
      </c>
      <c r="B14" s="30">
        <f>+'6'!B14*'3'!B15</f>
        <v>2323512</v>
      </c>
      <c r="C14" s="30">
        <f>+'6'!C14*'3'!D15</f>
        <v>15412758</v>
      </c>
      <c r="D14" s="30">
        <f>+'6'!D14*'3'!F15</f>
        <v>10816416</v>
      </c>
      <c r="E14" s="30">
        <f>+'6'!E14*'3'!H15</f>
        <v>539208</v>
      </c>
      <c r="F14" s="30">
        <f>+'6'!F14*'3'!J15</f>
        <v>423480</v>
      </c>
      <c r="G14" s="30">
        <f>+'6'!G14*'3'!L15</f>
        <v>613800</v>
      </c>
      <c r="H14" s="30">
        <f>+'6'!H14*'3'!N15</f>
        <v>0</v>
      </c>
      <c r="I14" s="30">
        <f>+'6'!I14*'3'!P15</f>
        <v>0</v>
      </c>
      <c r="J14" s="30">
        <f t="shared" si="0"/>
        <v>30129174</v>
      </c>
    </row>
    <row r="15" spans="1:10" x14ac:dyDescent="0.25">
      <c r="A15" s="29">
        <v>6</v>
      </c>
      <c r="B15" s="30">
        <f>+'6'!B15*'3'!B16</f>
        <v>2773224</v>
      </c>
      <c r="C15" s="30">
        <f>+'6'!C15*'3'!D16</f>
        <v>12274422.000000004</v>
      </c>
      <c r="D15" s="30">
        <f>+'6'!D15*'3'!F16</f>
        <v>12965832</v>
      </c>
      <c r="E15" s="30">
        <f>+'6'!E15*'3'!H16</f>
        <v>1078416</v>
      </c>
      <c r="F15" s="30">
        <f>+'6'!F15*'3'!J16</f>
        <v>423480</v>
      </c>
      <c r="G15" s="30">
        <f>+'6'!G15*'3'!L16</f>
        <v>613800</v>
      </c>
      <c r="H15" s="30">
        <f>+'6'!H15*'3'!N16</f>
        <v>0</v>
      </c>
      <c r="I15" s="30">
        <f>+'6'!I15*'3'!P16</f>
        <v>0</v>
      </c>
      <c r="J15" s="30">
        <f t="shared" si="0"/>
        <v>30129174.000000004</v>
      </c>
    </row>
    <row r="16" spans="1:10" x14ac:dyDescent="0.25">
      <c r="A16" s="29">
        <v>7</v>
      </c>
      <c r="B16" s="30">
        <f>+'6'!B16*'3'!B17</f>
        <v>3260412</v>
      </c>
      <c r="C16" s="30">
        <f>+'6'!C16*'3'!D17</f>
        <v>9098609.9999999981</v>
      </c>
      <c r="D16" s="30">
        <f>+'6'!D16*'3'!F17</f>
        <v>15115248</v>
      </c>
      <c r="E16" s="30">
        <f>+'6'!E16*'3'!H17</f>
        <v>1617624</v>
      </c>
      <c r="F16" s="30">
        <f>+'6'!F16*'3'!J17</f>
        <v>423480</v>
      </c>
      <c r="G16" s="30">
        <f>+'6'!G16*'3'!L17</f>
        <v>613800</v>
      </c>
      <c r="H16" s="30">
        <f>+'6'!H16*'3'!N17</f>
        <v>0</v>
      </c>
      <c r="I16" s="30">
        <f>+'6'!I16*'3'!P17</f>
        <v>0</v>
      </c>
      <c r="J16" s="30">
        <f t="shared" si="0"/>
        <v>30129174</v>
      </c>
    </row>
    <row r="17" spans="1:10" x14ac:dyDescent="0.25">
      <c r="A17" s="29">
        <v>8</v>
      </c>
      <c r="B17" s="30">
        <f>+'6'!B17*'3'!B18</f>
        <v>3710124</v>
      </c>
      <c r="C17" s="30">
        <f>+'6'!C17*'3'!D18</f>
        <v>5960274</v>
      </c>
      <c r="D17" s="30">
        <f>+'6'!D17*'3'!F18</f>
        <v>17264664</v>
      </c>
      <c r="E17" s="30">
        <f>+'6'!E17*'3'!H18</f>
        <v>2156832</v>
      </c>
      <c r="F17" s="30">
        <f>+'6'!F17*'3'!J18</f>
        <v>423480</v>
      </c>
      <c r="G17" s="30">
        <f>+'6'!G17*'3'!L18</f>
        <v>613800</v>
      </c>
      <c r="H17" s="30">
        <f>+'6'!H17*'3'!N18</f>
        <v>0</v>
      </c>
      <c r="I17" s="30">
        <f>+'6'!I17*'3'!P18</f>
        <v>0</v>
      </c>
      <c r="J17" s="30">
        <f t="shared" si="0"/>
        <v>30129174</v>
      </c>
    </row>
    <row r="18" spans="1:10" x14ac:dyDescent="0.25">
      <c r="A18" s="29">
        <v>9</v>
      </c>
      <c r="B18" s="30">
        <f>+'6'!B18*'3'!B19</f>
        <v>4159836</v>
      </c>
      <c r="C18" s="30">
        <f>+'6'!C18*'3'!D19</f>
        <v>2866872</v>
      </c>
      <c r="D18" s="30">
        <f>+'6'!D18*'3'!F19</f>
        <v>19414080</v>
      </c>
      <c r="E18" s="30">
        <f>+'6'!E18*'3'!H19</f>
        <v>2651106</v>
      </c>
      <c r="F18" s="30">
        <f>+'6'!F18*'3'!J19</f>
        <v>423480</v>
      </c>
      <c r="G18" s="30">
        <f>+'6'!G18*'3'!L19</f>
        <v>613800</v>
      </c>
      <c r="H18" s="30">
        <f>+'6'!H18*'3'!N19</f>
        <v>0</v>
      </c>
      <c r="I18" s="30">
        <f>+'6'!I18*'3'!P19</f>
        <v>0</v>
      </c>
      <c r="J18" s="30">
        <f t="shared" si="0"/>
        <v>30129174</v>
      </c>
    </row>
    <row r="19" spans="1:10" x14ac:dyDescent="0.25">
      <c r="A19" s="29">
        <v>10</v>
      </c>
      <c r="B19" s="30">
        <f>+'6'!B19*'3'!B20</f>
        <v>4159836</v>
      </c>
      <c r="C19" s="30">
        <f>+'6'!C19*'3'!D20</f>
        <v>2866872</v>
      </c>
      <c r="D19" s="30">
        <f>+'6'!D19*'3'!F20</f>
        <v>19414080</v>
      </c>
      <c r="E19" s="30">
        <f>+'6'!E19*'3'!H20</f>
        <v>2651106</v>
      </c>
      <c r="F19" s="30">
        <f>+'6'!F19*'3'!J20</f>
        <v>423480</v>
      </c>
      <c r="G19" s="30">
        <f>+'6'!G19*'3'!L20</f>
        <v>613800</v>
      </c>
      <c r="H19" s="30">
        <f>+'6'!H19*'3'!N20</f>
        <v>0</v>
      </c>
      <c r="I19" s="30">
        <f>+'6'!I19*'3'!P20</f>
        <v>0</v>
      </c>
      <c r="J19" s="30">
        <f t="shared" si="0"/>
        <v>30129174</v>
      </c>
    </row>
    <row r="20" spans="1:10" x14ac:dyDescent="0.25">
      <c r="A20" s="29">
        <v>11</v>
      </c>
      <c r="B20" s="30">
        <f>+'6'!B20*'3'!B21</f>
        <v>4159836</v>
      </c>
      <c r="C20" s="30">
        <f>+'6'!C20*'3'!D21</f>
        <v>2866872</v>
      </c>
      <c r="D20" s="30">
        <f>+'6'!D20*'3'!F21</f>
        <v>19414080</v>
      </c>
      <c r="E20" s="30">
        <f>+'6'!E20*'3'!H21</f>
        <v>2651106</v>
      </c>
      <c r="F20" s="30">
        <f>+'6'!F20*'3'!J21</f>
        <v>423480</v>
      </c>
      <c r="G20" s="30">
        <f>+'6'!G20*'3'!L21</f>
        <v>613800</v>
      </c>
      <c r="H20" s="30">
        <f>+'6'!H20*'3'!N21</f>
        <v>0</v>
      </c>
      <c r="I20" s="30">
        <f>+'6'!I20*'3'!P21</f>
        <v>0</v>
      </c>
      <c r="J20" s="30">
        <f t="shared" ref="J20:J29" si="1">SUM(B20:I20)</f>
        <v>30129174</v>
      </c>
    </row>
    <row r="21" spans="1:10" x14ac:dyDescent="0.25">
      <c r="A21" s="29">
        <v>12</v>
      </c>
      <c r="B21" s="30">
        <f>+'6'!B21*'3'!B22</f>
        <v>4159836</v>
      </c>
      <c r="C21" s="30">
        <f>+'6'!C21*'3'!D22</f>
        <v>2866872</v>
      </c>
      <c r="D21" s="30">
        <f>+'6'!D21*'3'!F22</f>
        <v>19414080</v>
      </c>
      <c r="E21" s="30">
        <f>+'6'!E21*'3'!H22</f>
        <v>2651106</v>
      </c>
      <c r="F21" s="30">
        <f>+'6'!F21*'3'!J22</f>
        <v>423480</v>
      </c>
      <c r="G21" s="30">
        <f>+'6'!G21*'3'!L22</f>
        <v>613800</v>
      </c>
      <c r="H21" s="30">
        <f>+'6'!H21*'3'!N22</f>
        <v>0</v>
      </c>
      <c r="I21" s="30">
        <f>+'6'!I21*'3'!P22</f>
        <v>0</v>
      </c>
      <c r="J21" s="30">
        <f t="shared" si="1"/>
        <v>30129174</v>
      </c>
    </row>
    <row r="22" spans="1:10" x14ac:dyDescent="0.25">
      <c r="A22" s="29">
        <v>13</v>
      </c>
      <c r="B22" s="30">
        <f>+'6'!B22*'3'!B23</f>
        <v>4159836</v>
      </c>
      <c r="C22" s="30">
        <f>+'6'!C22*'3'!D23</f>
        <v>2866872</v>
      </c>
      <c r="D22" s="30">
        <f>+'6'!D22*'3'!F23</f>
        <v>19414080</v>
      </c>
      <c r="E22" s="30">
        <f>+'6'!E22*'3'!H23</f>
        <v>2651106</v>
      </c>
      <c r="F22" s="30">
        <f>+'6'!F22*'3'!J23</f>
        <v>423480</v>
      </c>
      <c r="G22" s="30">
        <f>+'6'!G22*'3'!L23</f>
        <v>613800</v>
      </c>
      <c r="H22" s="30">
        <f>+'6'!H22*'3'!N23</f>
        <v>0</v>
      </c>
      <c r="I22" s="30">
        <f>+'6'!I22*'3'!P23</f>
        <v>0</v>
      </c>
      <c r="J22" s="30">
        <f t="shared" si="1"/>
        <v>30129174</v>
      </c>
    </row>
    <row r="23" spans="1:10" x14ac:dyDescent="0.25">
      <c r="A23" s="29">
        <v>14</v>
      </c>
      <c r="B23" s="30">
        <f>+'6'!B23*'3'!B24</f>
        <v>4159836</v>
      </c>
      <c r="C23" s="30">
        <f>+'6'!C23*'3'!D24</f>
        <v>2866872</v>
      </c>
      <c r="D23" s="30">
        <f>+'6'!D23*'3'!F24</f>
        <v>19414080</v>
      </c>
      <c r="E23" s="30">
        <f>+'6'!E23*'3'!H24</f>
        <v>2651106</v>
      </c>
      <c r="F23" s="30">
        <f>+'6'!F23*'3'!J24</f>
        <v>423480</v>
      </c>
      <c r="G23" s="30">
        <f>+'6'!G23*'3'!L24</f>
        <v>613800</v>
      </c>
      <c r="H23" s="30">
        <f>+'6'!H23*'3'!N24</f>
        <v>0</v>
      </c>
      <c r="I23" s="30">
        <f>+'6'!I23*'3'!P24</f>
        <v>0</v>
      </c>
      <c r="J23" s="30">
        <f t="shared" si="1"/>
        <v>30129174</v>
      </c>
    </row>
    <row r="24" spans="1:10" x14ac:dyDescent="0.25">
      <c r="A24" s="29">
        <v>15</v>
      </c>
      <c r="B24" s="30">
        <f>+'6'!B24*'3'!B25</f>
        <v>4159836</v>
      </c>
      <c r="C24" s="30">
        <f>+'6'!C24*'3'!D25</f>
        <v>2866872</v>
      </c>
      <c r="D24" s="30">
        <f>+'6'!D24*'3'!F25</f>
        <v>19414080</v>
      </c>
      <c r="E24" s="30">
        <f>+'6'!E24*'3'!H25</f>
        <v>2651106</v>
      </c>
      <c r="F24" s="30">
        <f>+'6'!F24*'3'!J25</f>
        <v>423480</v>
      </c>
      <c r="G24" s="30">
        <f>+'6'!G24*'3'!L25</f>
        <v>613800</v>
      </c>
      <c r="H24" s="30">
        <f>+'6'!H24*'3'!N25</f>
        <v>0</v>
      </c>
      <c r="I24" s="30">
        <f>+'6'!I24*'3'!P25</f>
        <v>0</v>
      </c>
      <c r="J24" s="30">
        <f t="shared" si="1"/>
        <v>30129174</v>
      </c>
    </row>
    <row r="25" spans="1:10" x14ac:dyDescent="0.25">
      <c r="A25" s="29">
        <v>16</v>
      </c>
      <c r="B25" s="30">
        <f>+'6'!B25*'3'!B26</f>
        <v>4159836</v>
      </c>
      <c r="C25" s="30">
        <f>+'6'!C25*'3'!D26</f>
        <v>2866872</v>
      </c>
      <c r="D25" s="30">
        <f>+'6'!D25*'3'!F26</f>
        <v>19414080</v>
      </c>
      <c r="E25" s="30">
        <f>+'6'!E25*'3'!H26</f>
        <v>2651106</v>
      </c>
      <c r="F25" s="30">
        <f>+'6'!F25*'3'!J26</f>
        <v>423480</v>
      </c>
      <c r="G25" s="30">
        <f>+'6'!G25*'3'!L26</f>
        <v>613800</v>
      </c>
      <c r="H25" s="30">
        <f>+'6'!H25*'3'!N26</f>
        <v>0</v>
      </c>
      <c r="I25" s="30">
        <f>+'6'!I25*'3'!P26</f>
        <v>0</v>
      </c>
      <c r="J25" s="30">
        <f t="shared" si="1"/>
        <v>30129174</v>
      </c>
    </row>
    <row r="26" spans="1:10" x14ac:dyDescent="0.25">
      <c r="A26" s="29">
        <v>17</v>
      </c>
      <c r="B26" s="30">
        <f>+'6'!B26*'3'!B27</f>
        <v>4159836</v>
      </c>
      <c r="C26" s="30">
        <f>+'6'!C26*'3'!D27</f>
        <v>2866872</v>
      </c>
      <c r="D26" s="30">
        <f>+'6'!D26*'3'!F27</f>
        <v>19414080</v>
      </c>
      <c r="E26" s="30">
        <f>+'6'!E26*'3'!H27</f>
        <v>2651106</v>
      </c>
      <c r="F26" s="30">
        <f>+'6'!F26*'3'!J27</f>
        <v>423480</v>
      </c>
      <c r="G26" s="30">
        <f>+'6'!G26*'3'!L27</f>
        <v>613800</v>
      </c>
      <c r="H26" s="30">
        <f>+'6'!H26*'3'!N27</f>
        <v>0</v>
      </c>
      <c r="I26" s="30">
        <f>+'6'!I26*'3'!P27</f>
        <v>0</v>
      </c>
      <c r="J26" s="30">
        <f t="shared" si="1"/>
        <v>30129174</v>
      </c>
    </row>
    <row r="27" spans="1:10" x14ac:dyDescent="0.25">
      <c r="A27" s="29">
        <v>18</v>
      </c>
      <c r="B27" s="30">
        <f>+'6'!B27*'3'!B28</f>
        <v>4159836</v>
      </c>
      <c r="C27" s="30">
        <f>+'6'!C27*'3'!D28</f>
        <v>2866872</v>
      </c>
      <c r="D27" s="30">
        <f>+'6'!D27*'3'!F28</f>
        <v>19414080</v>
      </c>
      <c r="E27" s="30">
        <f>+'6'!E27*'3'!H28</f>
        <v>2651106</v>
      </c>
      <c r="F27" s="30">
        <f>+'6'!F27*'3'!J28</f>
        <v>423480</v>
      </c>
      <c r="G27" s="30">
        <f>+'6'!G27*'3'!L28</f>
        <v>613800</v>
      </c>
      <c r="H27" s="30">
        <f>+'6'!H27*'3'!N28</f>
        <v>0</v>
      </c>
      <c r="I27" s="30">
        <f>+'6'!I27*'3'!P28</f>
        <v>0</v>
      </c>
      <c r="J27" s="30">
        <f t="shared" si="1"/>
        <v>30129174</v>
      </c>
    </row>
    <row r="28" spans="1:10" x14ac:dyDescent="0.25">
      <c r="A28" s="29">
        <v>19</v>
      </c>
      <c r="B28" s="30">
        <f>+'6'!B28*'3'!B29</f>
        <v>4159836</v>
      </c>
      <c r="C28" s="30">
        <f>+'6'!C28*'3'!D29</f>
        <v>2866872</v>
      </c>
      <c r="D28" s="30">
        <f>+'6'!D28*'3'!F29</f>
        <v>19414080</v>
      </c>
      <c r="E28" s="30">
        <f>+'6'!E28*'3'!H29</f>
        <v>2651106</v>
      </c>
      <c r="F28" s="30">
        <f>+'6'!F28*'3'!J29</f>
        <v>423480</v>
      </c>
      <c r="G28" s="30">
        <f>+'6'!G28*'3'!L29</f>
        <v>613800</v>
      </c>
      <c r="H28" s="30">
        <f>+'6'!H28*'3'!N29</f>
        <v>0</v>
      </c>
      <c r="I28" s="30">
        <f>+'6'!I28*'3'!P29</f>
        <v>0</v>
      </c>
      <c r="J28" s="30">
        <f t="shared" si="1"/>
        <v>30129174</v>
      </c>
    </row>
    <row r="29" spans="1:10" x14ac:dyDescent="0.25">
      <c r="A29" s="29">
        <v>20</v>
      </c>
      <c r="B29" s="30">
        <f>+'6'!B29*'3'!B30</f>
        <v>4159836</v>
      </c>
      <c r="C29" s="30">
        <f>+'6'!C29*'3'!D30</f>
        <v>2866872</v>
      </c>
      <c r="D29" s="30">
        <f>+'6'!D29*'3'!F30</f>
        <v>19414080</v>
      </c>
      <c r="E29" s="30">
        <f>+'6'!E29*'3'!H30</f>
        <v>2651106</v>
      </c>
      <c r="F29" s="30">
        <f>+'6'!F29*'3'!J30</f>
        <v>423480</v>
      </c>
      <c r="G29" s="30">
        <f>+'6'!G29*'3'!L30</f>
        <v>613800</v>
      </c>
      <c r="H29" s="30">
        <f>+'6'!H29*'3'!N30</f>
        <v>0</v>
      </c>
      <c r="I29" s="30">
        <f>+'6'!I29*'3'!P30</f>
        <v>0</v>
      </c>
      <c r="J29" s="30">
        <f t="shared" si="1"/>
        <v>30129174</v>
      </c>
    </row>
    <row r="31" spans="1:10" x14ac:dyDescent="0.25">
      <c r="A31" s="490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G76"/>
  <sheetViews>
    <sheetView showGridLines="0" showZeros="0" view="pageBreakPreview" zoomScale="75" zoomScaleNormal="100" workbookViewId="0"/>
  </sheetViews>
  <sheetFormatPr defaultColWidth="12.54296875" defaultRowHeight="12.5" x14ac:dyDescent="0.25"/>
  <cols>
    <col min="1" max="1" width="44.1796875" style="490" customWidth="1"/>
    <col min="2" max="2" width="20.7265625" style="490" customWidth="1"/>
    <col min="3" max="3" width="16.453125" style="490" customWidth="1"/>
    <col min="4" max="7" width="14.54296875" style="490" customWidth="1"/>
    <col min="8" max="16384" width="12.54296875" style="490"/>
  </cols>
  <sheetData>
    <row r="1" spans="1:6" ht="15.5" x14ac:dyDescent="0.35">
      <c r="A1" s="529" t="str">
        <f>TECNOLOGIAS!A1</f>
        <v>Proponente: TransPolitécnica</v>
      </c>
    </row>
    <row r="2" spans="1:6" ht="15.5" x14ac:dyDescent="0.35">
      <c r="A2" s="529" t="str">
        <f>TECNOLOGIAS!A2</f>
        <v>Área de Concessão: 5 (Cinco)</v>
      </c>
    </row>
    <row r="4" spans="1:6" ht="18" x14ac:dyDescent="0.4">
      <c r="A4" s="18" t="s">
        <v>60</v>
      </c>
      <c r="B4" s="19"/>
      <c r="C4" s="19"/>
      <c r="D4" s="19"/>
      <c r="E4" s="19"/>
      <c r="F4" s="19"/>
    </row>
    <row r="5" spans="1:6" ht="18" x14ac:dyDescent="0.4">
      <c r="A5" s="53"/>
      <c r="B5" s="19"/>
      <c r="C5" s="19"/>
      <c r="D5" s="19"/>
      <c r="E5" s="19"/>
      <c r="F5" s="19"/>
    </row>
    <row r="6" spans="1:6" ht="15.5" x14ac:dyDescent="0.35">
      <c r="A6" s="20" t="s">
        <v>61</v>
      </c>
      <c r="B6" s="19"/>
      <c r="C6" s="19"/>
      <c r="D6" s="19"/>
      <c r="E6" s="19"/>
      <c r="F6" s="19"/>
    </row>
    <row r="8" spans="1:6" ht="15.5" x14ac:dyDescent="0.35">
      <c r="A8" s="54" t="s">
        <v>781</v>
      </c>
      <c r="B8" s="19"/>
      <c r="C8" s="19"/>
      <c r="D8" s="19"/>
      <c r="E8" s="19"/>
      <c r="F8" s="19"/>
    </row>
    <row r="9" spans="1:6" ht="16" thickBot="1" x14ac:dyDescent="0.4">
      <c r="A9" s="19" t="s">
        <v>782</v>
      </c>
      <c r="B9" s="19"/>
      <c r="C9" s="19"/>
      <c r="D9" s="19"/>
      <c r="E9" s="19"/>
      <c r="F9" s="19"/>
    </row>
    <row r="10" spans="1:6" ht="16" thickBot="1" x14ac:dyDescent="0.4">
      <c r="A10" s="55" t="s">
        <v>62</v>
      </c>
      <c r="B10" s="27" t="s">
        <v>63</v>
      </c>
      <c r="C10" s="19"/>
      <c r="D10" s="19"/>
      <c r="E10" s="19"/>
      <c r="F10" s="19"/>
    </row>
    <row r="11" spans="1:6" ht="15.5" x14ac:dyDescent="0.35">
      <c r="A11" s="29" t="str">
        <f>TECNOLOGIAS!$A$7</f>
        <v>Micro Ônibus</v>
      </c>
      <c r="B11" s="29">
        <v>83000</v>
      </c>
      <c r="C11" s="19"/>
      <c r="D11" s="19"/>
      <c r="E11" s="19"/>
      <c r="F11" s="19"/>
    </row>
    <row r="12" spans="1:6" ht="15.5" x14ac:dyDescent="0.35">
      <c r="A12" s="29" t="str">
        <f>TECNOLOGIAS!$A$8</f>
        <v>Básico</v>
      </c>
      <c r="B12" s="29">
        <v>100000</v>
      </c>
      <c r="C12" s="19"/>
      <c r="D12" s="19"/>
      <c r="E12" s="19"/>
      <c r="F12" s="19"/>
    </row>
    <row r="13" spans="1:6" ht="15.5" x14ac:dyDescent="0.35">
      <c r="A13" s="29" t="str">
        <f>TECNOLOGIAS!$A$9</f>
        <v>Padron</v>
      </c>
      <c r="B13" s="29">
        <v>125000</v>
      </c>
      <c r="C13" s="19"/>
      <c r="D13" s="19"/>
      <c r="E13" s="19"/>
      <c r="F13" s="19"/>
    </row>
    <row r="14" spans="1:6" ht="15.5" x14ac:dyDescent="0.35">
      <c r="A14" s="29" t="str">
        <f>TECNOLOGIAS!$A$10</f>
        <v>Articulados</v>
      </c>
      <c r="B14" s="29">
        <v>280000</v>
      </c>
      <c r="C14" s="19"/>
      <c r="D14" s="19"/>
      <c r="E14" s="19"/>
      <c r="F14" s="19"/>
    </row>
    <row r="15" spans="1:6" ht="15.5" x14ac:dyDescent="0.35">
      <c r="A15" s="29" t="str">
        <f>TECNOLOGIAS!$A$11</f>
        <v>Híbrido Piso Baixo</v>
      </c>
      <c r="B15" s="29">
        <v>422000</v>
      </c>
      <c r="C15" s="19"/>
      <c r="D15" s="19"/>
      <c r="E15" s="19"/>
      <c r="F15" s="19"/>
    </row>
    <row r="16" spans="1:6" ht="15.5" x14ac:dyDescent="0.35">
      <c r="A16" s="29" t="str">
        <f>TECNOLOGIAS!$A$12</f>
        <v>Van Atende</v>
      </c>
      <c r="B16" s="29">
        <v>60000</v>
      </c>
      <c r="C16" s="19"/>
      <c r="D16" s="19"/>
      <c r="E16" s="19"/>
      <c r="F16" s="19"/>
    </row>
    <row r="17" spans="1:6" ht="15.5" x14ac:dyDescent="0.35">
      <c r="A17" s="29" t="str">
        <f>TECNOLOGIAS!$A$13</f>
        <v>TIPO 7</v>
      </c>
      <c r="B17" s="29"/>
      <c r="C17" s="19"/>
      <c r="D17" s="19"/>
      <c r="E17" s="19"/>
      <c r="F17" s="19"/>
    </row>
    <row r="18" spans="1:6" ht="15.5" x14ac:dyDescent="0.35">
      <c r="A18" s="29" t="str">
        <f>TECNOLOGIAS!$A$14</f>
        <v>TIPO 8</v>
      </c>
      <c r="B18" s="29"/>
      <c r="C18" s="19"/>
      <c r="D18" s="19"/>
      <c r="E18" s="19"/>
      <c r="F18" s="19"/>
    </row>
    <row r="20" spans="1:6" ht="15.5" x14ac:dyDescent="0.35">
      <c r="A20" s="54" t="s">
        <v>98</v>
      </c>
      <c r="B20" s="19"/>
      <c r="C20" s="19"/>
      <c r="D20" s="19"/>
      <c r="E20" s="19"/>
      <c r="F20" s="19"/>
    </row>
    <row r="21" spans="1:6" ht="16" thickBot="1" x14ac:dyDescent="0.4">
      <c r="A21" s="19"/>
      <c r="B21" s="19"/>
      <c r="C21" s="19"/>
      <c r="D21" s="19"/>
      <c r="E21" s="19"/>
      <c r="F21" s="19"/>
    </row>
    <row r="22" spans="1:6" ht="13" thickBot="1" x14ac:dyDescent="0.3">
      <c r="A22" s="55" t="s">
        <v>21</v>
      </c>
      <c r="B22" s="27" t="s">
        <v>64</v>
      </c>
      <c r="C22" s="56" t="s">
        <v>65</v>
      </c>
      <c r="D22" s="57"/>
      <c r="E22" s="21"/>
      <c r="F22" s="21"/>
    </row>
    <row r="23" spans="1:6" x14ac:dyDescent="0.25">
      <c r="A23" s="29" t="s">
        <v>66</v>
      </c>
      <c r="B23" s="28" t="s">
        <v>67</v>
      </c>
      <c r="C23" s="58">
        <v>1.27</v>
      </c>
      <c r="D23" s="57"/>
      <c r="E23" s="21"/>
      <c r="F23" s="21"/>
    </row>
    <row r="24" spans="1:6" x14ac:dyDescent="0.25">
      <c r="A24" s="29" t="s">
        <v>68</v>
      </c>
      <c r="B24" s="28" t="s">
        <v>69</v>
      </c>
      <c r="C24" s="58"/>
      <c r="D24" s="57"/>
      <c r="E24" s="21"/>
      <c r="F24" s="21"/>
    </row>
    <row r="25" spans="1:6" x14ac:dyDescent="0.25">
      <c r="A25" s="29" t="s">
        <v>70</v>
      </c>
      <c r="B25" s="28" t="s">
        <v>67</v>
      </c>
      <c r="C25" s="569">
        <v>3.45</v>
      </c>
      <c r="D25" s="57"/>
      <c r="E25" s="21"/>
      <c r="F25" s="21"/>
    </row>
    <row r="26" spans="1:6" x14ac:dyDescent="0.25">
      <c r="A26" s="29" t="s">
        <v>71</v>
      </c>
      <c r="B26" s="28" t="s">
        <v>67</v>
      </c>
      <c r="C26" s="569">
        <v>6.41</v>
      </c>
      <c r="D26" s="57"/>
      <c r="E26" s="21"/>
      <c r="F26" s="21"/>
    </row>
    <row r="27" spans="1:6" x14ac:dyDescent="0.25">
      <c r="A27" s="29" t="s">
        <v>72</v>
      </c>
      <c r="B27" s="28" t="s">
        <v>67</v>
      </c>
      <c r="C27" s="569">
        <v>4.3</v>
      </c>
      <c r="D27" s="57"/>
      <c r="E27" s="21"/>
      <c r="F27" s="21"/>
    </row>
    <row r="28" spans="1:6" x14ac:dyDescent="0.25">
      <c r="A28" s="29" t="s">
        <v>73</v>
      </c>
      <c r="B28" s="28" t="s">
        <v>67</v>
      </c>
      <c r="C28" s="569"/>
      <c r="D28" s="57"/>
      <c r="E28" s="21"/>
      <c r="F28" s="21"/>
    </row>
    <row r="29" spans="1:6" x14ac:dyDescent="0.25">
      <c r="A29" s="29" t="s">
        <v>100</v>
      </c>
      <c r="B29" s="28" t="s">
        <v>67</v>
      </c>
      <c r="C29" s="569"/>
      <c r="D29" s="57"/>
      <c r="E29" s="21"/>
      <c r="F29" s="21"/>
    </row>
    <row r="30" spans="1:6" x14ac:dyDescent="0.25">
      <c r="A30" s="29" t="s">
        <v>74</v>
      </c>
      <c r="B30" s="28" t="s">
        <v>67</v>
      </c>
      <c r="C30" s="569">
        <v>13.15</v>
      </c>
      <c r="D30" s="57"/>
      <c r="E30" s="21"/>
      <c r="F30" s="21"/>
    </row>
    <row r="31" spans="1:6" x14ac:dyDescent="0.25">
      <c r="A31" s="29" t="s">
        <v>75</v>
      </c>
      <c r="B31" s="28" t="s">
        <v>76</v>
      </c>
      <c r="C31" s="569">
        <v>5</v>
      </c>
      <c r="D31" s="57"/>
      <c r="E31" s="21"/>
      <c r="F31" s="21"/>
    </row>
    <row r="32" spans="1:6" x14ac:dyDescent="0.25">
      <c r="A32" s="29" t="s">
        <v>77</v>
      </c>
      <c r="B32" s="28" t="s">
        <v>78</v>
      </c>
      <c r="C32" s="570"/>
      <c r="D32" s="57"/>
      <c r="E32" s="21"/>
      <c r="F32" s="21"/>
    </row>
    <row r="33" spans="1:7" x14ac:dyDescent="0.25">
      <c r="A33" s="29"/>
      <c r="B33" s="28"/>
      <c r="C33" s="63"/>
      <c r="D33" s="57"/>
      <c r="E33" s="21"/>
      <c r="F33" s="21"/>
    </row>
    <row r="34" spans="1:7" x14ac:dyDescent="0.25">
      <c r="A34" s="29"/>
      <c r="B34" s="28"/>
      <c r="C34" s="63"/>
      <c r="D34" s="57"/>
      <c r="E34" s="21"/>
      <c r="F34" s="21"/>
    </row>
    <row r="35" spans="1:7" x14ac:dyDescent="0.25">
      <c r="A35" s="29"/>
      <c r="B35" s="28"/>
      <c r="C35" s="63"/>
      <c r="D35" s="57"/>
      <c r="E35" s="21"/>
      <c r="F35" s="21"/>
    </row>
    <row r="36" spans="1:7" x14ac:dyDescent="0.25">
      <c r="A36" s="21"/>
      <c r="B36" s="21"/>
      <c r="C36" s="530"/>
      <c r="D36" s="57"/>
      <c r="E36" s="21"/>
      <c r="F36" s="21"/>
    </row>
    <row r="37" spans="1:7" ht="15.5" x14ac:dyDescent="0.35">
      <c r="A37" s="54" t="s">
        <v>101</v>
      </c>
      <c r="B37" s="59"/>
      <c r="C37" s="530"/>
      <c r="D37" s="21"/>
      <c r="E37" s="21"/>
      <c r="F37" s="21"/>
    </row>
    <row r="38" spans="1:7" ht="13.5" thickBot="1" x14ac:dyDescent="0.35">
      <c r="A38" s="46"/>
      <c r="B38" s="59"/>
      <c r="C38" s="530"/>
      <c r="D38" s="21"/>
      <c r="E38" s="21"/>
      <c r="F38" s="21"/>
    </row>
    <row r="39" spans="1:7" ht="13" thickBot="1" x14ac:dyDescent="0.3">
      <c r="A39" s="60" t="s">
        <v>80</v>
      </c>
      <c r="B39" s="48" t="s">
        <v>64</v>
      </c>
      <c r="C39" s="48" t="s">
        <v>81</v>
      </c>
      <c r="D39" s="531" t="s">
        <v>82</v>
      </c>
      <c r="E39" s="23"/>
      <c r="F39" s="23"/>
      <c r="G39" s="25"/>
    </row>
    <row r="40" spans="1:7" ht="13" thickBot="1" x14ac:dyDescent="0.3">
      <c r="A40" s="26"/>
      <c r="B40" s="50"/>
      <c r="C40" s="50" t="s">
        <v>83</v>
      </c>
      <c r="D40" s="61" t="s">
        <v>84</v>
      </c>
      <c r="E40" s="27" t="s">
        <v>85</v>
      </c>
      <c r="F40" s="62" t="s">
        <v>86</v>
      </c>
      <c r="G40" s="62" t="s">
        <v>87</v>
      </c>
    </row>
    <row r="41" spans="1:7" x14ac:dyDescent="0.25">
      <c r="A41" s="29" t="s">
        <v>873</v>
      </c>
      <c r="B41" s="28" t="s">
        <v>88</v>
      </c>
      <c r="C41" s="572">
        <v>9.9977520512532309E-2</v>
      </c>
      <c r="D41" s="570">
        <v>300</v>
      </c>
      <c r="E41" s="576">
        <v>0</v>
      </c>
      <c r="F41" s="576">
        <v>0</v>
      </c>
      <c r="G41" s="576">
        <v>100</v>
      </c>
    </row>
    <row r="42" spans="1:7" x14ac:dyDescent="0.25">
      <c r="A42" s="29" t="s">
        <v>871</v>
      </c>
      <c r="B42" s="28" t="s">
        <v>88</v>
      </c>
      <c r="C42" s="572">
        <v>0.28329774081150949</v>
      </c>
      <c r="D42" s="570">
        <v>420</v>
      </c>
      <c r="E42" s="576">
        <v>30</v>
      </c>
      <c r="F42" s="576">
        <v>17</v>
      </c>
      <c r="G42" s="576">
        <v>100</v>
      </c>
    </row>
    <row r="43" spans="1:7" x14ac:dyDescent="0.25">
      <c r="A43" s="29" t="s">
        <v>868</v>
      </c>
      <c r="B43" s="28" t="s">
        <v>88</v>
      </c>
      <c r="C43" s="572">
        <v>0.50376531415083736</v>
      </c>
      <c r="D43" s="570">
        <v>650</v>
      </c>
      <c r="E43" s="576">
        <v>30</v>
      </c>
      <c r="F43" s="576">
        <v>17</v>
      </c>
      <c r="G43" s="576">
        <v>100</v>
      </c>
    </row>
    <row r="44" spans="1:7" x14ac:dyDescent="0.25">
      <c r="A44" s="29" t="s">
        <v>874</v>
      </c>
      <c r="B44" s="28" t="s">
        <v>88</v>
      </c>
      <c r="C44" s="572">
        <v>7.7554231763515794E-2</v>
      </c>
      <c r="D44" s="570">
        <v>650</v>
      </c>
      <c r="E44" s="576">
        <v>30</v>
      </c>
      <c r="F44" s="576">
        <v>17</v>
      </c>
      <c r="G44" s="576">
        <v>100</v>
      </c>
    </row>
    <row r="45" spans="1:7" x14ac:dyDescent="0.25">
      <c r="A45" s="29" t="s">
        <v>875</v>
      </c>
      <c r="B45" s="28" t="s">
        <v>88</v>
      </c>
      <c r="C45" s="572">
        <v>1.0677756547150726E-2</v>
      </c>
      <c r="D45" s="570">
        <v>650</v>
      </c>
      <c r="E45" s="576">
        <v>30</v>
      </c>
      <c r="F45" s="576">
        <v>17</v>
      </c>
      <c r="G45" s="576">
        <v>100</v>
      </c>
    </row>
    <row r="46" spans="1:7" s="571" customFormat="1" x14ac:dyDescent="0.25">
      <c r="A46" s="29" t="s">
        <v>872</v>
      </c>
      <c r="B46" s="28" t="s">
        <v>88</v>
      </c>
      <c r="C46" s="572">
        <v>2.472743621445431E-2</v>
      </c>
      <c r="D46" s="570">
        <v>80</v>
      </c>
      <c r="E46" s="577"/>
      <c r="F46" s="577"/>
      <c r="G46" s="577"/>
    </row>
    <row r="47" spans="1:7" ht="15.5" x14ac:dyDescent="0.35">
      <c r="A47" s="64"/>
      <c r="B47" s="28" t="s">
        <v>88</v>
      </c>
      <c r="C47" s="64"/>
      <c r="D47" s="573"/>
      <c r="E47" s="574"/>
      <c r="F47" s="575"/>
      <c r="G47" s="575"/>
    </row>
    <row r="48" spans="1:7" ht="15.5" x14ac:dyDescent="0.35">
      <c r="A48" s="64"/>
      <c r="B48" s="28" t="s">
        <v>88</v>
      </c>
      <c r="C48" s="64"/>
      <c r="D48" s="573"/>
      <c r="E48" s="574"/>
      <c r="F48" s="575"/>
      <c r="G48" s="575"/>
    </row>
    <row r="49" spans="1:7" ht="16" thickBot="1" x14ac:dyDescent="0.4">
      <c r="A49" s="21"/>
      <c r="B49" s="21"/>
      <c r="C49" s="530"/>
      <c r="D49" s="21"/>
      <c r="E49" s="21"/>
      <c r="F49" s="21"/>
      <c r="G49" s="19"/>
    </row>
    <row r="50" spans="1:7" ht="13" thickBot="1" x14ac:dyDescent="0.3">
      <c r="A50" s="55" t="s">
        <v>89</v>
      </c>
      <c r="B50" s="21"/>
      <c r="C50" s="530"/>
      <c r="D50" s="565">
        <f>SUMPRODUCT(C41:C46,D41:D46)</f>
        <v>535.75474879172748</v>
      </c>
      <c r="E50" s="565">
        <f>SUMPRODUCT(C42:C45,E42:E45)/SUM(C42:C45)</f>
        <v>29.999999999999996</v>
      </c>
      <c r="F50" s="565">
        <f>SUMPRODUCT(C42:C45,F42:F45)/SUM(C42:C45)</f>
        <v>16.999999999999996</v>
      </c>
      <c r="G50" s="565">
        <f>SUMPRODUCT(C41:C45,G41:G45)/SUM(C41:C45)</f>
        <v>100</v>
      </c>
    </row>
    <row r="51" spans="1:7" ht="15.5" x14ac:dyDescent="0.35">
      <c r="A51" s="21"/>
      <c r="B51" s="21"/>
      <c r="C51" s="530"/>
      <c r="D51" s="21"/>
      <c r="E51" s="21"/>
      <c r="F51" s="21"/>
      <c r="G51" s="19"/>
    </row>
    <row r="52" spans="1:7" ht="15.5" x14ac:dyDescent="0.35">
      <c r="A52" s="54" t="s">
        <v>102</v>
      </c>
      <c r="B52" s="65"/>
      <c r="C52" s="19"/>
      <c r="D52" s="21"/>
      <c r="E52" s="21"/>
      <c r="F52" s="21"/>
      <c r="G52" s="19"/>
    </row>
    <row r="53" spans="1:7" ht="16" thickBot="1" x14ac:dyDescent="0.4">
      <c r="A53" s="46"/>
      <c r="B53" s="65"/>
      <c r="C53" s="66"/>
      <c r="D53" s="21"/>
      <c r="E53" s="21"/>
      <c r="F53" s="21"/>
      <c r="G53" s="19"/>
    </row>
    <row r="54" spans="1:7" ht="16" thickBot="1" x14ac:dyDescent="0.4">
      <c r="A54" s="55" t="s">
        <v>91</v>
      </c>
      <c r="B54" s="27" t="s">
        <v>64</v>
      </c>
      <c r="C54" s="61" t="s">
        <v>92</v>
      </c>
      <c r="D54" s="21"/>
      <c r="E54" s="21"/>
      <c r="F54" s="21"/>
      <c r="G54" s="19"/>
    </row>
    <row r="55" spans="1:7" x14ac:dyDescent="0.25">
      <c r="A55" s="29" t="s">
        <v>93</v>
      </c>
      <c r="B55" s="28" t="s">
        <v>88</v>
      </c>
      <c r="C55" s="570">
        <v>980.7</v>
      </c>
      <c r="D55" s="21"/>
      <c r="E55" s="21"/>
      <c r="F55" s="21"/>
    </row>
    <row r="56" spans="1:7" x14ac:dyDescent="0.25">
      <c r="A56" s="29" t="s">
        <v>94</v>
      </c>
      <c r="B56" s="28" t="s">
        <v>88</v>
      </c>
      <c r="C56" s="570">
        <v>564.9</v>
      </c>
      <c r="D56" s="21"/>
      <c r="E56" s="21"/>
      <c r="F56" s="21"/>
    </row>
    <row r="57" spans="1:7" x14ac:dyDescent="0.25">
      <c r="A57" s="29" t="s">
        <v>103</v>
      </c>
      <c r="B57" s="28" t="s">
        <v>88</v>
      </c>
      <c r="C57" s="570">
        <v>776.46</v>
      </c>
      <c r="D57" s="21"/>
      <c r="E57" s="21"/>
      <c r="F57" s="21"/>
    </row>
    <row r="58" spans="1:7" x14ac:dyDescent="0.25">
      <c r="A58" s="29" t="s">
        <v>95</v>
      </c>
      <c r="B58" s="28" t="s">
        <v>88</v>
      </c>
      <c r="C58" s="570">
        <v>773.48</v>
      </c>
      <c r="D58" s="21"/>
      <c r="E58" s="21"/>
      <c r="F58" s="21"/>
    </row>
    <row r="59" spans="1:7" x14ac:dyDescent="0.25">
      <c r="A59" s="9" t="s">
        <v>876</v>
      </c>
      <c r="B59" s="28" t="s">
        <v>88</v>
      </c>
      <c r="C59" s="570">
        <v>2000</v>
      </c>
      <c r="D59" s="21"/>
      <c r="E59" s="21"/>
      <c r="F59" s="21"/>
    </row>
    <row r="60" spans="1:7" x14ac:dyDescent="0.25">
      <c r="A60" s="9"/>
      <c r="B60" s="28" t="s">
        <v>88</v>
      </c>
      <c r="C60" s="570"/>
      <c r="D60" s="21"/>
      <c r="E60" s="21"/>
      <c r="F60" s="21"/>
    </row>
    <row r="61" spans="1:7" x14ac:dyDescent="0.25">
      <c r="A61" s="21"/>
      <c r="B61" s="21"/>
      <c r="C61" s="530"/>
      <c r="D61" s="21"/>
      <c r="E61" s="21"/>
      <c r="F61" s="21"/>
    </row>
    <row r="62" spans="1:7" ht="15.5" x14ac:dyDescent="0.35">
      <c r="A62" s="54" t="s">
        <v>104</v>
      </c>
      <c r="B62" s="67"/>
      <c r="C62" s="68"/>
      <c r="D62" s="19"/>
      <c r="E62" s="69"/>
      <c r="F62" s="69"/>
    </row>
    <row r="63" spans="1:7" ht="16" thickBot="1" x14ac:dyDescent="0.4">
      <c r="A63" s="65"/>
      <c r="B63" s="67"/>
      <c r="C63" s="68"/>
      <c r="D63" s="19"/>
      <c r="E63" s="69"/>
      <c r="F63" s="69"/>
    </row>
    <row r="64" spans="1:7" ht="15.5" x14ac:dyDescent="0.35">
      <c r="A64" s="60" t="s">
        <v>21</v>
      </c>
      <c r="B64" s="70" t="s">
        <v>106</v>
      </c>
      <c r="C64" s="19"/>
      <c r="D64" s="19"/>
      <c r="E64" s="19"/>
    </row>
    <row r="65" spans="1:6" ht="16" thickBot="1" x14ac:dyDescent="0.4">
      <c r="A65" s="26"/>
      <c r="B65" s="71" t="s">
        <v>107</v>
      </c>
      <c r="C65" s="19"/>
      <c r="D65" s="19"/>
      <c r="E65" s="19"/>
    </row>
    <row r="66" spans="1:6" ht="15.5" x14ac:dyDescent="0.35">
      <c r="A66" s="29" t="s">
        <v>369</v>
      </c>
      <c r="B66" s="570">
        <f>7*26.5</f>
        <v>185.5</v>
      </c>
      <c r="C66" s="19"/>
      <c r="D66" s="19"/>
      <c r="E66" s="19"/>
    </row>
    <row r="67" spans="1:6" ht="15.5" x14ac:dyDescent="0.35">
      <c r="A67" s="29" t="s">
        <v>96</v>
      </c>
      <c r="B67" s="570">
        <v>40</v>
      </c>
      <c r="C67" s="19"/>
      <c r="D67" s="19"/>
      <c r="E67" s="19"/>
    </row>
    <row r="68" spans="1:6" ht="15.5" x14ac:dyDescent="0.35">
      <c r="A68" s="29" t="s">
        <v>97</v>
      </c>
      <c r="B68" s="570">
        <v>30</v>
      </c>
      <c r="C68" s="19"/>
      <c r="D68" s="19"/>
      <c r="E68" s="19"/>
    </row>
    <row r="69" spans="1:6" x14ac:dyDescent="0.25">
      <c r="A69" s="29" t="s">
        <v>105</v>
      </c>
      <c r="B69" s="570">
        <v>10</v>
      </c>
      <c r="C69" s="21"/>
      <c r="D69" s="21"/>
      <c r="E69" s="21"/>
    </row>
    <row r="70" spans="1:6" ht="15" customHeight="1" x14ac:dyDescent="0.35">
      <c r="A70" s="54"/>
      <c r="B70" s="65"/>
      <c r="C70" s="72"/>
      <c r="D70" s="21"/>
      <c r="E70" s="21"/>
      <c r="F70" s="21"/>
    </row>
    <row r="71" spans="1:6" x14ac:dyDescent="0.25">
      <c r="A71" s="490" t="s">
        <v>447</v>
      </c>
      <c r="B71" s="65"/>
      <c r="C71" s="72"/>
      <c r="D71" s="21"/>
      <c r="E71" s="21"/>
      <c r="F71" s="21"/>
    </row>
    <row r="72" spans="1:6" x14ac:dyDescent="0.25">
      <c r="A72" s="21"/>
      <c r="B72" s="73"/>
      <c r="C72" s="74"/>
      <c r="D72" s="21"/>
      <c r="E72" s="21"/>
      <c r="F72" s="21"/>
    </row>
    <row r="73" spans="1:6" x14ac:dyDescent="0.25">
      <c r="A73" s="21"/>
      <c r="B73" s="73"/>
      <c r="C73" s="75"/>
      <c r="D73" s="21"/>
      <c r="E73" s="21"/>
      <c r="F73" s="21"/>
    </row>
    <row r="75" spans="1:6" ht="13" x14ac:dyDescent="0.3">
      <c r="A75" s="76"/>
    </row>
    <row r="76" spans="1:6" ht="13" x14ac:dyDescent="0.3">
      <c r="A76" s="76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6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26">
    <pageSetUpPr fitToPage="1"/>
  </sheetPr>
  <dimension ref="A1:X47"/>
  <sheetViews>
    <sheetView showGridLines="0" showZeros="0" view="pageBreakPreview" topLeftCell="C18" zoomScale="60" zoomScaleNormal="87" workbookViewId="0">
      <selection activeCell="C18" sqref="C18"/>
    </sheetView>
  </sheetViews>
  <sheetFormatPr defaultColWidth="12.54296875" defaultRowHeight="15.5" x14ac:dyDescent="0.35"/>
  <cols>
    <col min="1" max="1" width="44.7265625" style="177" customWidth="1"/>
    <col min="2" max="2" width="14.1796875" style="177" customWidth="1"/>
    <col min="3" max="3" width="19" style="177" bestFit="1" customWidth="1"/>
    <col min="4" max="4" width="13.453125" style="177" bestFit="1" customWidth="1"/>
    <col min="5" max="11" width="14.26953125" style="177" bestFit="1" customWidth="1"/>
    <col min="12" max="14" width="15.54296875" style="177" bestFit="1" customWidth="1"/>
    <col min="15" max="19" width="14.1796875" style="177" bestFit="1" customWidth="1"/>
    <col min="20" max="21" width="12.7265625" style="177" bestFit="1" customWidth="1"/>
    <col min="22" max="24" width="6.1796875" style="177" bestFit="1" customWidth="1"/>
    <col min="25" max="16384" width="12.54296875" style="177"/>
  </cols>
  <sheetData>
    <row r="1" spans="1:23" x14ac:dyDescent="0.35">
      <c r="A1" s="496" t="str">
        <f>TECNOLOGIAS!A1</f>
        <v>Proponente: TransPolitécnica</v>
      </c>
    </row>
    <row r="2" spans="1:23" x14ac:dyDescent="0.35">
      <c r="A2" s="496" t="str">
        <f>TECNOLOGIAS!A2</f>
        <v>Área de Concessão: 5 (Cinco)</v>
      </c>
    </row>
    <row r="4" spans="1:23" ht="18" x14ac:dyDescent="0.4">
      <c r="A4" s="167" t="s">
        <v>442</v>
      </c>
      <c r="B4" s="167"/>
      <c r="C4" s="167"/>
    </row>
    <row r="6" spans="1:23" x14ac:dyDescent="0.35">
      <c r="A6" s="35" t="s">
        <v>841</v>
      </c>
    </row>
    <row r="8" spans="1:23" x14ac:dyDescent="0.35">
      <c r="A8" s="170"/>
      <c r="B8" s="170"/>
      <c r="C8" s="170"/>
      <c r="D8" s="180"/>
      <c r="E8" s="180"/>
      <c r="F8" s="180"/>
    </row>
    <row r="9" spans="1:23" x14ac:dyDescent="0.35">
      <c r="A9" s="170"/>
      <c r="B9" s="263"/>
      <c r="C9" s="263"/>
      <c r="D9" s="180"/>
      <c r="E9" s="180"/>
      <c r="F9" s="180"/>
    </row>
    <row r="10" spans="1:23" ht="17.25" customHeight="1" x14ac:dyDescent="0.35">
      <c r="A10" s="262"/>
      <c r="B10" s="497" t="s">
        <v>65</v>
      </c>
      <c r="C10" s="662" t="s">
        <v>443</v>
      </c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663"/>
      <c r="V10" s="663"/>
      <c r="W10" s="664"/>
    </row>
    <row r="11" spans="1:23" ht="17.25" customHeight="1" x14ac:dyDescent="0.35">
      <c r="A11" s="498" t="s">
        <v>108</v>
      </c>
      <c r="B11" s="499" t="s">
        <v>444</v>
      </c>
      <c r="C11" s="379" t="s">
        <v>372</v>
      </c>
      <c r="D11" s="261" t="s">
        <v>372</v>
      </c>
      <c r="E11" s="261" t="s">
        <v>372</v>
      </c>
      <c r="F11" s="261" t="s">
        <v>372</v>
      </c>
      <c r="G11" s="261" t="s">
        <v>372</v>
      </c>
      <c r="H11" s="261" t="s">
        <v>372</v>
      </c>
      <c r="I11" s="261" t="s">
        <v>372</v>
      </c>
      <c r="J11" s="261" t="s">
        <v>372</v>
      </c>
      <c r="K11" s="261" t="s">
        <v>372</v>
      </c>
      <c r="L11" s="261" t="s">
        <v>372</v>
      </c>
      <c r="M11" s="261" t="s">
        <v>372</v>
      </c>
      <c r="N11" s="261" t="s">
        <v>372</v>
      </c>
      <c r="O11" s="261" t="s">
        <v>372</v>
      </c>
      <c r="P11" s="261" t="s">
        <v>372</v>
      </c>
      <c r="Q11" s="261" t="s">
        <v>372</v>
      </c>
      <c r="R11" s="261" t="s">
        <v>372</v>
      </c>
      <c r="S11" s="261" t="s">
        <v>372</v>
      </c>
      <c r="T11" s="261" t="s">
        <v>372</v>
      </c>
      <c r="U11" s="261" t="s">
        <v>372</v>
      </c>
      <c r="V11" s="261" t="s">
        <v>372</v>
      </c>
      <c r="W11" s="261" t="s">
        <v>372</v>
      </c>
    </row>
    <row r="12" spans="1:23" ht="17.25" customHeight="1" x14ac:dyDescent="0.35">
      <c r="A12" s="378"/>
      <c r="B12" s="500" t="s">
        <v>445</v>
      </c>
      <c r="C12" s="380" t="s">
        <v>413</v>
      </c>
      <c r="D12" s="235">
        <v>1</v>
      </c>
      <c r="E12" s="235">
        <v>2</v>
      </c>
      <c r="F12" s="235">
        <v>3</v>
      </c>
      <c r="G12" s="235">
        <v>4</v>
      </c>
      <c r="H12" s="235">
        <v>5</v>
      </c>
      <c r="I12" s="235">
        <v>6</v>
      </c>
      <c r="J12" s="235">
        <v>7</v>
      </c>
      <c r="K12" s="235">
        <v>8</v>
      </c>
      <c r="L12" s="235">
        <v>9</v>
      </c>
      <c r="M12" s="235">
        <v>10</v>
      </c>
      <c r="N12" s="235">
        <v>11</v>
      </c>
      <c r="O12" s="235">
        <v>12</v>
      </c>
      <c r="P12" s="235">
        <v>13</v>
      </c>
      <c r="Q12" s="235">
        <v>14</v>
      </c>
      <c r="R12" s="235">
        <v>15</v>
      </c>
      <c r="S12" s="235">
        <v>16</v>
      </c>
      <c r="T12" s="235">
        <v>17</v>
      </c>
      <c r="U12" s="235">
        <v>18</v>
      </c>
      <c r="V12" s="235">
        <v>19</v>
      </c>
      <c r="W12" s="235">
        <v>20</v>
      </c>
    </row>
    <row r="13" spans="1:23" x14ac:dyDescent="0.35">
      <c r="A13" s="520" t="s">
        <v>883</v>
      </c>
      <c r="B13" s="588">
        <v>5000</v>
      </c>
      <c r="C13" s="590">
        <v>901</v>
      </c>
      <c r="D13" s="590"/>
      <c r="E13" s="590"/>
      <c r="F13" s="590"/>
      <c r="G13" s="590"/>
      <c r="H13" s="590"/>
      <c r="I13" s="590"/>
      <c r="J13" s="590"/>
      <c r="K13" s="590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</row>
    <row r="14" spans="1:23" x14ac:dyDescent="0.35">
      <c r="A14" s="520" t="s">
        <v>884</v>
      </c>
      <c r="B14" s="589">
        <v>2000</v>
      </c>
      <c r="C14" s="590">
        <v>901</v>
      </c>
      <c r="D14" s="590"/>
      <c r="E14" s="590"/>
      <c r="F14" s="590"/>
      <c r="G14" s="590"/>
      <c r="H14" s="590"/>
      <c r="I14" s="590"/>
      <c r="J14" s="590"/>
      <c r="K14" s="590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</row>
    <row r="15" spans="1:23" x14ac:dyDescent="0.35">
      <c r="A15" s="520" t="s">
        <v>877</v>
      </c>
      <c r="B15" s="589">
        <v>3250</v>
      </c>
      <c r="C15" s="382">
        <v>9</v>
      </c>
      <c r="D15" s="382">
        <v>9</v>
      </c>
      <c r="E15" s="382">
        <v>9</v>
      </c>
      <c r="F15" s="383">
        <v>9</v>
      </c>
      <c r="G15" s="383">
        <v>9</v>
      </c>
      <c r="H15" s="383">
        <v>9</v>
      </c>
      <c r="I15" s="383">
        <v>9</v>
      </c>
      <c r="J15" s="383">
        <v>9</v>
      </c>
      <c r="K15" s="383">
        <v>8</v>
      </c>
      <c r="L15" s="383"/>
      <c r="M15" s="383"/>
      <c r="N15" s="383"/>
      <c r="O15" s="383"/>
      <c r="P15" s="383"/>
      <c r="Q15" s="383"/>
      <c r="R15" s="383"/>
      <c r="S15" s="383"/>
      <c r="T15" s="383"/>
      <c r="U15" s="383"/>
      <c r="V15" s="383"/>
      <c r="W15" s="383"/>
    </row>
    <row r="16" spans="1:23" x14ac:dyDescent="0.35">
      <c r="A16" s="520" t="s">
        <v>879</v>
      </c>
      <c r="B16" s="589">
        <v>4720</v>
      </c>
      <c r="C16" s="382">
        <v>67</v>
      </c>
      <c r="D16" s="382">
        <v>65</v>
      </c>
      <c r="E16" s="382">
        <v>65</v>
      </c>
      <c r="F16" s="383">
        <v>65</v>
      </c>
      <c r="G16" s="383">
        <v>66</v>
      </c>
      <c r="H16" s="383">
        <v>65</v>
      </c>
      <c r="I16" s="383">
        <v>65</v>
      </c>
      <c r="J16" s="383">
        <v>65</v>
      </c>
      <c r="K16" s="383">
        <v>65</v>
      </c>
      <c r="L16" s="383"/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383"/>
    </row>
    <row r="17" spans="1:24" x14ac:dyDescent="0.35">
      <c r="A17" s="520" t="s">
        <v>878</v>
      </c>
      <c r="B17" s="589">
        <v>7550</v>
      </c>
      <c r="C17" s="382">
        <v>0</v>
      </c>
      <c r="D17" s="382">
        <v>0</v>
      </c>
      <c r="E17" s="382">
        <v>0</v>
      </c>
      <c r="F17" s="383">
        <v>0</v>
      </c>
      <c r="G17" s="383">
        <v>13</v>
      </c>
      <c r="H17" s="383">
        <v>13</v>
      </c>
      <c r="I17" s="383">
        <v>12</v>
      </c>
      <c r="J17" s="383">
        <v>13</v>
      </c>
      <c r="K17" s="383">
        <v>11</v>
      </c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</row>
    <row r="18" spans="1:24" x14ac:dyDescent="0.35">
      <c r="A18" s="520" t="s">
        <v>882</v>
      </c>
      <c r="B18" s="589">
        <v>1670</v>
      </c>
      <c r="C18" s="382">
        <v>14</v>
      </c>
      <c r="D18" s="382">
        <v>13</v>
      </c>
      <c r="E18" s="382">
        <v>12</v>
      </c>
      <c r="F18" s="383">
        <v>14</v>
      </c>
      <c r="G18" s="383">
        <v>13</v>
      </c>
      <c r="H18" s="383">
        <v>12</v>
      </c>
      <c r="I18" s="383">
        <v>14</v>
      </c>
      <c r="J18" s="383">
        <v>12</v>
      </c>
      <c r="K18" s="383">
        <v>13</v>
      </c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</row>
    <row r="19" spans="1:24" x14ac:dyDescent="0.35">
      <c r="A19" s="520" t="s">
        <v>880</v>
      </c>
      <c r="B19" s="589">
        <v>5000</v>
      </c>
      <c r="C19" s="382">
        <v>0</v>
      </c>
      <c r="D19" s="382">
        <v>11</v>
      </c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</row>
    <row r="20" spans="1:24" x14ac:dyDescent="0.35">
      <c r="A20" s="520" t="s">
        <v>881</v>
      </c>
      <c r="B20" s="589">
        <v>1480</v>
      </c>
      <c r="C20" s="383">
        <v>9</v>
      </c>
      <c r="D20" s="383">
        <v>9</v>
      </c>
      <c r="E20" s="383">
        <v>9</v>
      </c>
      <c r="F20" s="383">
        <v>8</v>
      </c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</row>
    <row r="21" spans="1:24" x14ac:dyDescent="0.35">
      <c r="A21" s="501"/>
      <c r="B21" s="248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</row>
    <row r="22" spans="1:24" x14ac:dyDescent="0.35">
      <c r="A22" s="502"/>
      <c r="B22" s="503"/>
      <c r="C22" s="384"/>
      <c r="D22" s="381"/>
      <c r="E22" s="381"/>
      <c r="F22" s="381"/>
      <c r="G22" s="381"/>
      <c r="H22" s="381"/>
      <c r="I22" s="381"/>
      <c r="J22" s="381"/>
      <c r="K22" s="383"/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</row>
    <row r="23" spans="1:24" x14ac:dyDescent="0.35">
      <c r="A23" s="502"/>
      <c r="B23" s="503"/>
      <c r="C23" s="384"/>
      <c r="D23" s="383"/>
      <c r="E23" s="383"/>
      <c r="F23" s="383"/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</row>
    <row r="24" spans="1:24" x14ac:dyDescent="0.35">
      <c r="A24" s="504"/>
      <c r="B24" s="505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</row>
    <row r="25" spans="1:24" s="509" customFormat="1" x14ac:dyDescent="0.35">
      <c r="A25" s="507"/>
      <c r="B25" s="507"/>
      <c r="C25" s="508"/>
      <c r="D25" s="508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</row>
    <row r="26" spans="1:24" x14ac:dyDescent="0.35">
      <c r="A26" s="510" t="s">
        <v>446</v>
      </c>
      <c r="B26" s="511"/>
      <c r="C26" s="512">
        <f>SUMPRODUCT(C13:C24,$B13:$B24)</f>
        <v>6689190</v>
      </c>
      <c r="D26" s="513">
        <f t="shared" ref="D26:W26" si="0">SUMPRODUCT(D13:D24,$B13:$B24)</f>
        <v>426080</v>
      </c>
      <c r="E26" s="514">
        <f t="shared" si="0"/>
        <v>369410</v>
      </c>
      <c r="F26" s="514">
        <f t="shared" si="0"/>
        <v>371270</v>
      </c>
      <c r="G26" s="514">
        <f t="shared" si="0"/>
        <v>460630</v>
      </c>
      <c r="H26" s="514">
        <f t="shared" si="0"/>
        <v>454240</v>
      </c>
      <c r="I26" s="514">
        <f t="shared" si="0"/>
        <v>450030</v>
      </c>
      <c r="J26" s="514">
        <f t="shared" si="0"/>
        <v>454240</v>
      </c>
      <c r="K26" s="514">
        <f t="shared" si="0"/>
        <v>437560</v>
      </c>
      <c r="L26" s="514">
        <f t="shared" si="0"/>
        <v>0</v>
      </c>
      <c r="M26" s="514">
        <f t="shared" si="0"/>
        <v>0</v>
      </c>
      <c r="N26" s="514">
        <f t="shared" si="0"/>
        <v>0</v>
      </c>
      <c r="O26" s="514">
        <f t="shared" si="0"/>
        <v>0</v>
      </c>
      <c r="P26" s="514">
        <f t="shared" si="0"/>
        <v>0</v>
      </c>
      <c r="Q26" s="514">
        <f t="shared" si="0"/>
        <v>0</v>
      </c>
      <c r="R26" s="514">
        <f t="shared" si="0"/>
        <v>0</v>
      </c>
      <c r="S26" s="514">
        <f t="shared" si="0"/>
        <v>0</v>
      </c>
      <c r="T26" s="514">
        <f t="shared" si="0"/>
        <v>0</v>
      </c>
      <c r="U26" s="514">
        <f t="shared" si="0"/>
        <v>0</v>
      </c>
      <c r="V26" s="514">
        <f t="shared" si="0"/>
        <v>0</v>
      </c>
      <c r="W26" s="514">
        <f t="shared" si="0"/>
        <v>0</v>
      </c>
    </row>
    <row r="29" spans="1:24" x14ac:dyDescent="0.35">
      <c r="A29" s="35" t="s">
        <v>842</v>
      </c>
    </row>
    <row r="31" spans="1:24" ht="21.75" customHeight="1" x14ac:dyDescent="0.35">
      <c r="A31" s="232"/>
      <c r="B31" s="665" t="s">
        <v>440</v>
      </c>
      <c r="C31" s="665" t="s">
        <v>441</v>
      </c>
      <c r="D31" s="515" t="s">
        <v>109</v>
      </c>
      <c r="E31" s="662" t="s">
        <v>22</v>
      </c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4"/>
    </row>
    <row r="32" spans="1:24" ht="21.75" customHeight="1" x14ac:dyDescent="0.35">
      <c r="A32" s="498" t="s">
        <v>108</v>
      </c>
      <c r="B32" s="666"/>
      <c r="C32" s="666"/>
      <c r="D32" s="516" t="s">
        <v>344</v>
      </c>
      <c r="E32" s="261" t="s">
        <v>372</v>
      </c>
      <c r="F32" s="261" t="s">
        <v>372</v>
      </c>
      <c r="G32" s="261" t="s">
        <v>372</v>
      </c>
      <c r="H32" s="261" t="s">
        <v>372</v>
      </c>
      <c r="I32" s="261" t="s">
        <v>372</v>
      </c>
      <c r="J32" s="261" t="s">
        <v>372</v>
      </c>
      <c r="K32" s="261" t="s">
        <v>372</v>
      </c>
      <c r="L32" s="261" t="s">
        <v>372</v>
      </c>
      <c r="M32" s="261" t="s">
        <v>372</v>
      </c>
      <c r="N32" s="261" t="s">
        <v>372</v>
      </c>
      <c r="O32" s="261" t="s">
        <v>372</v>
      </c>
      <c r="P32" s="261" t="s">
        <v>372</v>
      </c>
      <c r="Q32" s="261" t="s">
        <v>372</v>
      </c>
      <c r="R32" s="261" t="s">
        <v>372</v>
      </c>
      <c r="S32" s="261" t="s">
        <v>372</v>
      </c>
      <c r="T32" s="261" t="s">
        <v>372</v>
      </c>
      <c r="U32" s="261" t="s">
        <v>372</v>
      </c>
      <c r="V32" s="261" t="s">
        <v>372</v>
      </c>
      <c r="W32" s="261" t="s">
        <v>372</v>
      </c>
      <c r="X32" s="261" t="s">
        <v>372</v>
      </c>
    </row>
    <row r="33" spans="1:24" ht="21.75" customHeight="1" x14ac:dyDescent="0.35">
      <c r="A33" s="231"/>
      <c r="B33" s="667"/>
      <c r="C33" s="667"/>
      <c r="D33" s="517" t="s">
        <v>345</v>
      </c>
      <c r="E33" s="235">
        <v>1</v>
      </c>
      <c r="F33" s="235">
        <v>2</v>
      </c>
      <c r="G33" s="235">
        <v>3</v>
      </c>
      <c r="H33" s="235">
        <v>4</v>
      </c>
      <c r="I33" s="235">
        <v>5</v>
      </c>
      <c r="J33" s="235">
        <v>6</v>
      </c>
      <c r="K33" s="235">
        <v>7</v>
      </c>
      <c r="L33" s="235">
        <v>8</v>
      </c>
      <c r="M33" s="235">
        <v>9</v>
      </c>
      <c r="N33" s="235">
        <v>10</v>
      </c>
      <c r="O33" s="235">
        <v>11</v>
      </c>
      <c r="P33" s="235">
        <v>12</v>
      </c>
      <c r="Q33" s="235">
        <v>13</v>
      </c>
      <c r="R33" s="235">
        <v>14</v>
      </c>
      <c r="S33" s="235">
        <v>15</v>
      </c>
      <c r="T33" s="235">
        <v>16</v>
      </c>
      <c r="U33" s="235">
        <v>17</v>
      </c>
      <c r="V33" s="235">
        <v>18</v>
      </c>
      <c r="W33" s="235">
        <v>19</v>
      </c>
      <c r="X33" s="235">
        <v>20</v>
      </c>
    </row>
    <row r="34" spans="1:24" x14ac:dyDescent="0.35">
      <c r="A34" s="518" t="str">
        <f>A13</f>
        <v>Bilhetagem Eletrônica (por veículo)</v>
      </c>
      <c r="B34" s="591">
        <v>0.1</v>
      </c>
      <c r="C34" s="520">
        <v>10</v>
      </c>
      <c r="D34" s="521">
        <f>IF((1-C34*B34)&lt;0,"ERRO",1-C34*B34)</f>
        <v>0</v>
      </c>
      <c r="E34" s="522">
        <f ca="1">IF($C34=0,0,(SUM(OFFSET(D13,,,,IF($C34&gt;=E$33,-E$33,-$C34)))+IF($C34&gt;=E$33,$C13,0))*$B34)*$B13</f>
        <v>450500.00000000006</v>
      </c>
      <c r="F34" s="523">
        <f t="shared" ref="F34:X34" ca="1" si="1">IF($C34=0,0,(SUM(OFFSET(E13,,,,IF($C34&gt;=F$33,-F$33,-$C34)))+IF($C34&gt;=F$33,$C13,0))*$B34)*$B13</f>
        <v>450500.00000000006</v>
      </c>
      <c r="G34" s="522">
        <f t="shared" ca="1" si="1"/>
        <v>450500.00000000006</v>
      </c>
      <c r="H34" s="522">
        <f t="shared" ca="1" si="1"/>
        <v>450500.00000000006</v>
      </c>
      <c r="I34" s="522">
        <f t="shared" ca="1" si="1"/>
        <v>450500.00000000006</v>
      </c>
      <c r="J34" s="522">
        <f t="shared" ca="1" si="1"/>
        <v>450500.00000000006</v>
      </c>
      <c r="K34" s="522">
        <f t="shared" ca="1" si="1"/>
        <v>450500.00000000006</v>
      </c>
      <c r="L34" s="522">
        <f t="shared" ca="1" si="1"/>
        <v>450500.00000000006</v>
      </c>
      <c r="M34" s="522">
        <f t="shared" ca="1" si="1"/>
        <v>450500.00000000006</v>
      </c>
      <c r="N34" s="522">
        <f t="shared" ca="1" si="1"/>
        <v>450500.00000000006</v>
      </c>
      <c r="O34" s="522">
        <f t="shared" ca="1" si="1"/>
        <v>0</v>
      </c>
      <c r="P34" s="522">
        <f t="shared" ca="1" si="1"/>
        <v>0</v>
      </c>
      <c r="Q34" s="522">
        <f t="shared" ca="1" si="1"/>
        <v>0</v>
      </c>
      <c r="R34" s="522">
        <f t="shared" ca="1" si="1"/>
        <v>0</v>
      </c>
      <c r="S34" s="522">
        <f t="shared" ca="1" si="1"/>
        <v>0</v>
      </c>
      <c r="T34" s="522">
        <f t="shared" ca="1" si="1"/>
        <v>0</v>
      </c>
      <c r="U34" s="522">
        <f t="shared" ca="1" si="1"/>
        <v>0</v>
      </c>
      <c r="V34" s="522">
        <f t="shared" ca="1" si="1"/>
        <v>0</v>
      </c>
      <c r="W34" s="522">
        <f t="shared" ca="1" si="1"/>
        <v>0</v>
      </c>
      <c r="X34" s="522">
        <f t="shared" ca="1" si="1"/>
        <v>0</v>
      </c>
    </row>
    <row r="35" spans="1:24" x14ac:dyDescent="0.35">
      <c r="A35" s="518" t="str">
        <f t="shared" ref="A35:A44" si="2">A14</f>
        <v>Monitoramento de Veículo (por veículo)</v>
      </c>
      <c r="B35" s="591">
        <v>0.1</v>
      </c>
      <c r="C35" s="520">
        <v>10</v>
      </c>
      <c r="D35" s="521">
        <f t="shared" ref="D35:D44" si="3">IF((1-C35*B35)&lt;0,"ERRO",1-C35*B35)</f>
        <v>0</v>
      </c>
      <c r="E35" s="524">
        <f t="shared" ref="E35:X35" ca="1" si="4">IF($C35=0,0,(SUM(OFFSET(D14,,,,IF($C35&gt;=E$33,-E$33,-$C35)))+IF($C35&gt;=E$33,$C14,0))*$B35)*$B14</f>
        <v>180200.00000000003</v>
      </c>
      <c r="F35" s="524">
        <f t="shared" ca="1" si="4"/>
        <v>180200.00000000003</v>
      </c>
      <c r="G35" s="524">
        <f t="shared" ca="1" si="4"/>
        <v>180200.00000000003</v>
      </c>
      <c r="H35" s="524">
        <f t="shared" ca="1" si="4"/>
        <v>180200.00000000003</v>
      </c>
      <c r="I35" s="524">
        <f t="shared" ca="1" si="4"/>
        <v>180200.00000000003</v>
      </c>
      <c r="J35" s="524">
        <f t="shared" ca="1" si="4"/>
        <v>180200.00000000003</v>
      </c>
      <c r="K35" s="524">
        <f t="shared" ca="1" si="4"/>
        <v>180200.00000000003</v>
      </c>
      <c r="L35" s="524">
        <f t="shared" ca="1" si="4"/>
        <v>180200.00000000003</v>
      </c>
      <c r="M35" s="524">
        <f t="shared" ca="1" si="4"/>
        <v>180200.00000000003</v>
      </c>
      <c r="N35" s="524">
        <f t="shared" ca="1" si="4"/>
        <v>180200.00000000003</v>
      </c>
      <c r="O35" s="524">
        <f t="shared" ca="1" si="4"/>
        <v>0</v>
      </c>
      <c r="P35" s="524">
        <f t="shared" ca="1" si="4"/>
        <v>0</v>
      </c>
      <c r="Q35" s="524">
        <f t="shared" ca="1" si="4"/>
        <v>0</v>
      </c>
      <c r="R35" s="524">
        <f t="shared" ca="1" si="4"/>
        <v>0</v>
      </c>
      <c r="S35" s="524">
        <f t="shared" ca="1" si="4"/>
        <v>0</v>
      </c>
      <c r="T35" s="524">
        <f t="shared" ca="1" si="4"/>
        <v>0</v>
      </c>
      <c r="U35" s="524">
        <f t="shared" ca="1" si="4"/>
        <v>0</v>
      </c>
      <c r="V35" s="524">
        <f t="shared" ca="1" si="4"/>
        <v>0</v>
      </c>
      <c r="W35" s="524">
        <f t="shared" ca="1" si="4"/>
        <v>0</v>
      </c>
      <c r="X35" s="524">
        <f t="shared" ca="1" si="4"/>
        <v>0</v>
      </c>
    </row>
    <row r="36" spans="1:24" x14ac:dyDescent="0.35">
      <c r="A36" s="518" t="str">
        <f t="shared" si="2"/>
        <v>Equipamento de Contagem (Veíc. Básico)</v>
      </c>
      <c r="B36" s="591">
        <v>0.1</v>
      </c>
      <c r="C36" s="520">
        <v>10</v>
      </c>
      <c r="D36" s="521">
        <f t="shared" si="3"/>
        <v>0</v>
      </c>
      <c r="E36" s="524">
        <f t="shared" ref="E36:X36" ca="1" si="5">IF($C36=0,0,(SUM(OFFSET(D15,,,,IF($C36&gt;=E$33,-E$33,-$C36)))+IF($C36&gt;=E$33,$C15,0))*$B36)*$B15</f>
        <v>5850</v>
      </c>
      <c r="F36" s="524">
        <f t="shared" ca="1" si="5"/>
        <v>8775</v>
      </c>
      <c r="G36" s="524">
        <f t="shared" ca="1" si="5"/>
        <v>11700</v>
      </c>
      <c r="H36" s="524">
        <f t="shared" ca="1" si="5"/>
        <v>14625</v>
      </c>
      <c r="I36" s="524">
        <f t="shared" ca="1" si="5"/>
        <v>17550</v>
      </c>
      <c r="J36" s="524">
        <f t="shared" ca="1" si="5"/>
        <v>20475.000000000004</v>
      </c>
      <c r="K36" s="524">
        <f t="shared" ca="1" si="5"/>
        <v>23400</v>
      </c>
      <c r="L36" s="524">
        <f t="shared" ca="1" si="5"/>
        <v>26000</v>
      </c>
      <c r="M36" s="524">
        <f t="shared" ca="1" si="5"/>
        <v>26000</v>
      </c>
      <c r="N36" s="524">
        <f t="shared" ca="1" si="5"/>
        <v>26000</v>
      </c>
      <c r="O36" s="524">
        <f t="shared" ca="1" si="5"/>
        <v>20150</v>
      </c>
      <c r="P36" s="524">
        <f t="shared" ca="1" si="5"/>
        <v>17225.000000000004</v>
      </c>
      <c r="Q36" s="524">
        <f t="shared" ca="1" si="5"/>
        <v>14300.000000000002</v>
      </c>
      <c r="R36" s="524">
        <f t="shared" ca="1" si="5"/>
        <v>11375</v>
      </c>
      <c r="S36" s="524">
        <f t="shared" ca="1" si="5"/>
        <v>8450</v>
      </c>
      <c r="T36" s="524">
        <f t="shared" ca="1" si="5"/>
        <v>5525.0000000000009</v>
      </c>
      <c r="U36" s="524">
        <f t="shared" ca="1" si="5"/>
        <v>2600</v>
      </c>
      <c r="V36" s="524">
        <f t="shared" ca="1" si="5"/>
        <v>0</v>
      </c>
      <c r="W36" s="524">
        <f t="shared" ca="1" si="5"/>
        <v>0</v>
      </c>
      <c r="X36" s="524">
        <f t="shared" ca="1" si="5"/>
        <v>0</v>
      </c>
    </row>
    <row r="37" spans="1:24" x14ac:dyDescent="0.35">
      <c r="A37" s="518" t="str">
        <f t="shared" si="2"/>
        <v>Equipamento de Contagem (Veíc. Padron)</v>
      </c>
      <c r="B37" s="591">
        <v>0.1</v>
      </c>
      <c r="C37" s="520">
        <v>10</v>
      </c>
      <c r="D37" s="521">
        <f t="shared" si="3"/>
        <v>0</v>
      </c>
      <c r="E37" s="524">
        <f t="shared" ref="E37:X37" ca="1" si="6">IF($C37=0,0,(SUM(OFFSET(D16,,,,IF($C37&gt;=E$33,-E$33,-$C37)))+IF($C37&gt;=E$33,$C16,0))*$B37)*$B16</f>
        <v>62304.000000000007</v>
      </c>
      <c r="F37" s="524">
        <f t="shared" ca="1" si="6"/>
        <v>92984.000000000015</v>
      </c>
      <c r="G37" s="524">
        <f t="shared" ca="1" si="6"/>
        <v>123664.00000000001</v>
      </c>
      <c r="H37" s="524">
        <f t="shared" ca="1" si="6"/>
        <v>154816.00000000003</v>
      </c>
      <c r="I37" s="524">
        <f t="shared" ca="1" si="6"/>
        <v>185496.00000000003</v>
      </c>
      <c r="J37" s="524">
        <f t="shared" ca="1" si="6"/>
        <v>216176.00000000003</v>
      </c>
      <c r="K37" s="524">
        <f t="shared" ca="1" si="6"/>
        <v>246856.00000000003</v>
      </c>
      <c r="L37" s="524">
        <f t="shared" ca="1" si="6"/>
        <v>277536</v>
      </c>
      <c r="M37" s="524">
        <f t="shared" ca="1" si="6"/>
        <v>277536</v>
      </c>
      <c r="N37" s="524">
        <f t="shared" ca="1" si="6"/>
        <v>277536</v>
      </c>
      <c r="O37" s="524">
        <f t="shared" ca="1" si="6"/>
        <v>215232</v>
      </c>
      <c r="P37" s="524">
        <f t="shared" ca="1" si="6"/>
        <v>184552</v>
      </c>
      <c r="Q37" s="524">
        <f t="shared" ca="1" si="6"/>
        <v>153872</v>
      </c>
      <c r="R37" s="524">
        <f t="shared" ca="1" si="6"/>
        <v>122720</v>
      </c>
      <c r="S37" s="524">
        <f t="shared" ca="1" si="6"/>
        <v>92040</v>
      </c>
      <c r="T37" s="524">
        <f t="shared" ca="1" si="6"/>
        <v>61360</v>
      </c>
      <c r="U37" s="524">
        <f t="shared" ca="1" si="6"/>
        <v>30680</v>
      </c>
      <c r="V37" s="524">
        <f t="shared" ca="1" si="6"/>
        <v>0</v>
      </c>
      <c r="W37" s="524">
        <f t="shared" ca="1" si="6"/>
        <v>0</v>
      </c>
      <c r="X37" s="524">
        <f t="shared" ca="1" si="6"/>
        <v>0</v>
      </c>
    </row>
    <row r="38" spans="1:24" x14ac:dyDescent="0.35">
      <c r="A38" s="518" t="str">
        <f>A17</f>
        <v>Equipamento de Contagem (Veíc. Articulado)</v>
      </c>
      <c r="B38" s="591">
        <v>0.1</v>
      </c>
      <c r="C38" s="520">
        <v>10</v>
      </c>
      <c r="D38" s="521">
        <f t="shared" si="3"/>
        <v>0</v>
      </c>
      <c r="E38" s="524">
        <f t="shared" ref="E38:X38" ca="1" si="7">IF($C38=0,0,(SUM(OFFSET(D17,,,,IF($C38&gt;=E$33,-E$33,-$C38)))+IF($C38&gt;=E$33,$C17,0))*$B38)*$B17</f>
        <v>0</v>
      </c>
      <c r="F38" s="524">
        <f t="shared" ca="1" si="7"/>
        <v>0</v>
      </c>
      <c r="G38" s="524">
        <f t="shared" ca="1" si="7"/>
        <v>0</v>
      </c>
      <c r="H38" s="524">
        <f t="shared" ca="1" si="7"/>
        <v>9815</v>
      </c>
      <c r="I38" s="524">
        <f t="shared" ca="1" si="7"/>
        <v>19630</v>
      </c>
      <c r="J38" s="524">
        <f t="shared" ca="1" si="7"/>
        <v>28690.000000000004</v>
      </c>
      <c r="K38" s="524">
        <f t="shared" ca="1" si="7"/>
        <v>38505.000000000007</v>
      </c>
      <c r="L38" s="524">
        <f t="shared" ca="1" si="7"/>
        <v>46810</v>
      </c>
      <c r="M38" s="524">
        <f t="shared" ca="1" si="7"/>
        <v>46810</v>
      </c>
      <c r="N38" s="524">
        <f t="shared" ca="1" si="7"/>
        <v>46810</v>
      </c>
      <c r="O38" s="524">
        <f t="shared" ca="1" si="7"/>
        <v>46810</v>
      </c>
      <c r="P38" s="524">
        <f t="shared" ca="1" si="7"/>
        <v>46810</v>
      </c>
      <c r="Q38" s="524">
        <f t="shared" ca="1" si="7"/>
        <v>46810</v>
      </c>
      <c r="R38" s="524">
        <f t="shared" ca="1" si="7"/>
        <v>36995</v>
      </c>
      <c r="S38" s="524">
        <f t="shared" ca="1" si="7"/>
        <v>27180</v>
      </c>
      <c r="T38" s="524">
        <f t="shared" ca="1" si="7"/>
        <v>18120.000000000004</v>
      </c>
      <c r="U38" s="524">
        <f t="shared" ca="1" si="7"/>
        <v>8305</v>
      </c>
      <c r="V38" s="524">
        <f t="shared" ca="1" si="7"/>
        <v>0</v>
      </c>
      <c r="W38" s="524">
        <f t="shared" ca="1" si="7"/>
        <v>0</v>
      </c>
      <c r="X38" s="524">
        <f t="shared" ca="1" si="7"/>
        <v>0</v>
      </c>
    </row>
    <row r="39" spans="1:24" x14ac:dyDescent="0.35">
      <c r="A39" s="518" t="str">
        <f>A18</f>
        <v>Equipamento de Contagem (Veíc. Micro Ônibus)</v>
      </c>
      <c r="B39" s="591">
        <v>0.1</v>
      </c>
      <c r="C39" s="520">
        <v>10</v>
      </c>
      <c r="D39" s="521">
        <f t="shared" si="3"/>
        <v>0</v>
      </c>
      <c r="E39" s="524">
        <f t="shared" ref="E39:X39" ca="1" si="8">IF($C39=0,0,(SUM(OFFSET(D18,,,,IF($C39&gt;=E$33,-E$33,-$C39)))+IF($C39&gt;=E$33,$C18,0))*$B39)*$B18</f>
        <v>4509</v>
      </c>
      <c r="F39" s="524">
        <f t="shared" ca="1" si="8"/>
        <v>6513.0000000000009</v>
      </c>
      <c r="G39" s="524">
        <f t="shared" ca="1" si="8"/>
        <v>8851.0000000000018</v>
      </c>
      <c r="H39" s="524">
        <f t="shared" ca="1" si="8"/>
        <v>11022</v>
      </c>
      <c r="I39" s="524">
        <f t="shared" ca="1" si="8"/>
        <v>13026.000000000002</v>
      </c>
      <c r="J39" s="524">
        <f t="shared" ca="1" si="8"/>
        <v>15364.000000000002</v>
      </c>
      <c r="K39" s="524">
        <f t="shared" ca="1" si="8"/>
        <v>17368</v>
      </c>
      <c r="L39" s="524">
        <f t="shared" ca="1" si="8"/>
        <v>19539</v>
      </c>
      <c r="M39" s="524">
        <f t="shared" ca="1" si="8"/>
        <v>19539</v>
      </c>
      <c r="N39" s="524">
        <f t="shared" ca="1" si="8"/>
        <v>19539</v>
      </c>
      <c r="O39" s="524">
        <f t="shared" ca="1" si="8"/>
        <v>15030</v>
      </c>
      <c r="P39" s="524">
        <f t="shared" ca="1" si="8"/>
        <v>13026.000000000002</v>
      </c>
      <c r="Q39" s="524">
        <f t="shared" ca="1" si="8"/>
        <v>10688</v>
      </c>
      <c r="R39" s="524">
        <f t="shared" ca="1" si="8"/>
        <v>8517</v>
      </c>
      <c r="S39" s="524">
        <f t="shared" ca="1" si="8"/>
        <v>6513.0000000000009</v>
      </c>
      <c r="T39" s="524">
        <f t="shared" ca="1" si="8"/>
        <v>4175</v>
      </c>
      <c r="U39" s="524">
        <f t="shared" ca="1" si="8"/>
        <v>2171</v>
      </c>
      <c r="V39" s="524">
        <f t="shared" ca="1" si="8"/>
        <v>0</v>
      </c>
      <c r="W39" s="524">
        <f t="shared" ca="1" si="8"/>
        <v>0</v>
      </c>
      <c r="X39" s="524">
        <f t="shared" ca="1" si="8"/>
        <v>0</v>
      </c>
    </row>
    <row r="40" spans="1:24" x14ac:dyDescent="0.35">
      <c r="A40" s="518" t="str">
        <f>A19</f>
        <v>Equipamento de Contagem (Veíc. Híbrido)</v>
      </c>
      <c r="B40" s="591">
        <v>0.1</v>
      </c>
      <c r="C40" s="520">
        <v>10</v>
      </c>
      <c r="D40" s="521">
        <f t="shared" si="3"/>
        <v>0</v>
      </c>
      <c r="E40" s="524">
        <f t="shared" ref="E40:X40" ca="1" si="9">IF($C40=0,0,(SUM(OFFSET(D19,,,,IF($C40&gt;=E$33,-E$33,-$C40)))+IF($C40&gt;=E$33,$C19,0))*$B40)*$B19</f>
        <v>5500</v>
      </c>
      <c r="F40" s="524">
        <f t="shared" ca="1" si="9"/>
        <v>5500</v>
      </c>
      <c r="G40" s="524">
        <f t="shared" ca="1" si="9"/>
        <v>5500</v>
      </c>
      <c r="H40" s="524">
        <f t="shared" ca="1" si="9"/>
        <v>5500</v>
      </c>
      <c r="I40" s="524">
        <f t="shared" ca="1" si="9"/>
        <v>5500</v>
      </c>
      <c r="J40" s="524">
        <f t="shared" ca="1" si="9"/>
        <v>5500</v>
      </c>
      <c r="K40" s="524">
        <f t="shared" ca="1" si="9"/>
        <v>5500</v>
      </c>
      <c r="L40" s="524">
        <f t="shared" ca="1" si="9"/>
        <v>5500</v>
      </c>
      <c r="M40" s="524">
        <f t="shared" ca="1" si="9"/>
        <v>5500</v>
      </c>
      <c r="N40" s="524">
        <f t="shared" ca="1" si="9"/>
        <v>5500</v>
      </c>
      <c r="O40" s="524">
        <f t="shared" ca="1" si="9"/>
        <v>0</v>
      </c>
      <c r="P40" s="524">
        <f t="shared" ca="1" si="9"/>
        <v>0</v>
      </c>
      <c r="Q40" s="524">
        <f t="shared" ca="1" si="9"/>
        <v>0</v>
      </c>
      <c r="R40" s="524">
        <f t="shared" ca="1" si="9"/>
        <v>0</v>
      </c>
      <c r="S40" s="524">
        <f t="shared" ca="1" si="9"/>
        <v>0</v>
      </c>
      <c r="T40" s="524">
        <f t="shared" ca="1" si="9"/>
        <v>0</v>
      </c>
      <c r="U40" s="524">
        <f t="shared" ca="1" si="9"/>
        <v>0</v>
      </c>
      <c r="V40" s="524">
        <f t="shared" ca="1" si="9"/>
        <v>0</v>
      </c>
      <c r="W40" s="524">
        <f t="shared" ca="1" si="9"/>
        <v>0</v>
      </c>
      <c r="X40" s="524">
        <f t="shared" ca="1" si="9"/>
        <v>0</v>
      </c>
    </row>
    <row r="41" spans="1:24" x14ac:dyDescent="0.35">
      <c r="A41" s="518" t="str">
        <f>A20</f>
        <v>Equipamento de Contagem (Veíc. Van)</v>
      </c>
      <c r="B41" s="591">
        <v>0.1</v>
      </c>
      <c r="C41" s="520">
        <v>10</v>
      </c>
      <c r="D41" s="521">
        <f t="shared" si="3"/>
        <v>0</v>
      </c>
      <c r="E41" s="524">
        <f t="shared" ref="E41:X41" ca="1" si="10">IF($C41=0,0,(SUM(OFFSET(D20,,,,IF($C41&gt;=E$33,-E$33,-$C41)))+IF($C41&gt;=E$33,$C20,0))*$B41)*$B20</f>
        <v>2664</v>
      </c>
      <c r="F41" s="524">
        <f t="shared" ca="1" si="10"/>
        <v>3996.0000000000005</v>
      </c>
      <c r="G41" s="524">
        <f t="shared" ca="1" si="10"/>
        <v>5180</v>
      </c>
      <c r="H41" s="524">
        <f t="shared" ca="1" si="10"/>
        <v>5180</v>
      </c>
      <c r="I41" s="524">
        <f t="shared" ca="1" si="10"/>
        <v>5180</v>
      </c>
      <c r="J41" s="524">
        <f t="shared" ca="1" si="10"/>
        <v>5180</v>
      </c>
      <c r="K41" s="524">
        <f t="shared" ca="1" si="10"/>
        <v>5180</v>
      </c>
      <c r="L41" s="524">
        <f t="shared" ca="1" si="10"/>
        <v>5180</v>
      </c>
      <c r="M41" s="524">
        <f t="shared" ca="1" si="10"/>
        <v>5180</v>
      </c>
      <c r="N41" s="524">
        <f t="shared" ca="1" si="10"/>
        <v>5180</v>
      </c>
      <c r="O41" s="524">
        <f t="shared" ca="1" si="10"/>
        <v>2516.0000000000005</v>
      </c>
      <c r="P41" s="524">
        <f t="shared" ca="1" si="10"/>
        <v>1184</v>
      </c>
      <c r="Q41" s="524">
        <f t="shared" ca="1" si="10"/>
        <v>0</v>
      </c>
      <c r="R41" s="524">
        <f t="shared" ca="1" si="10"/>
        <v>0</v>
      </c>
      <c r="S41" s="524">
        <f t="shared" ca="1" si="10"/>
        <v>0</v>
      </c>
      <c r="T41" s="524">
        <f t="shared" ca="1" si="10"/>
        <v>0</v>
      </c>
      <c r="U41" s="524">
        <f t="shared" ca="1" si="10"/>
        <v>0</v>
      </c>
      <c r="V41" s="524">
        <f t="shared" ca="1" si="10"/>
        <v>0</v>
      </c>
      <c r="W41" s="524">
        <f t="shared" ca="1" si="10"/>
        <v>0</v>
      </c>
      <c r="X41" s="524">
        <f t="shared" ca="1" si="10"/>
        <v>0</v>
      </c>
    </row>
    <row r="42" spans="1:24" x14ac:dyDescent="0.35">
      <c r="A42" s="518">
        <f t="shared" si="2"/>
        <v>0</v>
      </c>
      <c r="B42" s="519"/>
      <c r="C42" s="520"/>
      <c r="D42" s="521">
        <f t="shared" si="3"/>
        <v>1</v>
      </c>
      <c r="E42" s="524">
        <f t="shared" ref="E42:X42" ca="1" si="11">IF($C42=0,0,(SUM(OFFSET(D21,,,,IF($C42&gt;=E$33,-E$33,-$C42)))+IF($C42&gt;=E$33,$C21,0))*$B42)*$B21</f>
        <v>0</v>
      </c>
      <c r="F42" s="524">
        <f t="shared" ca="1" si="11"/>
        <v>0</v>
      </c>
      <c r="G42" s="524">
        <f t="shared" ca="1" si="11"/>
        <v>0</v>
      </c>
      <c r="H42" s="524">
        <f t="shared" ca="1" si="11"/>
        <v>0</v>
      </c>
      <c r="I42" s="524">
        <f t="shared" ca="1" si="11"/>
        <v>0</v>
      </c>
      <c r="J42" s="524">
        <f t="shared" ca="1" si="11"/>
        <v>0</v>
      </c>
      <c r="K42" s="524">
        <f t="shared" ca="1" si="11"/>
        <v>0</v>
      </c>
      <c r="L42" s="524">
        <f t="shared" ca="1" si="11"/>
        <v>0</v>
      </c>
      <c r="M42" s="524">
        <f t="shared" ca="1" si="11"/>
        <v>0</v>
      </c>
      <c r="N42" s="524">
        <f t="shared" ca="1" si="11"/>
        <v>0</v>
      </c>
      <c r="O42" s="524">
        <f t="shared" ca="1" si="11"/>
        <v>0</v>
      </c>
      <c r="P42" s="524">
        <f t="shared" ca="1" si="11"/>
        <v>0</v>
      </c>
      <c r="Q42" s="524">
        <f t="shared" ca="1" si="11"/>
        <v>0</v>
      </c>
      <c r="R42" s="524">
        <f t="shared" ca="1" si="11"/>
        <v>0</v>
      </c>
      <c r="S42" s="524">
        <f t="shared" ca="1" si="11"/>
        <v>0</v>
      </c>
      <c r="T42" s="524">
        <f t="shared" ca="1" si="11"/>
        <v>0</v>
      </c>
      <c r="U42" s="524">
        <f t="shared" ca="1" si="11"/>
        <v>0</v>
      </c>
      <c r="V42" s="524">
        <f t="shared" ca="1" si="11"/>
        <v>0</v>
      </c>
      <c r="W42" s="524">
        <f t="shared" ca="1" si="11"/>
        <v>0</v>
      </c>
      <c r="X42" s="524">
        <f t="shared" ca="1" si="11"/>
        <v>0</v>
      </c>
    </row>
    <row r="43" spans="1:24" x14ac:dyDescent="0.35">
      <c r="A43" s="518">
        <f t="shared" si="2"/>
        <v>0</v>
      </c>
      <c r="B43" s="519"/>
      <c r="C43" s="520"/>
      <c r="D43" s="521">
        <f t="shared" si="3"/>
        <v>1</v>
      </c>
      <c r="E43" s="524">
        <f t="shared" ref="E43:X43" ca="1" si="12">IF($C43=0,0,(SUM(OFFSET(D22,,,,IF($C43&gt;=E$33,-E$33,-$C43)))+IF($C43&gt;=E$33,$C22,0))*$B43)*$B22</f>
        <v>0</v>
      </c>
      <c r="F43" s="524">
        <f t="shared" ca="1" si="12"/>
        <v>0</v>
      </c>
      <c r="G43" s="524">
        <f t="shared" ca="1" si="12"/>
        <v>0</v>
      </c>
      <c r="H43" s="524">
        <f t="shared" ca="1" si="12"/>
        <v>0</v>
      </c>
      <c r="I43" s="524">
        <f t="shared" ca="1" si="12"/>
        <v>0</v>
      </c>
      <c r="J43" s="524">
        <f t="shared" ca="1" si="12"/>
        <v>0</v>
      </c>
      <c r="K43" s="524">
        <f t="shared" ca="1" si="12"/>
        <v>0</v>
      </c>
      <c r="L43" s="524">
        <f t="shared" ca="1" si="12"/>
        <v>0</v>
      </c>
      <c r="M43" s="524">
        <f t="shared" ca="1" si="12"/>
        <v>0</v>
      </c>
      <c r="N43" s="524">
        <f t="shared" ca="1" si="12"/>
        <v>0</v>
      </c>
      <c r="O43" s="524">
        <f t="shared" ca="1" si="12"/>
        <v>0</v>
      </c>
      <c r="P43" s="524">
        <f t="shared" ca="1" si="12"/>
        <v>0</v>
      </c>
      <c r="Q43" s="524">
        <f t="shared" ca="1" si="12"/>
        <v>0</v>
      </c>
      <c r="R43" s="524">
        <f t="shared" ca="1" si="12"/>
        <v>0</v>
      </c>
      <c r="S43" s="524">
        <f t="shared" ca="1" si="12"/>
        <v>0</v>
      </c>
      <c r="T43" s="524">
        <f t="shared" ca="1" si="12"/>
        <v>0</v>
      </c>
      <c r="U43" s="524">
        <f t="shared" ca="1" si="12"/>
        <v>0</v>
      </c>
      <c r="V43" s="524">
        <f t="shared" ca="1" si="12"/>
        <v>0</v>
      </c>
      <c r="W43" s="524">
        <f t="shared" ca="1" si="12"/>
        <v>0</v>
      </c>
      <c r="X43" s="524">
        <f t="shared" ca="1" si="12"/>
        <v>0</v>
      </c>
    </row>
    <row r="44" spans="1:24" x14ac:dyDescent="0.35">
      <c r="A44" s="518">
        <f t="shared" si="2"/>
        <v>0</v>
      </c>
      <c r="B44" s="519"/>
      <c r="C44" s="520"/>
      <c r="D44" s="521">
        <f t="shared" si="3"/>
        <v>1</v>
      </c>
      <c r="E44" s="524">
        <f t="shared" ref="E44:X44" ca="1" si="13">IF($C44=0,0,(SUM(OFFSET(D23,,,,IF($C44&gt;=E$33,-E$33,-$C44)))+IF($C44&gt;=E$33,$C23,0))*$B44)*$B23</f>
        <v>0</v>
      </c>
      <c r="F44" s="524">
        <f t="shared" ca="1" si="13"/>
        <v>0</v>
      </c>
      <c r="G44" s="524">
        <f t="shared" ca="1" si="13"/>
        <v>0</v>
      </c>
      <c r="H44" s="524">
        <f t="shared" ca="1" si="13"/>
        <v>0</v>
      </c>
      <c r="I44" s="524">
        <f t="shared" ca="1" si="13"/>
        <v>0</v>
      </c>
      <c r="J44" s="524">
        <f t="shared" ca="1" si="13"/>
        <v>0</v>
      </c>
      <c r="K44" s="524">
        <f t="shared" ca="1" si="13"/>
        <v>0</v>
      </c>
      <c r="L44" s="524">
        <f t="shared" ca="1" si="13"/>
        <v>0</v>
      </c>
      <c r="M44" s="524">
        <f t="shared" ca="1" si="13"/>
        <v>0</v>
      </c>
      <c r="N44" s="524">
        <f t="shared" ca="1" si="13"/>
        <v>0</v>
      </c>
      <c r="O44" s="524">
        <f t="shared" ca="1" si="13"/>
        <v>0</v>
      </c>
      <c r="P44" s="524">
        <f t="shared" ca="1" si="13"/>
        <v>0</v>
      </c>
      <c r="Q44" s="524">
        <f t="shared" ca="1" si="13"/>
        <v>0</v>
      </c>
      <c r="R44" s="524">
        <f t="shared" ca="1" si="13"/>
        <v>0</v>
      </c>
      <c r="S44" s="524">
        <f t="shared" ca="1" si="13"/>
        <v>0</v>
      </c>
      <c r="T44" s="524">
        <f t="shared" ca="1" si="13"/>
        <v>0</v>
      </c>
      <c r="U44" s="524">
        <f t="shared" ca="1" si="13"/>
        <v>0</v>
      </c>
      <c r="V44" s="524">
        <f t="shared" ca="1" si="13"/>
        <v>0</v>
      </c>
      <c r="W44" s="524">
        <f t="shared" ca="1" si="13"/>
        <v>0</v>
      </c>
      <c r="X44" s="524">
        <f t="shared" ca="1" si="13"/>
        <v>0</v>
      </c>
    </row>
    <row r="45" spans="1:24" x14ac:dyDescent="0.35">
      <c r="A45" s="525" t="s">
        <v>59</v>
      </c>
      <c r="B45" s="526"/>
      <c r="C45" s="527"/>
      <c r="D45" s="527"/>
      <c r="E45" s="528">
        <f t="shared" ref="E45:X45" ca="1" si="14">SUM(E34:E44)</f>
        <v>711527.00000000012</v>
      </c>
      <c r="F45" s="528">
        <f t="shared" ca="1" si="14"/>
        <v>748468.00000000012</v>
      </c>
      <c r="G45" s="528">
        <f t="shared" ca="1" si="14"/>
        <v>785595.00000000012</v>
      </c>
      <c r="H45" s="528">
        <f t="shared" ca="1" si="14"/>
        <v>831658.00000000012</v>
      </c>
      <c r="I45" s="528">
        <f t="shared" ca="1" si="14"/>
        <v>877082.00000000012</v>
      </c>
      <c r="J45" s="528">
        <f t="shared" ca="1" si="14"/>
        <v>922085.00000000012</v>
      </c>
      <c r="K45" s="528">
        <f t="shared" ca="1" si="14"/>
        <v>967509.00000000012</v>
      </c>
      <c r="L45" s="528">
        <f t="shared" ca="1" si="14"/>
        <v>1011265.0000000001</v>
      </c>
      <c r="M45" s="528">
        <f t="shared" ca="1" si="14"/>
        <v>1011265.0000000001</v>
      </c>
      <c r="N45" s="528">
        <f t="shared" ca="1" si="14"/>
        <v>1011265.0000000001</v>
      </c>
      <c r="O45" s="528">
        <f t="shared" ca="1" si="14"/>
        <v>299738</v>
      </c>
      <c r="P45" s="528">
        <f t="shared" ca="1" si="14"/>
        <v>262797</v>
      </c>
      <c r="Q45" s="528">
        <f t="shared" ca="1" si="14"/>
        <v>225670</v>
      </c>
      <c r="R45" s="528">
        <f t="shared" ca="1" si="14"/>
        <v>179607</v>
      </c>
      <c r="S45" s="528">
        <f t="shared" ca="1" si="14"/>
        <v>134183</v>
      </c>
      <c r="T45" s="528">
        <f t="shared" ca="1" si="14"/>
        <v>89180</v>
      </c>
      <c r="U45" s="528">
        <f t="shared" ca="1" si="14"/>
        <v>43756</v>
      </c>
      <c r="V45" s="528">
        <f t="shared" ca="1" si="14"/>
        <v>0</v>
      </c>
      <c r="W45" s="528">
        <f t="shared" ca="1" si="14"/>
        <v>0</v>
      </c>
      <c r="X45" s="528">
        <f t="shared" ca="1" si="14"/>
        <v>0</v>
      </c>
    </row>
    <row r="47" spans="1:24" x14ac:dyDescent="0.35">
      <c r="A47" s="490" t="s">
        <v>447</v>
      </c>
    </row>
  </sheetData>
  <sheetProtection objects="1"/>
  <mergeCells count="4">
    <mergeCell ref="C10:W10"/>
    <mergeCell ref="B31:B33"/>
    <mergeCell ref="C31:C33"/>
    <mergeCell ref="E31:X31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61" fitToWidth="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27">
    <pageSetUpPr fitToPage="1"/>
  </sheetPr>
  <dimension ref="A1:J27"/>
  <sheetViews>
    <sheetView showGridLines="0" showZeros="0" defaultGridColor="0" view="pageBreakPreview" colorId="22" zoomScale="70" zoomScaleNormal="87" workbookViewId="0">
      <selection activeCell="F16" sqref="F16"/>
    </sheetView>
  </sheetViews>
  <sheetFormatPr defaultColWidth="12.54296875" defaultRowHeight="15.5" x14ac:dyDescent="0.35"/>
  <cols>
    <col min="1" max="1" width="26.7265625" style="495" customWidth="1"/>
    <col min="2" max="2" width="12.54296875" style="495"/>
    <col min="3" max="6" width="19" style="495" customWidth="1"/>
    <col min="7" max="9" width="16.453125" style="495" customWidth="1"/>
    <col min="10" max="16384" width="12.54296875" style="495"/>
  </cols>
  <sheetData>
    <row r="1" spans="1:10" x14ac:dyDescent="0.35">
      <c r="A1" s="494" t="str">
        <f>TECNOLOGIAS!A1</f>
        <v>Proponente: TransPolitécnica</v>
      </c>
    </row>
    <row r="2" spans="1:10" x14ac:dyDescent="0.35">
      <c r="A2" s="494" t="str">
        <f>TECNOLOGIAS!A2</f>
        <v>Área de Concessão: 5 (Cinco)</v>
      </c>
    </row>
    <row r="4" spans="1:10" ht="18" x14ac:dyDescent="0.4">
      <c r="A4" s="32" t="s">
        <v>110</v>
      </c>
      <c r="B4" s="77"/>
      <c r="C4" s="77"/>
      <c r="D4" s="77"/>
      <c r="E4" s="77"/>
      <c r="F4" s="77"/>
      <c r="G4" s="77"/>
      <c r="H4" s="77"/>
      <c r="I4" s="77"/>
    </row>
    <row r="5" spans="1:10" x14ac:dyDescent="0.35">
      <c r="A5" s="82"/>
      <c r="B5" s="77"/>
      <c r="C5" s="77"/>
      <c r="D5" s="77"/>
      <c r="E5" s="77"/>
      <c r="F5" s="77"/>
      <c r="G5" s="77"/>
      <c r="H5" s="77"/>
      <c r="I5" s="77"/>
    </row>
    <row r="6" spans="1:10" x14ac:dyDescent="0.35">
      <c r="A6" s="35" t="s">
        <v>111</v>
      </c>
      <c r="B6" s="77"/>
      <c r="C6" s="77"/>
      <c r="D6" s="77"/>
      <c r="E6" s="77"/>
      <c r="F6" s="77"/>
      <c r="G6" s="77"/>
      <c r="H6" s="77"/>
      <c r="I6" s="77"/>
    </row>
    <row r="7" spans="1:10" x14ac:dyDescent="0.35">
      <c r="A7" s="82"/>
      <c r="B7" s="77"/>
      <c r="C7" s="77"/>
      <c r="D7" s="77"/>
      <c r="E7" s="77"/>
      <c r="F7" s="77"/>
      <c r="G7" s="77"/>
      <c r="H7" s="77"/>
      <c r="I7" s="77"/>
    </row>
    <row r="8" spans="1:10" x14ac:dyDescent="0.35">
      <c r="A8" s="82" t="s">
        <v>317</v>
      </c>
      <c r="B8" s="77"/>
      <c r="C8" s="77"/>
      <c r="D8" s="77"/>
      <c r="E8" s="77"/>
      <c r="F8" s="77"/>
      <c r="G8" s="77"/>
      <c r="H8" s="77"/>
      <c r="I8" s="77"/>
    </row>
    <row r="9" spans="1:10" ht="16" thickBot="1" x14ac:dyDescent="0.4">
      <c r="A9" s="82"/>
      <c r="B9" s="77"/>
      <c r="C9" s="77"/>
      <c r="D9" s="77"/>
      <c r="E9" s="77"/>
      <c r="F9" s="77"/>
      <c r="G9" s="77"/>
      <c r="H9" s="77"/>
      <c r="I9" s="77"/>
    </row>
    <row r="10" spans="1:10" ht="16" thickBot="1" x14ac:dyDescent="0.4">
      <c r="A10" s="78" t="s">
        <v>21</v>
      </c>
      <c r="B10" s="83" t="s">
        <v>112</v>
      </c>
      <c r="C10" s="84" t="s">
        <v>113</v>
      </c>
      <c r="D10" s="108"/>
      <c r="E10" s="85"/>
      <c r="F10" s="85"/>
      <c r="G10" s="85"/>
      <c r="H10" s="85"/>
      <c r="I10" s="86"/>
      <c r="J10" s="86"/>
    </row>
    <row r="11" spans="1:10" ht="16" thickBot="1" x14ac:dyDescent="0.4">
      <c r="A11" s="87"/>
      <c r="B11" s="88" t="s">
        <v>114</v>
      </c>
      <c r="C11" s="27" t="str">
        <f>TECNOLOGIAS!$A$7</f>
        <v>Micro Ônibus</v>
      </c>
      <c r="D11" s="27" t="str">
        <f>TECNOLOGIAS!$A$8</f>
        <v>Básico</v>
      </c>
      <c r="E11" s="27" t="str">
        <f>TECNOLOGIAS!$A$9</f>
        <v>Padron</v>
      </c>
      <c r="F11" s="27" t="str">
        <f>TECNOLOGIAS!$A$10</f>
        <v>Articulados</v>
      </c>
      <c r="G11" s="81" t="str">
        <f>TECNOLOGIAS!$A$11</f>
        <v>Híbrido Piso Baixo</v>
      </c>
      <c r="H11" s="81" t="str">
        <f>TECNOLOGIAS!$A$12</f>
        <v>Van Atende</v>
      </c>
      <c r="I11" s="81" t="str">
        <f>TECNOLOGIAS!$A$13</f>
        <v>TIPO 7</v>
      </c>
      <c r="J11" s="81" t="str">
        <f>TECNOLOGIAS!$A$14</f>
        <v>TIPO 8</v>
      </c>
    </row>
    <row r="12" spans="1:10" x14ac:dyDescent="0.35">
      <c r="A12" s="89" t="s">
        <v>66</v>
      </c>
      <c r="B12" s="90" t="s">
        <v>115</v>
      </c>
      <c r="C12" s="364">
        <v>0.24660000000000001</v>
      </c>
      <c r="D12" s="364">
        <v>0.38150000000000001</v>
      </c>
      <c r="E12" s="364">
        <v>0.4551</v>
      </c>
      <c r="F12" s="364">
        <v>0.71120000000000005</v>
      </c>
      <c r="G12" s="364">
        <v>0.42</v>
      </c>
      <c r="H12" s="364">
        <v>0.12</v>
      </c>
      <c r="I12" s="364"/>
      <c r="J12" s="364"/>
    </row>
    <row r="13" spans="1:10" x14ac:dyDescent="0.35">
      <c r="A13" s="89" t="s">
        <v>99</v>
      </c>
      <c r="B13" s="109" t="s">
        <v>142</v>
      </c>
      <c r="C13" s="364"/>
      <c r="D13" s="364"/>
      <c r="E13" s="364"/>
      <c r="F13" s="364"/>
      <c r="G13" s="364"/>
      <c r="H13" s="364"/>
      <c r="I13" s="364"/>
      <c r="J13" s="364"/>
    </row>
    <row r="14" spans="1:10" x14ac:dyDescent="0.35">
      <c r="A14" s="89" t="s">
        <v>116</v>
      </c>
      <c r="B14" s="90" t="s">
        <v>117</v>
      </c>
      <c r="C14" s="364"/>
      <c r="D14" s="364"/>
      <c r="E14" s="364"/>
      <c r="F14" s="364"/>
      <c r="G14" s="364"/>
      <c r="H14" s="364"/>
      <c r="I14" s="364"/>
      <c r="J14" s="364"/>
    </row>
    <row r="15" spans="1:10" x14ac:dyDescent="0.35">
      <c r="A15" s="89" t="s">
        <v>70</v>
      </c>
      <c r="B15" s="92" t="s">
        <v>118</v>
      </c>
      <c r="C15" s="364">
        <v>3.617E-3</v>
      </c>
      <c r="D15" s="364">
        <v>3.1020000000000002E-3</v>
      </c>
      <c r="E15" s="364">
        <v>3.1020000000000002E-3</v>
      </c>
      <c r="F15" s="364">
        <v>9.7820000000000008E-3</v>
      </c>
      <c r="G15" s="364">
        <v>3.1020000000000002E-3</v>
      </c>
      <c r="H15" s="364">
        <v>1.683E-3</v>
      </c>
      <c r="I15" s="364"/>
      <c r="J15" s="364"/>
    </row>
    <row r="16" spans="1:10" x14ac:dyDescent="0.35">
      <c r="A16" s="89" t="s">
        <v>71</v>
      </c>
      <c r="B16" s="92" t="s">
        <v>118</v>
      </c>
      <c r="C16" s="364">
        <v>1.7479999999999999E-4</v>
      </c>
      <c r="D16" s="364">
        <v>3.6999999999999999E-4</v>
      </c>
      <c r="E16" s="364">
        <v>3.6999999999999999E-4</v>
      </c>
      <c r="F16" s="364">
        <v>4.7100000000000001E-4</v>
      </c>
      <c r="G16" s="364">
        <v>3.6999999999999999E-4</v>
      </c>
      <c r="H16" s="364">
        <v>6.7000000000000002E-5</v>
      </c>
      <c r="I16" s="364"/>
      <c r="J16" s="364"/>
    </row>
    <row r="17" spans="1:10" x14ac:dyDescent="0.35">
      <c r="A17" s="89" t="s">
        <v>72</v>
      </c>
      <c r="B17" s="92" t="s">
        <v>118</v>
      </c>
      <c r="C17" s="364">
        <v>1.5320000000000001E-4</v>
      </c>
      <c r="D17" s="364">
        <v>2.81E-4</v>
      </c>
      <c r="E17" s="364">
        <v>2.81E-4</v>
      </c>
      <c r="F17" s="364">
        <v>9.6699999999999998E-4</v>
      </c>
      <c r="G17" s="364">
        <v>2.81E-4</v>
      </c>
      <c r="H17" s="364">
        <v>6.9999999999999994E-5</v>
      </c>
      <c r="I17" s="364"/>
      <c r="J17" s="364"/>
    </row>
    <row r="18" spans="1:10" x14ac:dyDescent="0.35">
      <c r="A18" s="89" t="s">
        <v>73</v>
      </c>
      <c r="B18" s="92" t="s">
        <v>118</v>
      </c>
      <c r="C18" s="364"/>
      <c r="D18" s="364"/>
      <c r="E18" s="364">
        <v>0</v>
      </c>
      <c r="F18" s="364"/>
      <c r="G18" s="364">
        <v>0</v>
      </c>
      <c r="H18" s="364"/>
      <c r="I18" s="364"/>
      <c r="J18" s="364"/>
    </row>
    <row r="19" spans="1:10" x14ac:dyDescent="0.35">
      <c r="A19" s="89" t="s">
        <v>100</v>
      </c>
      <c r="B19" s="92" t="s">
        <v>118</v>
      </c>
      <c r="C19" s="364"/>
      <c r="D19" s="364"/>
      <c r="E19" s="364">
        <v>0</v>
      </c>
      <c r="F19" s="364"/>
      <c r="G19" s="364">
        <v>0</v>
      </c>
      <c r="H19" s="364"/>
      <c r="I19" s="364"/>
      <c r="J19" s="364"/>
    </row>
    <row r="20" spans="1:10" x14ac:dyDescent="0.35">
      <c r="A20" s="89" t="s">
        <v>74</v>
      </c>
      <c r="B20" s="92" t="s">
        <v>118</v>
      </c>
      <c r="C20" s="364"/>
      <c r="D20" s="364">
        <v>4.0000000000000003E-5</v>
      </c>
      <c r="E20" s="364">
        <v>4.0000000000000003E-5</v>
      </c>
      <c r="F20" s="364"/>
      <c r="G20" s="364">
        <v>4.0000000000000003E-5</v>
      </c>
      <c r="H20" s="364">
        <v>9.0000000000000002E-6</v>
      </c>
      <c r="I20" s="364"/>
      <c r="J20" s="364"/>
    </row>
    <row r="21" spans="1:10" x14ac:dyDescent="0.35">
      <c r="A21" s="89" t="s">
        <v>75</v>
      </c>
      <c r="B21" s="92" t="s">
        <v>119</v>
      </c>
      <c r="C21" s="364">
        <v>2.0000000000000001E-4</v>
      </c>
      <c r="D21" s="364">
        <v>1.47E-4</v>
      </c>
      <c r="E21" s="364">
        <v>1.47E-4</v>
      </c>
      <c r="F21" s="364">
        <v>4.4999999999999999E-4</v>
      </c>
      <c r="G21" s="364">
        <v>1.47E-4</v>
      </c>
      <c r="H21" s="364">
        <v>4.5000000000000003E-5</v>
      </c>
      <c r="I21" s="364"/>
      <c r="J21" s="364"/>
    </row>
    <row r="22" spans="1:10" x14ac:dyDescent="0.35">
      <c r="A22" s="89" t="s">
        <v>77</v>
      </c>
      <c r="B22" s="92" t="s">
        <v>120</v>
      </c>
      <c r="C22" s="364"/>
      <c r="D22" s="364"/>
      <c r="E22" s="364">
        <f>D22</f>
        <v>0</v>
      </c>
      <c r="F22" s="364"/>
      <c r="G22" s="364"/>
      <c r="H22" s="364"/>
      <c r="I22" s="364"/>
      <c r="J22" s="364"/>
    </row>
    <row r="23" spans="1:10" x14ac:dyDescent="0.35">
      <c r="A23" s="89">
        <f>+'8'!A33</f>
        <v>0</v>
      </c>
      <c r="B23" s="92"/>
      <c r="C23" s="364"/>
      <c r="D23" s="364"/>
      <c r="E23" s="364"/>
      <c r="F23" s="364"/>
      <c r="G23" s="364"/>
      <c r="H23" s="364"/>
      <c r="I23" s="91"/>
      <c r="J23" s="91"/>
    </row>
    <row r="24" spans="1:10" x14ac:dyDescent="0.35">
      <c r="A24" s="89">
        <f>+'8'!A34</f>
        <v>0</v>
      </c>
      <c r="B24" s="92"/>
      <c r="C24" s="91"/>
      <c r="D24" s="91"/>
      <c r="E24" s="91"/>
      <c r="F24" s="91"/>
      <c r="G24" s="91"/>
      <c r="H24" s="91"/>
      <c r="I24" s="91"/>
      <c r="J24" s="91"/>
    </row>
    <row r="25" spans="1:10" x14ac:dyDescent="0.35">
      <c r="A25" s="89">
        <f>+'8'!A35</f>
        <v>0</v>
      </c>
      <c r="B25" s="92"/>
      <c r="C25" s="91"/>
      <c r="D25" s="91"/>
      <c r="E25" s="91"/>
      <c r="F25" s="91"/>
      <c r="G25" s="91"/>
      <c r="H25" s="91"/>
      <c r="I25" s="91"/>
      <c r="J25" s="91"/>
    </row>
    <row r="27" spans="1:10" x14ac:dyDescent="0.35">
      <c r="A27" s="490" t="s">
        <v>447</v>
      </c>
      <c r="B27" s="77"/>
      <c r="C27" s="77"/>
      <c r="D27" s="77"/>
      <c r="E27" s="77"/>
      <c r="F27" s="77"/>
      <c r="G27" s="77"/>
      <c r="H27" s="77"/>
      <c r="I27" s="77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28">
    <pageSetUpPr fitToPage="1"/>
  </sheetPr>
  <dimension ref="A1:I30"/>
  <sheetViews>
    <sheetView showGridLines="0" showZeros="0" defaultGridColor="0" view="pageBreakPreview" colorId="22" zoomScale="60" zoomScaleNormal="87" workbookViewId="0">
      <selection activeCell="D17" sqref="D17"/>
    </sheetView>
  </sheetViews>
  <sheetFormatPr defaultColWidth="12.54296875" defaultRowHeight="15.5" x14ac:dyDescent="0.35"/>
  <cols>
    <col min="1" max="1" width="13.81640625" style="34" customWidth="1"/>
    <col min="2" max="5" width="19.453125" style="34" customWidth="1"/>
    <col min="6" max="8" width="16.453125" style="34" customWidth="1"/>
    <col min="9" max="16384" width="12.54296875" style="34"/>
  </cols>
  <sheetData>
    <row r="1" spans="1:9" x14ac:dyDescent="0.35">
      <c r="A1" s="370" t="str">
        <f>TECNOLOGIAS!A1</f>
        <v>Proponente: TransPolitécnica</v>
      </c>
    </row>
    <row r="2" spans="1:9" x14ac:dyDescent="0.35">
      <c r="A2" s="370" t="str">
        <f>TECNOLOGIAS!A2</f>
        <v>Área de Concessão: 5 (Cinco)</v>
      </c>
    </row>
    <row r="4" spans="1:9" ht="18" x14ac:dyDescent="0.4">
      <c r="A4" s="32" t="s">
        <v>121</v>
      </c>
      <c r="B4" s="77"/>
      <c r="C4" s="77"/>
      <c r="D4" s="77"/>
      <c r="E4" s="77"/>
      <c r="F4" s="77"/>
      <c r="G4" s="77"/>
      <c r="H4" s="77"/>
    </row>
    <row r="6" spans="1:9" x14ac:dyDescent="0.35">
      <c r="A6" s="35" t="s">
        <v>319</v>
      </c>
      <c r="B6" s="77"/>
      <c r="C6" s="77"/>
      <c r="D6" s="77"/>
      <c r="E6" s="77"/>
      <c r="F6" s="77"/>
      <c r="G6" s="77"/>
      <c r="H6" s="77"/>
    </row>
    <row r="7" spans="1:9" ht="16" thickBot="1" x14ac:dyDescent="0.4">
      <c r="A7" s="77"/>
      <c r="B7" s="77"/>
      <c r="C7" s="77"/>
      <c r="D7" s="77"/>
      <c r="E7" s="77"/>
      <c r="F7" s="77"/>
      <c r="G7" s="77"/>
      <c r="H7" s="77"/>
    </row>
    <row r="8" spans="1:9" ht="16" thickBot="1" x14ac:dyDescent="0.4">
      <c r="A8" s="95" t="s">
        <v>122</v>
      </c>
      <c r="B8" s="96" t="s">
        <v>123</v>
      </c>
      <c r="C8" s="96"/>
      <c r="D8" s="97"/>
      <c r="E8" s="97"/>
      <c r="F8" s="97"/>
      <c r="G8" s="97"/>
      <c r="H8" s="98"/>
      <c r="I8" s="98"/>
    </row>
    <row r="9" spans="1:9" ht="16" thickBot="1" x14ac:dyDescent="0.4">
      <c r="A9" s="99" t="s">
        <v>39</v>
      </c>
      <c r="B9" s="27" t="str">
        <f>TECNOLOGIAS!$A$7</f>
        <v>Micro Ônibus</v>
      </c>
      <c r="C9" s="27" t="str">
        <f>TECNOLOGIAS!$A$8</f>
        <v>Básico</v>
      </c>
      <c r="D9" s="27" t="str">
        <f>TECNOLOGIAS!$A$9</f>
        <v>Padron</v>
      </c>
      <c r="E9" s="27" t="str">
        <f>TECNOLOGIAS!$A$10</f>
        <v>Articulados</v>
      </c>
      <c r="F9" s="81" t="str">
        <f>TECNOLOGIAS!$A$11</f>
        <v>Híbrido Piso Baixo</v>
      </c>
      <c r="G9" s="81" t="str">
        <f>TECNOLOGIAS!$A$12</f>
        <v>Van Atende</v>
      </c>
      <c r="H9" s="81" t="str">
        <f>TECNOLOGIAS!$A$13</f>
        <v>TIPO 7</v>
      </c>
      <c r="I9" s="81" t="str">
        <f>TECNOLOGIAS!$A$14</f>
        <v>TIPO 8</v>
      </c>
    </row>
    <row r="10" spans="1:9" x14ac:dyDescent="0.35">
      <c r="A10" s="28" t="s">
        <v>41</v>
      </c>
      <c r="B10" s="605">
        <v>9.1999999999999998E-2</v>
      </c>
      <c r="C10" s="605">
        <v>9.1999999999999998E-2</v>
      </c>
      <c r="D10" s="605">
        <v>9.1999999999999998E-2</v>
      </c>
      <c r="E10" s="605">
        <v>9.1999999999999998E-2</v>
      </c>
      <c r="F10" s="605">
        <v>9.1999999999999998E-2</v>
      </c>
      <c r="G10" s="605">
        <v>9.1999999999999998E-2</v>
      </c>
      <c r="H10" s="44"/>
      <c r="I10" s="44"/>
    </row>
    <row r="11" spans="1:9" x14ac:dyDescent="0.35">
      <c r="A11" s="51" t="s">
        <v>42</v>
      </c>
      <c r="B11" s="605">
        <v>9.1999999999999998E-2</v>
      </c>
      <c r="C11" s="605">
        <v>9.1999999999999998E-2</v>
      </c>
      <c r="D11" s="605">
        <v>9.1999999999999998E-2</v>
      </c>
      <c r="E11" s="605">
        <v>9.1999999999999998E-2</v>
      </c>
      <c r="F11" s="605">
        <v>9.1999999999999998E-2</v>
      </c>
      <c r="G11" s="605">
        <v>9.1999999999999998E-2</v>
      </c>
      <c r="H11" s="44"/>
      <c r="I11" s="44"/>
    </row>
    <row r="12" spans="1:9" x14ac:dyDescent="0.35">
      <c r="A12" s="51" t="s">
        <v>43</v>
      </c>
      <c r="B12" s="605">
        <v>9.1999999999999998E-2</v>
      </c>
      <c r="C12" s="605">
        <v>9.1999999999999998E-2</v>
      </c>
      <c r="D12" s="605">
        <v>9.1999999999999998E-2</v>
      </c>
      <c r="E12" s="605">
        <v>9.1999999999999998E-2</v>
      </c>
      <c r="F12" s="605">
        <v>9.1999999999999998E-2</v>
      </c>
      <c r="G12" s="605">
        <v>9.1999999999999998E-2</v>
      </c>
      <c r="H12" s="44"/>
      <c r="I12" s="44"/>
    </row>
    <row r="13" spans="1:9" x14ac:dyDescent="0.35">
      <c r="A13" s="51" t="s">
        <v>44</v>
      </c>
      <c r="B13" s="605">
        <v>9.1999999999999998E-2</v>
      </c>
      <c r="C13" s="605">
        <v>9.1999999999999998E-2</v>
      </c>
      <c r="D13" s="605">
        <v>9.1999999999999998E-2</v>
      </c>
      <c r="E13" s="605">
        <v>9.1999999999999998E-2</v>
      </c>
      <c r="F13" s="605">
        <v>9.1999999999999998E-2</v>
      </c>
      <c r="G13" s="605">
        <v>9.1999999999999998E-2</v>
      </c>
      <c r="H13" s="44"/>
      <c r="I13" s="44"/>
    </row>
    <row r="14" spans="1:9" x14ac:dyDescent="0.35">
      <c r="A14" s="51" t="s">
        <v>45</v>
      </c>
      <c r="B14" s="605">
        <v>9.1999999999999998E-2</v>
      </c>
      <c r="C14" s="605">
        <v>9.1999999999999998E-2</v>
      </c>
      <c r="D14" s="605">
        <v>9.1999999999999998E-2</v>
      </c>
      <c r="E14" s="605">
        <v>9.1999999999999998E-2</v>
      </c>
      <c r="F14" s="605">
        <v>9.1999999999999998E-2</v>
      </c>
      <c r="G14" s="605">
        <v>9.1999999999999998E-2</v>
      </c>
      <c r="H14" s="44"/>
      <c r="I14" s="44"/>
    </row>
    <row r="15" spans="1:9" x14ac:dyDescent="0.35">
      <c r="A15" s="51" t="s">
        <v>46</v>
      </c>
      <c r="B15" s="605">
        <v>9.1999999999999998E-2</v>
      </c>
      <c r="C15" s="605">
        <v>9.1999999999999998E-2</v>
      </c>
      <c r="D15" s="605">
        <v>9.1999999999999998E-2</v>
      </c>
      <c r="E15" s="605">
        <v>9.1999999999999998E-2</v>
      </c>
      <c r="F15" s="605">
        <v>9.1999999999999998E-2</v>
      </c>
      <c r="G15" s="605">
        <v>9.1999999999999998E-2</v>
      </c>
      <c r="H15" s="44"/>
      <c r="I15" s="44"/>
    </row>
    <row r="16" spans="1:9" x14ac:dyDescent="0.35">
      <c r="A16" s="51" t="s">
        <v>47</v>
      </c>
      <c r="B16" s="605">
        <v>9.1999999999999998E-2</v>
      </c>
      <c r="C16" s="605">
        <v>9.1999999999999998E-2</v>
      </c>
      <c r="D16" s="605">
        <v>9.1999999999999998E-2</v>
      </c>
      <c r="E16" s="605">
        <v>9.1999999999999998E-2</v>
      </c>
      <c r="F16" s="605">
        <v>9.1999999999999998E-2</v>
      </c>
      <c r="G16" s="605">
        <v>9.1999999999999998E-2</v>
      </c>
      <c r="H16" s="44"/>
      <c r="I16" s="44"/>
    </row>
    <row r="17" spans="1:9" x14ac:dyDescent="0.35">
      <c r="A17" s="51" t="s">
        <v>48</v>
      </c>
      <c r="B17" s="605">
        <v>9.1999999999999998E-2</v>
      </c>
      <c r="C17" s="605">
        <v>9.1999999999999998E-2</v>
      </c>
      <c r="D17" s="605">
        <v>9.1999999999999998E-2</v>
      </c>
      <c r="E17" s="605">
        <v>9.1999999999999998E-2</v>
      </c>
      <c r="F17" s="605">
        <v>9.1999999999999998E-2</v>
      </c>
      <c r="G17" s="605">
        <v>9.1999999999999998E-2</v>
      </c>
      <c r="H17" s="44"/>
      <c r="I17" s="44"/>
    </row>
    <row r="18" spans="1:9" x14ac:dyDescent="0.35">
      <c r="A18" s="51" t="s">
        <v>49</v>
      </c>
      <c r="B18" s="605">
        <v>9.1999999999999998E-2</v>
      </c>
      <c r="C18" s="605">
        <v>9.1999999999999998E-2</v>
      </c>
      <c r="D18" s="605">
        <v>9.1999999999999998E-2</v>
      </c>
      <c r="E18" s="605">
        <v>9.1999999999999998E-2</v>
      </c>
      <c r="F18" s="605">
        <v>9.1999999999999998E-2</v>
      </c>
      <c r="G18" s="605">
        <v>9.1999999999999998E-2</v>
      </c>
      <c r="H18" s="44"/>
      <c r="I18" s="44"/>
    </row>
    <row r="19" spans="1:9" x14ac:dyDescent="0.35">
      <c r="A19" s="51" t="s">
        <v>50</v>
      </c>
      <c r="B19" s="605">
        <v>9.1999999999999998E-2</v>
      </c>
      <c r="C19" s="605">
        <v>9.1999999999999998E-2</v>
      </c>
      <c r="D19" s="605">
        <v>9.1999999999999998E-2</v>
      </c>
      <c r="E19" s="605">
        <v>9.1999999999999998E-2</v>
      </c>
      <c r="F19" s="605">
        <v>9.1999999999999998E-2</v>
      </c>
      <c r="G19" s="605">
        <v>9.1999999999999998E-2</v>
      </c>
      <c r="H19" s="44"/>
      <c r="I19" s="44"/>
    </row>
    <row r="20" spans="1:9" x14ac:dyDescent="0.35">
      <c r="A20" s="51" t="s">
        <v>51</v>
      </c>
      <c r="B20" s="605">
        <v>9.1999999999999998E-2</v>
      </c>
      <c r="C20" s="605">
        <v>9.1999999999999998E-2</v>
      </c>
      <c r="D20" s="605">
        <v>9.1999999999999998E-2</v>
      </c>
      <c r="E20" s="605">
        <v>9.1999999999999998E-2</v>
      </c>
      <c r="F20" s="605">
        <v>9.1999999999999998E-2</v>
      </c>
      <c r="G20" s="605">
        <v>9.1999999999999998E-2</v>
      </c>
      <c r="H20" s="44"/>
      <c r="I20" s="44"/>
    </row>
    <row r="21" spans="1:9" s="318" customFormat="1" x14ac:dyDescent="0.35">
      <c r="A21" s="362"/>
      <c r="B21" s="312"/>
      <c r="C21" s="312"/>
      <c r="D21" s="312"/>
      <c r="E21" s="312"/>
      <c r="F21" s="312"/>
      <c r="G21" s="312"/>
      <c r="H21" s="312"/>
      <c r="I21" s="312"/>
    </row>
    <row r="22" spans="1:9" s="318" customFormat="1" x14ac:dyDescent="0.35">
      <c r="A22" t="s">
        <v>447</v>
      </c>
      <c r="B22" s="312"/>
      <c r="C22" s="312"/>
      <c r="D22" s="312"/>
      <c r="E22" s="312"/>
      <c r="F22" s="312"/>
      <c r="G22" s="312"/>
      <c r="H22" s="312"/>
      <c r="I22" s="312"/>
    </row>
    <row r="23" spans="1:9" s="318" customFormat="1" x14ac:dyDescent="0.35">
      <c r="A23" s="362"/>
      <c r="B23" s="312"/>
      <c r="C23" s="312"/>
      <c r="D23" s="312"/>
      <c r="E23" s="312"/>
      <c r="F23" s="312"/>
      <c r="G23" s="312"/>
      <c r="H23" s="312"/>
      <c r="I23" s="312"/>
    </row>
    <row r="24" spans="1:9" s="318" customFormat="1" x14ac:dyDescent="0.35">
      <c r="A24" s="362"/>
      <c r="B24" s="312"/>
      <c r="C24" s="312"/>
      <c r="D24" s="312"/>
      <c r="E24" s="312"/>
      <c r="F24" s="312"/>
      <c r="G24" s="312"/>
      <c r="H24" s="312"/>
      <c r="I24" s="312"/>
    </row>
    <row r="25" spans="1:9" s="318" customFormat="1" x14ac:dyDescent="0.35">
      <c r="A25" s="362"/>
      <c r="B25" s="312"/>
      <c r="C25" s="312"/>
      <c r="D25" s="312"/>
      <c r="E25" s="312"/>
      <c r="F25" s="312"/>
      <c r="G25" s="312"/>
      <c r="H25" s="312"/>
      <c r="I25" s="312"/>
    </row>
    <row r="26" spans="1:9" s="318" customFormat="1" x14ac:dyDescent="0.35">
      <c r="A26" s="362"/>
      <c r="B26" s="312"/>
      <c r="C26" s="312"/>
      <c r="D26" s="312"/>
      <c r="E26" s="312"/>
      <c r="F26" s="312"/>
      <c r="G26" s="312"/>
      <c r="H26" s="312"/>
      <c r="I26" s="312"/>
    </row>
    <row r="27" spans="1:9" s="318" customFormat="1" x14ac:dyDescent="0.35">
      <c r="A27" s="362"/>
      <c r="B27" s="312"/>
      <c r="C27" s="312"/>
      <c r="D27" s="312"/>
      <c r="E27" s="312"/>
      <c r="F27" s="312"/>
      <c r="G27" s="312"/>
      <c r="H27" s="312"/>
      <c r="I27" s="312"/>
    </row>
    <row r="28" spans="1:9" s="318" customFormat="1" x14ac:dyDescent="0.35">
      <c r="A28" s="362"/>
      <c r="B28" s="312"/>
      <c r="C28" s="312"/>
      <c r="D28" s="312"/>
      <c r="E28" s="312"/>
      <c r="F28" s="312"/>
      <c r="G28" s="312"/>
      <c r="H28" s="312"/>
      <c r="I28" s="312"/>
    </row>
    <row r="29" spans="1:9" s="318" customFormat="1" x14ac:dyDescent="0.35">
      <c r="A29" s="362"/>
      <c r="B29" s="312"/>
      <c r="C29" s="312"/>
      <c r="D29" s="312"/>
      <c r="E29" s="312"/>
      <c r="F29" s="312"/>
      <c r="G29" s="312"/>
      <c r="H29" s="312"/>
      <c r="I29" s="312"/>
    </row>
    <row r="30" spans="1:9" s="318" customFormat="1" x14ac:dyDescent="0.35">
      <c r="A30" s="362"/>
      <c r="B30" s="312"/>
      <c r="C30" s="312"/>
      <c r="D30" s="312"/>
      <c r="E30" s="312"/>
      <c r="F30" s="312"/>
      <c r="G30" s="312"/>
      <c r="H30" s="312"/>
      <c r="I30" s="312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29">
    <pageSetUpPr fitToPage="1"/>
  </sheetPr>
  <dimension ref="A1:I26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0" style="34" customWidth="1"/>
    <col min="2" max="2" width="18.453125" style="34" customWidth="1"/>
    <col min="3" max="3" width="16.1796875" style="34" customWidth="1"/>
    <col min="4" max="5" width="18.453125" style="34" customWidth="1"/>
    <col min="6" max="7" width="16.453125" style="34" customWidth="1"/>
    <col min="8" max="8" width="13.26953125" style="34" customWidth="1"/>
    <col min="9" max="16384" width="12.54296875" style="34"/>
  </cols>
  <sheetData>
    <row r="1" spans="1:9" x14ac:dyDescent="0.35">
      <c r="A1" s="370" t="str">
        <f>TECNOLOGIAS!A1</f>
        <v>Proponente: TransPolitécnica</v>
      </c>
    </row>
    <row r="2" spans="1:9" x14ac:dyDescent="0.35">
      <c r="A2" s="370" t="str">
        <f>TECNOLOGIAS!A2</f>
        <v>Área de Concessão: 5 (Cinco)</v>
      </c>
    </row>
    <row r="4" spans="1:9" ht="18" x14ac:dyDescent="0.4">
      <c r="A4" s="32" t="s">
        <v>124</v>
      </c>
      <c r="B4" s="33"/>
      <c r="C4" s="33"/>
      <c r="D4" s="33"/>
      <c r="E4" s="33"/>
      <c r="F4" s="33"/>
      <c r="G4" s="33"/>
      <c r="H4" s="33"/>
    </row>
    <row r="5" spans="1:9" x14ac:dyDescent="0.35">
      <c r="A5" s="33"/>
      <c r="B5" s="33"/>
      <c r="C5" s="33"/>
      <c r="D5" s="33"/>
      <c r="E5" s="33"/>
      <c r="F5" s="33"/>
      <c r="G5" s="33"/>
      <c r="H5" s="33"/>
    </row>
    <row r="6" spans="1:9" x14ac:dyDescent="0.35">
      <c r="A6" s="35" t="s">
        <v>125</v>
      </c>
      <c r="B6" s="33"/>
      <c r="C6" s="33"/>
      <c r="D6" s="33"/>
      <c r="E6" s="33"/>
      <c r="F6" s="33"/>
      <c r="G6" s="33"/>
      <c r="H6" s="33"/>
    </row>
    <row r="7" spans="1:9" ht="16" thickBot="1" x14ac:dyDescent="0.4">
      <c r="A7" s="33"/>
      <c r="B7" s="33"/>
      <c r="C7" s="33"/>
      <c r="D7" s="33"/>
      <c r="E7" s="33"/>
      <c r="F7" s="33"/>
      <c r="G7" s="33"/>
      <c r="H7" s="33"/>
    </row>
    <row r="8" spans="1:9" ht="16" thickBot="1" x14ac:dyDescent="0.4">
      <c r="A8" s="78" t="s">
        <v>21</v>
      </c>
      <c r="B8" s="84" t="s">
        <v>126</v>
      </c>
      <c r="C8" s="108"/>
      <c r="D8" s="85"/>
      <c r="E8" s="85"/>
      <c r="F8" s="97"/>
      <c r="G8" s="85"/>
      <c r="H8" s="86"/>
      <c r="I8" s="86"/>
    </row>
    <row r="9" spans="1:9" ht="16" thickBot="1" x14ac:dyDescent="0.4">
      <c r="A9" s="41"/>
      <c r="B9" s="27" t="str">
        <f>TECNOLOGIAS!$A$7</f>
        <v>Micro Ônibus</v>
      </c>
      <c r="C9" s="27" t="str">
        <f>TECNOLOGIAS!$A$8</f>
        <v>Básico</v>
      </c>
      <c r="D9" s="27" t="str">
        <f>TECNOLOGIAS!$A$9</f>
        <v>Padron</v>
      </c>
      <c r="E9" s="305" t="str">
        <f>TECNOLOGIAS!$A$10</f>
        <v>Articulados</v>
      </c>
      <c r="F9" s="307" t="str">
        <f>TECNOLOGIAS!$A$11</f>
        <v>Híbrido Piso Baixo</v>
      </c>
      <c r="G9" s="306" t="str">
        <f>TECNOLOGIAS!$A$12</f>
        <v>Van Atende</v>
      </c>
      <c r="H9" s="81" t="str">
        <f>TECNOLOGIAS!$A$13</f>
        <v>TIPO 7</v>
      </c>
      <c r="I9" s="81" t="str">
        <f>TECNOLOGIAS!$A$14</f>
        <v>TIPO 8</v>
      </c>
    </row>
    <row r="10" spans="1:9" x14ac:dyDescent="0.35">
      <c r="A10" s="93" t="s">
        <v>127</v>
      </c>
      <c r="B10" s="100"/>
      <c r="C10" s="100"/>
      <c r="D10" s="100"/>
      <c r="E10" s="100"/>
      <c r="F10" s="100"/>
      <c r="G10" s="100"/>
      <c r="H10" s="100"/>
      <c r="I10" s="100"/>
    </row>
    <row r="11" spans="1:9" x14ac:dyDescent="0.35">
      <c r="A11" s="101" t="s">
        <v>128</v>
      </c>
      <c r="B11" s="578">
        <v>120000</v>
      </c>
      <c r="C11" s="578">
        <v>140000</v>
      </c>
      <c r="D11" s="578">
        <v>140000</v>
      </c>
      <c r="E11" s="578">
        <v>140000</v>
      </c>
      <c r="F11" s="578">
        <v>140000</v>
      </c>
      <c r="G11" s="578">
        <v>40000</v>
      </c>
      <c r="H11" s="567"/>
      <c r="I11" s="567"/>
    </row>
    <row r="12" spans="1:9" x14ac:dyDescent="0.35">
      <c r="A12" s="101" t="s">
        <v>129</v>
      </c>
      <c r="B12" s="578">
        <v>120000</v>
      </c>
      <c r="C12" s="578">
        <v>140000</v>
      </c>
      <c r="D12" s="578">
        <v>140000</v>
      </c>
      <c r="E12" s="578">
        <v>140000</v>
      </c>
      <c r="F12" s="578">
        <v>140000</v>
      </c>
      <c r="G12" s="578"/>
      <c r="H12" s="567"/>
      <c r="I12" s="567"/>
    </row>
    <row r="13" spans="1:9" x14ac:dyDescent="0.35">
      <c r="A13" s="101" t="s">
        <v>86</v>
      </c>
      <c r="B13" s="578">
        <v>120000</v>
      </c>
      <c r="C13" s="578">
        <v>140000</v>
      </c>
      <c r="D13" s="578">
        <v>140000</v>
      </c>
      <c r="E13" s="578">
        <v>140000</v>
      </c>
      <c r="F13" s="578">
        <v>140000</v>
      </c>
      <c r="G13" s="578"/>
      <c r="H13" s="567"/>
      <c r="I13" s="567"/>
    </row>
    <row r="14" spans="1:9" x14ac:dyDescent="0.35">
      <c r="A14" s="93" t="s">
        <v>130</v>
      </c>
      <c r="B14" s="100"/>
      <c r="C14" s="100"/>
      <c r="D14" s="100"/>
      <c r="E14" s="100"/>
      <c r="F14" s="100"/>
      <c r="G14" s="100"/>
      <c r="H14" s="100"/>
      <c r="I14" s="100"/>
    </row>
    <row r="15" spans="1:9" x14ac:dyDescent="0.35">
      <c r="A15" s="101" t="s">
        <v>131</v>
      </c>
      <c r="B15" s="568">
        <v>6</v>
      </c>
      <c r="C15" s="568">
        <v>6</v>
      </c>
      <c r="D15" s="568">
        <v>6</v>
      </c>
      <c r="E15" s="568">
        <v>10</v>
      </c>
      <c r="F15" s="568">
        <v>6</v>
      </c>
      <c r="G15" s="568">
        <v>4</v>
      </c>
      <c r="H15" s="568"/>
      <c r="I15" s="568"/>
    </row>
    <row r="16" spans="1:9" x14ac:dyDescent="0.35">
      <c r="A16" s="101" t="s">
        <v>129</v>
      </c>
      <c r="B16" s="568">
        <v>12</v>
      </c>
      <c r="C16" s="568">
        <v>12</v>
      </c>
      <c r="D16" s="568">
        <v>12</v>
      </c>
      <c r="E16" s="568">
        <v>20</v>
      </c>
      <c r="F16" s="568">
        <v>12</v>
      </c>
      <c r="G16" s="568">
        <v>0</v>
      </c>
      <c r="H16" s="568"/>
      <c r="I16" s="568"/>
    </row>
    <row r="17" spans="1:9" x14ac:dyDescent="0.35">
      <c r="A17" s="101" t="s">
        <v>86</v>
      </c>
      <c r="B17" s="568">
        <v>18</v>
      </c>
      <c r="C17" s="568">
        <v>18</v>
      </c>
      <c r="D17" s="568">
        <v>18</v>
      </c>
      <c r="E17" s="568">
        <v>30</v>
      </c>
      <c r="F17" s="568">
        <v>18</v>
      </c>
      <c r="G17" s="568">
        <v>0</v>
      </c>
      <c r="H17" s="568"/>
      <c r="I17" s="568"/>
    </row>
    <row r="18" spans="1:9" x14ac:dyDescent="0.35">
      <c r="A18" s="93" t="s">
        <v>132</v>
      </c>
      <c r="B18" s="33"/>
      <c r="C18" s="33"/>
      <c r="D18" s="33"/>
      <c r="E18" s="33"/>
      <c r="F18" s="33"/>
      <c r="G18" s="33"/>
      <c r="H18" s="33"/>
      <c r="I18" s="33"/>
    </row>
    <row r="19" spans="1:9" x14ac:dyDescent="0.35">
      <c r="A19" s="101" t="s">
        <v>131</v>
      </c>
      <c r="B19" s="45">
        <f>IF(B11*B15=0,0,1/B11*B15)</f>
        <v>5.0000000000000002E-5</v>
      </c>
      <c r="C19" s="45">
        <f>IF(C11*C15=0,0,1/C11*C15)</f>
        <v>4.2857142857142856E-5</v>
      </c>
      <c r="D19" s="45">
        <f t="shared" ref="B19:H21" si="0">IF(D11*D15=0,0,1/D11*D15)</f>
        <v>4.2857142857142856E-5</v>
      </c>
      <c r="E19" s="45">
        <f>IF(E11*E15=0,0,1/E11*E15)</f>
        <v>7.1428571428571434E-5</v>
      </c>
      <c r="F19" s="45">
        <f t="shared" si="0"/>
        <v>4.2857142857142856E-5</v>
      </c>
      <c r="G19" s="45">
        <f t="shared" si="0"/>
        <v>1E-4</v>
      </c>
      <c r="H19" s="45">
        <f t="shared" si="0"/>
        <v>0</v>
      </c>
      <c r="I19" s="45">
        <f>IF(I11*I15=0,0,1/I11*I15)</f>
        <v>0</v>
      </c>
    </row>
    <row r="20" spans="1:9" x14ac:dyDescent="0.35">
      <c r="A20" s="101" t="s">
        <v>129</v>
      </c>
      <c r="B20" s="45">
        <f t="shared" si="0"/>
        <v>1E-4</v>
      </c>
      <c r="C20" s="45">
        <f>IF(C12*C16=0,0,1/C12*C16)</f>
        <v>8.5714285714285713E-5</v>
      </c>
      <c r="D20" s="45">
        <f t="shared" si="0"/>
        <v>8.5714285714285713E-5</v>
      </c>
      <c r="E20" s="45">
        <f>IF(E12*E16=0,0,1/E12*E16)</f>
        <v>1.4285714285714287E-4</v>
      </c>
      <c r="F20" s="45">
        <f t="shared" si="0"/>
        <v>8.5714285714285713E-5</v>
      </c>
      <c r="G20" s="45">
        <f t="shared" si="0"/>
        <v>0</v>
      </c>
      <c r="H20" s="45">
        <f t="shared" si="0"/>
        <v>0</v>
      </c>
      <c r="I20" s="45">
        <f>IF(I12*I16=0,0,1/I12*I16)</f>
        <v>0</v>
      </c>
    </row>
    <row r="21" spans="1:9" x14ac:dyDescent="0.35">
      <c r="A21" s="101" t="s">
        <v>86</v>
      </c>
      <c r="B21" s="45">
        <f t="shared" si="0"/>
        <v>1.5000000000000001E-4</v>
      </c>
      <c r="C21" s="45">
        <f>IF(C13*C17=0,0,1/C13*C17)</f>
        <v>1.2857142857142858E-4</v>
      </c>
      <c r="D21" s="45">
        <f t="shared" si="0"/>
        <v>1.2857142857142858E-4</v>
      </c>
      <c r="E21" s="45">
        <f>IF(E13*E17=0,0,1/E13*E17)</f>
        <v>2.1428571428571427E-4</v>
      </c>
      <c r="F21" s="45">
        <f t="shared" si="0"/>
        <v>1.2857142857142858E-4</v>
      </c>
      <c r="G21" s="45">
        <f t="shared" si="0"/>
        <v>0</v>
      </c>
      <c r="H21" s="45">
        <f t="shared" si="0"/>
        <v>0</v>
      </c>
      <c r="I21" s="45">
        <f>IF(I13*I17=0,0,1/I13*I17)</f>
        <v>0</v>
      </c>
    </row>
    <row r="22" spans="1:9" x14ac:dyDescent="0.35">
      <c r="A22" s="33"/>
      <c r="B22" s="33"/>
      <c r="C22" s="33"/>
      <c r="D22" s="33"/>
      <c r="E22" s="33"/>
      <c r="F22" s="33"/>
      <c r="G22" s="33"/>
      <c r="H22" s="33"/>
    </row>
    <row r="23" spans="1:9" ht="16" thickBot="1" x14ac:dyDescent="0.4">
      <c r="A23" s="33"/>
      <c r="B23" s="33"/>
      <c r="C23" s="33"/>
      <c r="D23" s="33"/>
      <c r="E23" s="33"/>
      <c r="F23" s="33"/>
      <c r="G23" s="33"/>
      <c r="H23" s="33"/>
    </row>
    <row r="24" spans="1:9" ht="16" thickBot="1" x14ac:dyDescent="0.4">
      <c r="A24" s="102" t="s">
        <v>133</v>
      </c>
      <c r="B24" s="103">
        <v>3</v>
      </c>
      <c r="C24" s="304"/>
      <c r="D24" s="33"/>
      <c r="E24" s="33"/>
      <c r="F24" s="33"/>
      <c r="G24" s="33"/>
      <c r="H24" s="33"/>
    </row>
    <row r="26" spans="1:9" x14ac:dyDescent="0.35">
      <c r="A26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8" orientation="landscape" horizontalDpi="300" verticalDpi="300" r:id="rId1"/>
  <headerFooter alignWithMargins="0"/>
  <rowBreaks count="1" manualBreakCount="1">
    <brk id="5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B14"/>
  <sheetViews>
    <sheetView showGridLines="0" view="pageBreakPreview" zoomScale="102" zoomScaleNormal="100" workbookViewId="0">
      <selection activeCell="A2" sqref="A2"/>
    </sheetView>
  </sheetViews>
  <sheetFormatPr defaultColWidth="9.1796875" defaultRowHeight="12.5" x14ac:dyDescent="0.25"/>
  <cols>
    <col min="1" max="1" width="23.54296875" style="490" bestFit="1" customWidth="1"/>
    <col min="2" max="2" width="50.453125" style="490" customWidth="1"/>
    <col min="3" max="16384" width="9.1796875" style="490"/>
  </cols>
  <sheetData>
    <row r="1" spans="1:2" ht="15.5" x14ac:dyDescent="0.35">
      <c r="A1" s="529" t="s">
        <v>919</v>
      </c>
    </row>
    <row r="2" spans="1:2" ht="15.5" x14ac:dyDescent="0.35">
      <c r="A2" s="529" t="s">
        <v>918</v>
      </c>
    </row>
    <row r="4" spans="1:2" ht="15.5" x14ac:dyDescent="0.35">
      <c r="A4" s="539" t="s">
        <v>375</v>
      </c>
    </row>
    <row r="5" spans="1:2" ht="16" thickBot="1" x14ac:dyDescent="0.4">
      <c r="A5" s="539"/>
    </row>
    <row r="6" spans="1:2" ht="18.75" customHeight="1" thickBot="1" x14ac:dyDescent="0.3">
      <c r="A6" s="540" t="s">
        <v>62</v>
      </c>
      <c r="B6" s="540" t="s">
        <v>376</v>
      </c>
    </row>
    <row r="7" spans="1:2" ht="18.75" customHeight="1" x14ac:dyDescent="0.25">
      <c r="A7" s="541" t="s">
        <v>867</v>
      </c>
      <c r="B7" s="541"/>
    </row>
    <row r="8" spans="1:2" ht="18.75" customHeight="1" x14ac:dyDescent="0.25">
      <c r="A8" s="542" t="s">
        <v>871</v>
      </c>
      <c r="B8" s="542"/>
    </row>
    <row r="9" spans="1:2" ht="18.75" customHeight="1" x14ac:dyDescent="0.25">
      <c r="A9" s="542" t="s">
        <v>868</v>
      </c>
      <c r="B9" s="542"/>
    </row>
    <row r="10" spans="1:2" ht="18.75" customHeight="1" x14ac:dyDescent="0.25">
      <c r="A10" s="542" t="s">
        <v>869</v>
      </c>
      <c r="B10" s="542"/>
    </row>
    <row r="11" spans="1:2" ht="18.75" customHeight="1" x14ac:dyDescent="0.25">
      <c r="A11" s="542" t="s">
        <v>870</v>
      </c>
      <c r="B11" s="542" t="s">
        <v>868</v>
      </c>
    </row>
    <row r="12" spans="1:2" ht="18.75" customHeight="1" x14ac:dyDescent="0.25">
      <c r="A12" s="542" t="s">
        <v>865</v>
      </c>
      <c r="B12" s="542"/>
    </row>
    <row r="13" spans="1:2" ht="18.75" customHeight="1" x14ac:dyDescent="0.25">
      <c r="A13" s="542" t="s">
        <v>495</v>
      </c>
      <c r="B13" s="542"/>
    </row>
    <row r="14" spans="1:2" ht="18.75" customHeight="1" thickBot="1" x14ac:dyDescent="0.3">
      <c r="A14" s="543" t="s">
        <v>496</v>
      </c>
      <c r="B14" s="543"/>
    </row>
  </sheetData>
  <sheetProtection objects="1"/>
  <phoneticPr fontId="0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0">
    <pageSetUpPr fitToPage="1"/>
  </sheetPr>
  <dimension ref="A1:E18"/>
  <sheetViews>
    <sheetView showGridLines="0" showZeros="0" defaultGridColor="0" view="pageBreakPreview" colorId="22" zoomScaleNormal="87" workbookViewId="0">
      <selection activeCell="B15" sqref="B15"/>
    </sheetView>
  </sheetViews>
  <sheetFormatPr defaultColWidth="12.54296875" defaultRowHeight="15.5" x14ac:dyDescent="0.35"/>
  <cols>
    <col min="1" max="1" width="28" style="34" customWidth="1"/>
    <col min="2" max="2" width="24.1796875" style="34" customWidth="1"/>
    <col min="3" max="3" width="16.453125" style="34" customWidth="1"/>
    <col min="4" max="4" width="10.54296875" style="34" customWidth="1"/>
    <col min="5" max="16384" width="12.54296875" style="34"/>
  </cols>
  <sheetData>
    <row r="1" spans="1:5" x14ac:dyDescent="0.35">
      <c r="A1" s="370" t="str">
        <f>TECNOLOGIAS!A1</f>
        <v>Proponente: TransPolitécnica</v>
      </c>
    </row>
    <row r="2" spans="1:5" x14ac:dyDescent="0.35">
      <c r="A2" s="370" t="str">
        <f>TECNOLOGIAS!A2</f>
        <v>Área de Concessão: 5 (Cinco)</v>
      </c>
    </row>
    <row r="4" spans="1:5" ht="18" x14ac:dyDescent="0.4">
      <c r="A4" s="32" t="s">
        <v>134</v>
      </c>
      <c r="B4" s="77"/>
      <c r="C4" s="77"/>
      <c r="D4" s="77"/>
      <c r="E4" s="77"/>
    </row>
    <row r="6" spans="1:5" x14ac:dyDescent="0.35">
      <c r="A6" s="35" t="s">
        <v>363</v>
      </c>
      <c r="B6" s="33"/>
      <c r="C6" s="77"/>
      <c r="D6" s="77"/>
      <c r="E6" s="77"/>
    </row>
    <row r="7" spans="1:5" x14ac:dyDescent="0.35">
      <c r="A7" s="33"/>
      <c r="B7" s="33"/>
      <c r="C7" s="77"/>
      <c r="D7" s="77"/>
      <c r="E7" s="77"/>
    </row>
    <row r="8" spans="1:5" x14ac:dyDescent="0.35">
      <c r="A8" s="110" t="s">
        <v>135</v>
      </c>
      <c r="B8" s="111" t="s">
        <v>136</v>
      </c>
      <c r="C8" s="112" t="s">
        <v>137</v>
      </c>
      <c r="D8" s="105"/>
      <c r="E8" s="105"/>
    </row>
    <row r="9" spans="1:5" x14ac:dyDescent="0.35">
      <c r="A9" s="113"/>
      <c r="B9" s="580" t="s">
        <v>138</v>
      </c>
      <c r="C9" s="581" t="s">
        <v>139</v>
      </c>
      <c r="D9" s="106"/>
      <c r="E9" s="106"/>
    </row>
    <row r="10" spans="1:5" x14ac:dyDescent="0.35">
      <c r="A10" s="114"/>
      <c r="B10" s="582" t="s">
        <v>140</v>
      </c>
      <c r="C10" s="583" t="s">
        <v>141</v>
      </c>
      <c r="D10" s="106"/>
      <c r="E10" s="106"/>
    </row>
    <row r="11" spans="1:5" x14ac:dyDescent="0.35">
      <c r="A11" s="29" t="s">
        <v>93</v>
      </c>
      <c r="B11" s="585">
        <v>2.3843099999999997</v>
      </c>
      <c r="C11" s="592">
        <f>'15'!$B$45</f>
        <v>0.61806200000000011</v>
      </c>
      <c r="D11" s="77"/>
      <c r="E11" s="77"/>
    </row>
    <row r="12" spans="1:5" x14ac:dyDescent="0.35">
      <c r="A12" s="29" t="s">
        <v>94</v>
      </c>
      <c r="B12" s="585">
        <v>1.9992000000000001</v>
      </c>
      <c r="C12" s="592">
        <f>'15'!$B$45</f>
        <v>0.61806200000000011</v>
      </c>
      <c r="D12" s="77"/>
      <c r="E12" s="77"/>
    </row>
    <row r="13" spans="1:5" x14ac:dyDescent="0.35">
      <c r="A13" s="29" t="s">
        <v>103</v>
      </c>
      <c r="B13" s="585">
        <v>0.19995000000000002</v>
      </c>
      <c r="C13" s="592">
        <f>'15'!$B$45</f>
        <v>0.61806200000000011</v>
      </c>
      <c r="D13" s="77"/>
      <c r="E13" s="77"/>
    </row>
    <row r="14" spans="1:5" x14ac:dyDescent="0.35">
      <c r="A14" s="29" t="s">
        <v>95</v>
      </c>
      <c r="B14" s="586">
        <v>0.54670000000000007</v>
      </c>
      <c r="C14" s="592">
        <f>'15'!$B$45</f>
        <v>0.61806200000000011</v>
      </c>
    </row>
    <row r="15" spans="1:5" x14ac:dyDescent="0.35">
      <c r="A15" s="29" t="str">
        <f>+'8'!A59</f>
        <v>TÉCNICO</v>
      </c>
      <c r="B15" s="586">
        <v>2.4734982332155478E-3</v>
      </c>
      <c r="C15" s="592">
        <f>'15'!$B$45</f>
        <v>0.61806200000000011</v>
      </c>
    </row>
    <row r="16" spans="1:5" x14ac:dyDescent="0.35">
      <c r="A16" s="29">
        <f>+'8'!A60</f>
        <v>0</v>
      </c>
      <c r="B16" s="586"/>
      <c r="C16" s="584"/>
    </row>
    <row r="18" spans="1:1" x14ac:dyDescent="0.35">
      <c r="A18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1">
    <pageSetUpPr fitToPage="1"/>
  </sheetPr>
  <dimension ref="A1:E28"/>
  <sheetViews>
    <sheetView showGridLines="0" showZeros="0" defaultGridColor="0" view="pageBreakPreview" topLeftCell="A3" colorId="22" zoomScaleNormal="87" zoomScaleSheetLayoutView="100" workbookViewId="0">
      <selection activeCell="B21" sqref="B21:E21"/>
    </sheetView>
  </sheetViews>
  <sheetFormatPr defaultColWidth="12.54296875" defaultRowHeight="15.5" x14ac:dyDescent="0.35"/>
  <cols>
    <col min="1" max="1" width="31.81640625" style="34" customWidth="1"/>
    <col min="2" max="5" width="15.81640625" style="34" customWidth="1"/>
    <col min="6" max="16384" width="12.54296875" style="34"/>
  </cols>
  <sheetData>
    <row r="1" spans="1:5" x14ac:dyDescent="0.35">
      <c r="A1" s="370" t="str">
        <f>TECNOLOGIAS!A1</f>
        <v>Proponente: TransPolitécnica</v>
      </c>
    </row>
    <row r="2" spans="1:5" x14ac:dyDescent="0.35">
      <c r="A2" s="370" t="str">
        <f>TECNOLOGIAS!A2</f>
        <v>Área de Concessão: 5 (Cinco)</v>
      </c>
    </row>
    <row r="4" spans="1:5" ht="18" x14ac:dyDescent="0.4">
      <c r="A4" s="32" t="s">
        <v>143</v>
      </c>
      <c r="B4" s="77"/>
    </row>
    <row r="6" spans="1:5" x14ac:dyDescent="0.35">
      <c r="A6" s="35" t="s">
        <v>701</v>
      </c>
      <c r="B6" s="77"/>
    </row>
    <row r="7" spans="1:5" ht="16" thickBot="1" x14ac:dyDescent="0.4">
      <c r="A7" s="33"/>
      <c r="B7" s="77"/>
    </row>
    <row r="8" spans="1:5" ht="16" thickBot="1" x14ac:dyDescent="0.4">
      <c r="A8" s="115" t="s">
        <v>21</v>
      </c>
      <c r="B8" s="116" t="s">
        <v>93</v>
      </c>
      <c r="C8" s="116" t="s">
        <v>94</v>
      </c>
      <c r="D8" s="116" t="s">
        <v>103</v>
      </c>
      <c r="E8" s="116" t="s">
        <v>95</v>
      </c>
    </row>
    <row r="9" spans="1:5" x14ac:dyDescent="0.35">
      <c r="A9" s="44" t="s">
        <v>144</v>
      </c>
      <c r="B9" s="595">
        <v>2</v>
      </c>
      <c r="C9" s="598">
        <v>1.6769631465707062</v>
      </c>
      <c r="D9" s="598">
        <v>0.16772147917007438</v>
      </c>
      <c r="E9" s="598">
        <v>0.45858130863855789</v>
      </c>
    </row>
    <row r="10" spans="1:5" x14ac:dyDescent="0.35">
      <c r="A10" s="44" t="s">
        <v>145</v>
      </c>
      <c r="B10" s="596">
        <v>0.1</v>
      </c>
      <c r="C10" s="599">
        <v>8.3848157328535317E-2</v>
      </c>
      <c r="D10" s="599">
        <v>8.3860739585037182E-3</v>
      </c>
      <c r="E10" s="599">
        <v>2.2929065431927898E-2</v>
      </c>
    </row>
    <row r="11" spans="1:5" x14ac:dyDescent="0.35">
      <c r="A11" s="117" t="s">
        <v>146</v>
      </c>
      <c r="B11" s="596">
        <v>0.1666</v>
      </c>
      <c r="C11" s="599">
        <v>0.13969103010933984</v>
      </c>
      <c r="D11" s="599">
        <v>1.3971199214867195E-2</v>
      </c>
      <c r="E11" s="599">
        <v>3.8199823009591877E-2</v>
      </c>
    </row>
    <row r="12" spans="1:5" x14ac:dyDescent="0.35">
      <c r="A12" s="117" t="s">
        <v>147</v>
      </c>
      <c r="B12" s="596">
        <v>2.3109999999999999E-2</v>
      </c>
      <c r="C12" s="599">
        <v>1.9377309158624508E-2</v>
      </c>
      <c r="D12" s="599">
        <v>1.9380216918102092E-3</v>
      </c>
      <c r="E12" s="599">
        <v>5.2989070213185366E-3</v>
      </c>
    </row>
    <row r="13" spans="1:5" x14ac:dyDescent="0.35">
      <c r="A13" s="117" t="s">
        <v>148</v>
      </c>
      <c r="B13" s="596">
        <v>5.4600000000000003E-2</v>
      </c>
      <c r="C13" s="599">
        <v>4.5781093901380285E-2</v>
      </c>
      <c r="D13" s="599">
        <v>4.5787963813430305E-3</v>
      </c>
      <c r="E13" s="599">
        <v>1.2519269725832631E-2</v>
      </c>
    </row>
    <row r="14" spans="1:5" x14ac:dyDescent="0.35">
      <c r="A14" s="117" t="s">
        <v>149</v>
      </c>
      <c r="B14" s="596">
        <v>0.01</v>
      </c>
      <c r="C14" s="599">
        <v>8.3848157328535317E-3</v>
      </c>
      <c r="D14" s="599">
        <v>8.3860739585037191E-4</v>
      </c>
      <c r="E14" s="599">
        <v>2.2929065431927897E-3</v>
      </c>
    </row>
    <row r="15" spans="1:5" x14ac:dyDescent="0.35">
      <c r="A15" s="117" t="s">
        <v>150</v>
      </c>
      <c r="B15" s="596">
        <v>0.03</v>
      </c>
      <c r="C15" s="599">
        <v>2.5154447198560595E-2</v>
      </c>
      <c r="D15" s="599">
        <v>2.5158221875511157E-3</v>
      </c>
      <c r="E15" s="599">
        <v>6.8787196295783688E-3</v>
      </c>
    </row>
    <row r="16" spans="1:5" x14ac:dyDescent="0.35">
      <c r="A16" s="117"/>
      <c r="B16" s="587"/>
      <c r="C16" s="579"/>
      <c r="D16" s="579"/>
      <c r="E16" s="579"/>
    </row>
    <row r="17" spans="1:5" x14ac:dyDescent="0.35">
      <c r="A17" s="597"/>
      <c r="B17" s="587"/>
      <c r="C17" s="579"/>
      <c r="D17" s="579"/>
      <c r="E17" s="579"/>
    </row>
    <row r="18" spans="1:5" x14ac:dyDescent="0.35">
      <c r="A18" s="117"/>
      <c r="B18" s="587"/>
      <c r="C18" s="579"/>
      <c r="D18" s="579"/>
      <c r="E18" s="579"/>
    </row>
    <row r="19" spans="1:5" x14ac:dyDescent="0.35">
      <c r="A19" s="117"/>
      <c r="B19" s="587"/>
      <c r="C19" s="579"/>
      <c r="D19" s="579"/>
      <c r="E19" s="579"/>
    </row>
    <row r="20" spans="1:5" x14ac:dyDescent="0.35">
      <c r="A20" s="93"/>
      <c r="B20" s="77"/>
    </row>
    <row r="21" spans="1:5" x14ac:dyDescent="0.35">
      <c r="A21" s="119" t="s">
        <v>151</v>
      </c>
      <c r="B21" s="120">
        <f>SUM(B9:B19)</f>
        <v>2.3843099999999997</v>
      </c>
      <c r="C21" s="120">
        <f>SUM(C9:C19)</f>
        <v>1.9992000000000001</v>
      </c>
      <c r="D21" s="120">
        <f>SUM(D9:D19)</f>
        <v>0.19995000000000002</v>
      </c>
      <c r="E21" s="120">
        <f>SUM(E9:E19)</f>
        <v>0.54670000000000007</v>
      </c>
    </row>
    <row r="23" spans="1:5" x14ac:dyDescent="0.35">
      <c r="A23" s="121" t="s">
        <v>700</v>
      </c>
      <c r="B23" s="77"/>
    </row>
    <row r="24" spans="1:5" x14ac:dyDescent="0.35">
      <c r="A24" s="121" t="s">
        <v>152</v>
      </c>
    </row>
    <row r="25" spans="1:5" x14ac:dyDescent="0.35">
      <c r="A25" s="121"/>
    </row>
    <row r="26" spans="1:5" x14ac:dyDescent="0.35">
      <c r="A26" s="121" t="s">
        <v>153</v>
      </c>
    </row>
    <row r="28" spans="1:5" x14ac:dyDescent="0.35">
      <c r="A28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2">
    <pageSetUpPr fitToPage="1"/>
  </sheetPr>
  <dimension ref="A1:B52"/>
  <sheetViews>
    <sheetView showGridLines="0" showZeros="0" defaultGridColor="0" view="pageBreakPreview" colorId="22" zoomScale="75" zoomScaleNormal="87" workbookViewId="0"/>
  </sheetViews>
  <sheetFormatPr defaultColWidth="12.54296875" defaultRowHeight="15.5" x14ac:dyDescent="0.35"/>
  <cols>
    <col min="1" max="1" width="33.1796875" style="34" customWidth="1"/>
    <col min="2" max="2" width="24.1796875" style="34" customWidth="1"/>
    <col min="3" max="16384" width="12.54296875" style="34"/>
  </cols>
  <sheetData>
    <row r="1" spans="1:2" x14ac:dyDescent="0.35">
      <c r="A1" s="370" t="str">
        <f>TECNOLOGIAS!A1</f>
        <v>Proponente: TransPolitécnica</v>
      </c>
    </row>
    <row r="2" spans="1:2" x14ac:dyDescent="0.35">
      <c r="A2" s="370" t="str">
        <f>TECNOLOGIAS!A2</f>
        <v>Área de Concessão: 5 (Cinco)</v>
      </c>
    </row>
    <row r="4" spans="1:2" ht="18" x14ac:dyDescent="0.4">
      <c r="A4" s="32" t="s">
        <v>154</v>
      </c>
      <c r="B4" s="77"/>
    </row>
    <row r="6" spans="1:2" x14ac:dyDescent="0.35">
      <c r="A6" s="35" t="s">
        <v>155</v>
      </c>
      <c r="B6" s="122"/>
    </row>
    <row r="7" spans="1:2" ht="16" thickBot="1" x14ac:dyDescent="0.4">
      <c r="A7" s="33"/>
      <c r="B7" s="33"/>
    </row>
    <row r="8" spans="1:2" ht="16" thickBot="1" x14ac:dyDescent="0.4">
      <c r="A8" s="115" t="s">
        <v>156</v>
      </c>
      <c r="B8" s="116" t="s">
        <v>157</v>
      </c>
    </row>
    <row r="9" spans="1:2" ht="16" thickBot="1" x14ac:dyDescent="0.4">
      <c r="A9" s="33"/>
      <c r="B9" s="33"/>
    </row>
    <row r="10" spans="1:2" ht="16" thickBot="1" x14ac:dyDescent="0.4">
      <c r="A10" s="123" t="s">
        <v>158</v>
      </c>
      <c r="B10" s="124">
        <f>SUM(B11:B20)</f>
        <v>0.37000000000000005</v>
      </c>
    </row>
    <row r="11" spans="1:2" x14ac:dyDescent="0.35">
      <c r="A11" s="44" t="s">
        <v>159</v>
      </c>
      <c r="B11" s="592">
        <v>0.2</v>
      </c>
    </row>
    <row r="12" spans="1:2" x14ac:dyDescent="0.35">
      <c r="A12" s="44" t="s">
        <v>160</v>
      </c>
      <c r="B12" s="592">
        <v>0.03</v>
      </c>
    </row>
    <row r="13" spans="1:2" x14ac:dyDescent="0.35">
      <c r="A13" s="44" t="s">
        <v>161</v>
      </c>
      <c r="B13" s="592">
        <v>2.5000000000000001E-2</v>
      </c>
    </row>
    <row r="14" spans="1:2" x14ac:dyDescent="0.35">
      <c r="A14" s="44" t="s">
        <v>162</v>
      </c>
      <c r="B14" s="592">
        <v>2E-3</v>
      </c>
    </row>
    <row r="15" spans="1:2" x14ac:dyDescent="0.35">
      <c r="A15" s="44" t="s">
        <v>163</v>
      </c>
      <c r="B15" s="592">
        <v>1.4999999999999999E-2</v>
      </c>
    </row>
    <row r="16" spans="1:2" x14ac:dyDescent="0.35">
      <c r="A16" s="44" t="s">
        <v>164</v>
      </c>
      <c r="B16" s="592">
        <v>1.6E-2</v>
      </c>
    </row>
    <row r="17" spans="1:2" x14ac:dyDescent="0.35">
      <c r="A17" s="44" t="s">
        <v>165</v>
      </c>
      <c r="B17" s="592">
        <v>2E-3</v>
      </c>
    </row>
    <row r="18" spans="1:2" x14ac:dyDescent="0.35">
      <c r="A18" s="44" t="s">
        <v>166</v>
      </c>
      <c r="B18" s="592">
        <v>0.08</v>
      </c>
    </row>
    <row r="19" spans="1:2" x14ac:dyDescent="0.35">
      <c r="A19" s="44" t="s">
        <v>167</v>
      </c>
      <c r="B19" s="592"/>
    </row>
    <row r="20" spans="1:2" x14ac:dyDescent="0.35">
      <c r="A20" s="44" t="s">
        <v>168</v>
      </c>
      <c r="B20" s="592"/>
    </row>
    <row r="21" spans="1:2" ht="16" thickBot="1" x14ac:dyDescent="0.4">
      <c r="A21" s="33"/>
      <c r="B21" s="33"/>
    </row>
    <row r="22" spans="1:2" ht="16" thickBot="1" x14ac:dyDescent="0.4">
      <c r="A22" s="123" t="s">
        <v>169</v>
      </c>
      <c r="B22" s="124">
        <f>SUM(B23:B32)</f>
        <v>0.1326</v>
      </c>
    </row>
    <row r="23" spans="1:2" x14ac:dyDescent="0.35">
      <c r="A23" s="44" t="s">
        <v>170</v>
      </c>
      <c r="B23" s="592">
        <v>2.7799999999999998E-2</v>
      </c>
    </row>
    <row r="24" spans="1:2" x14ac:dyDescent="0.35">
      <c r="A24" s="44" t="s">
        <v>171</v>
      </c>
      <c r="B24" s="592">
        <v>1.3299999999999999E-2</v>
      </c>
    </row>
    <row r="25" spans="1:2" x14ac:dyDescent="0.35">
      <c r="A25" s="44" t="s">
        <v>172</v>
      </c>
      <c r="B25" s="592">
        <v>5.0000000000000001E-4</v>
      </c>
    </row>
    <row r="26" spans="1:2" x14ac:dyDescent="0.35">
      <c r="A26" s="44" t="s">
        <v>173</v>
      </c>
      <c r="B26" s="592">
        <v>2.0000000000000001E-4</v>
      </c>
    </row>
    <row r="27" spans="1:2" x14ac:dyDescent="0.35">
      <c r="A27" s="44" t="s">
        <v>174</v>
      </c>
      <c r="B27" s="592">
        <v>2.0000000000000001E-4</v>
      </c>
    </row>
    <row r="28" spans="1:2" x14ac:dyDescent="0.35">
      <c r="A28" s="44" t="s">
        <v>175</v>
      </c>
      <c r="B28" s="592">
        <v>8.3299999999999999E-2</v>
      </c>
    </row>
    <row r="29" spans="1:2" x14ac:dyDescent="0.35">
      <c r="A29" s="44" t="s">
        <v>176</v>
      </c>
      <c r="B29" s="592">
        <v>7.3000000000000001E-3</v>
      </c>
    </row>
    <row r="30" spans="1:2" x14ac:dyDescent="0.35">
      <c r="A30" s="44" t="s">
        <v>177</v>
      </c>
      <c r="B30" s="592"/>
    </row>
    <row r="31" spans="1:2" x14ac:dyDescent="0.35">
      <c r="A31" s="44" t="s">
        <v>178</v>
      </c>
      <c r="B31" s="592"/>
    </row>
    <row r="32" spans="1:2" x14ac:dyDescent="0.35">
      <c r="A32" s="44" t="s">
        <v>179</v>
      </c>
      <c r="B32" s="592"/>
    </row>
    <row r="33" spans="1:2" ht="16" thickBot="1" x14ac:dyDescent="0.4">
      <c r="A33" s="77"/>
      <c r="B33" s="125"/>
    </row>
    <row r="34" spans="1:2" ht="16" thickBot="1" x14ac:dyDescent="0.4">
      <c r="A34" s="123" t="s">
        <v>180</v>
      </c>
      <c r="B34" s="124">
        <f>SUM(B35:B39)</f>
        <v>6.6399999999999987E-2</v>
      </c>
    </row>
    <row r="35" spans="1:2" x14ac:dyDescent="0.35">
      <c r="A35" s="44" t="s">
        <v>181</v>
      </c>
      <c r="B35" s="592">
        <v>3.2000000000000001E-2</v>
      </c>
    </row>
    <row r="36" spans="1:2" x14ac:dyDescent="0.35">
      <c r="A36" s="44" t="s">
        <v>182</v>
      </c>
      <c r="B36" s="592">
        <v>3.3599999999999998E-2</v>
      </c>
    </row>
    <row r="37" spans="1:2" x14ac:dyDescent="0.35">
      <c r="A37" s="44" t="s">
        <v>183</v>
      </c>
      <c r="B37" s="592">
        <v>8.0000000000000004E-4</v>
      </c>
    </row>
    <row r="38" spans="1:2" x14ac:dyDescent="0.35">
      <c r="A38" s="44" t="s">
        <v>184</v>
      </c>
      <c r="B38" s="592"/>
    </row>
    <row r="39" spans="1:2" x14ac:dyDescent="0.35">
      <c r="A39" s="44" t="s">
        <v>185</v>
      </c>
      <c r="B39" s="118"/>
    </row>
    <row r="40" spans="1:2" ht="16" thickBot="1" x14ac:dyDescent="0.4">
      <c r="A40" s="126"/>
      <c r="B40" s="125"/>
    </row>
    <row r="41" spans="1:2" ht="16" thickBot="1" x14ac:dyDescent="0.4">
      <c r="A41" s="123" t="s">
        <v>186</v>
      </c>
      <c r="B41" s="124">
        <f>B42*B43</f>
        <v>4.9062000000000008E-2</v>
      </c>
    </row>
    <row r="42" spans="1:2" x14ac:dyDescent="0.35">
      <c r="A42" s="44" t="s">
        <v>187</v>
      </c>
      <c r="B42" s="127">
        <f>B10</f>
        <v>0.37000000000000005</v>
      </c>
    </row>
    <row r="43" spans="1:2" x14ac:dyDescent="0.35">
      <c r="A43" s="44" t="s">
        <v>188</v>
      </c>
      <c r="B43" s="127">
        <f>B22</f>
        <v>0.1326</v>
      </c>
    </row>
    <row r="44" spans="1:2" ht="16" thickBot="1" x14ac:dyDescent="0.4">
      <c r="A44" s="77"/>
      <c r="B44" s="77"/>
    </row>
    <row r="45" spans="1:2" ht="16" thickBot="1" x14ac:dyDescent="0.4">
      <c r="A45" s="128" t="s">
        <v>189</v>
      </c>
      <c r="B45" s="129">
        <f>B10+B22+B34+B41</f>
        <v>0.61806200000000011</v>
      </c>
    </row>
    <row r="47" spans="1:2" x14ac:dyDescent="0.35">
      <c r="A47" s="36" t="s">
        <v>190</v>
      </c>
      <c r="B47" s="77"/>
    </row>
    <row r="48" spans="1:2" x14ac:dyDescent="0.35">
      <c r="A48" s="36" t="s">
        <v>191</v>
      </c>
      <c r="B48" s="77"/>
    </row>
    <row r="49" spans="1:2" x14ac:dyDescent="0.35">
      <c r="A49" s="36" t="s">
        <v>192</v>
      </c>
      <c r="B49" s="77"/>
    </row>
    <row r="50" spans="1:2" x14ac:dyDescent="0.35">
      <c r="A50" s="36" t="s">
        <v>193</v>
      </c>
      <c r="B50" s="77"/>
    </row>
    <row r="52" spans="1:2" x14ac:dyDescent="0.35">
      <c r="A52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4" orientation="portrait" horizontalDpi="300" verticalDpi="300" r:id="rId1"/>
  <headerFooter alignWithMargins="0"/>
  <rowBreaks count="1" manualBreakCount="1">
    <brk id="58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3">
    <pageSetUpPr fitToPage="1"/>
  </sheetPr>
  <dimension ref="A1:U35"/>
  <sheetViews>
    <sheetView showGridLines="0" showZeros="0" view="pageBreakPreview" zoomScaleNormal="75" workbookViewId="0"/>
  </sheetViews>
  <sheetFormatPr defaultColWidth="12.54296875" defaultRowHeight="15.5" x14ac:dyDescent="0.35"/>
  <cols>
    <col min="1" max="1" width="39.7265625" style="34" customWidth="1"/>
    <col min="2" max="21" width="12.26953125" style="34" bestFit="1" customWidth="1"/>
    <col min="22" max="38" width="8.453125" style="34" customWidth="1"/>
    <col min="39" max="16384" width="12.54296875" style="34"/>
  </cols>
  <sheetData>
    <row r="1" spans="1:21" x14ac:dyDescent="0.35">
      <c r="A1" s="370" t="str">
        <f>TECNOLOGIAS!A1</f>
        <v>Proponente: TransPolitécnica</v>
      </c>
    </row>
    <row r="2" spans="1:21" x14ac:dyDescent="0.35">
      <c r="A2" s="370" t="str">
        <f>TECNOLOGIAS!A2</f>
        <v>Área de Concessão: 5 (Cinco)</v>
      </c>
    </row>
    <row r="4" spans="1:21" ht="18" x14ac:dyDescent="0.4">
      <c r="A4" s="32" t="s">
        <v>194</v>
      </c>
      <c r="B4" s="77"/>
      <c r="C4" s="77"/>
      <c r="D4" s="77"/>
      <c r="E4" s="77"/>
    </row>
    <row r="6" spans="1:21" ht="18" x14ac:dyDescent="0.4">
      <c r="A6" s="94" t="s">
        <v>377</v>
      </c>
      <c r="B6" s="130"/>
      <c r="C6" s="130"/>
      <c r="D6" s="130"/>
      <c r="E6" s="130"/>
    </row>
    <row r="7" spans="1:21" ht="16" thickBot="1" x14ac:dyDescent="0.4">
      <c r="A7" s="77"/>
      <c r="B7" s="77"/>
      <c r="C7" s="77"/>
      <c r="D7" s="77"/>
      <c r="E7" s="77"/>
    </row>
    <row r="8" spans="1:21" ht="16" thickBot="1" x14ac:dyDescent="0.4">
      <c r="A8" s="260" t="s">
        <v>21</v>
      </c>
      <c r="B8" s="668" t="s">
        <v>431</v>
      </c>
      <c r="C8" s="669"/>
      <c r="D8" s="669"/>
      <c r="E8" s="669"/>
      <c r="F8" s="669"/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670"/>
    </row>
    <row r="9" spans="1:21" ht="16" thickBot="1" x14ac:dyDescent="0.4">
      <c r="A9" s="107"/>
      <c r="B9" s="132" t="s">
        <v>397</v>
      </c>
      <c r="C9" s="132" t="s">
        <v>378</v>
      </c>
      <c r="D9" s="132" t="s">
        <v>379</v>
      </c>
      <c r="E9" s="132" t="s">
        <v>380</v>
      </c>
      <c r="F9" s="132" t="s">
        <v>381</v>
      </c>
      <c r="G9" s="132" t="s">
        <v>382</v>
      </c>
      <c r="H9" s="132" t="s">
        <v>383</v>
      </c>
      <c r="I9" s="132" t="s">
        <v>384</v>
      </c>
      <c r="J9" s="132" t="s">
        <v>385</v>
      </c>
      <c r="K9" s="132" t="s">
        <v>386</v>
      </c>
      <c r="L9" s="132" t="s">
        <v>387</v>
      </c>
      <c r="M9" s="132" t="s">
        <v>388</v>
      </c>
      <c r="N9" s="132" t="s">
        <v>389</v>
      </c>
      <c r="O9" s="132" t="s">
        <v>390</v>
      </c>
      <c r="P9" s="132" t="s">
        <v>391</v>
      </c>
      <c r="Q9" s="132" t="s">
        <v>392</v>
      </c>
      <c r="R9" s="132" t="s">
        <v>393</v>
      </c>
      <c r="S9" s="132" t="s">
        <v>394</v>
      </c>
      <c r="T9" s="132" t="s">
        <v>395</v>
      </c>
      <c r="U9" s="132" t="s">
        <v>396</v>
      </c>
    </row>
    <row r="10" spans="1:21" x14ac:dyDescent="0.35">
      <c r="A10" s="44" t="s">
        <v>896</v>
      </c>
      <c r="B10" s="165">
        <f>(4600+3*2800+6*2000)*6</f>
        <v>150000</v>
      </c>
      <c r="C10" s="165">
        <f t="shared" ref="C10:U10" si="0">(4600+3*2800+6*2000)*6</f>
        <v>150000</v>
      </c>
      <c r="D10" s="165">
        <f t="shared" si="0"/>
        <v>150000</v>
      </c>
      <c r="E10" s="165">
        <f t="shared" si="0"/>
        <v>150000</v>
      </c>
      <c r="F10" s="165">
        <f t="shared" si="0"/>
        <v>150000</v>
      </c>
      <c r="G10" s="165">
        <f t="shared" si="0"/>
        <v>150000</v>
      </c>
      <c r="H10" s="165">
        <f t="shared" si="0"/>
        <v>150000</v>
      </c>
      <c r="I10" s="165">
        <f t="shared" si="0"/>
        <v>150000</v>
      </c>
      <c r="J10" s="165">
        <f t="shared" si="0"/>
        <v>150000</v>
      </c>
      <c r="K10" s="165">
        <f t="shared" si="0"/>
        <v>150000</v>
      </c>
      <c r="L10" s="165">
        <f t="shared" si="0"/>
        <v>150000</v>
      </c>
      <c r="M10" s="165">
        <f t="shared" si="0"/>
        <v>150000</v>
      </c>
      <c r="N10" s="165">
        <f t="shared" si="0"/>
        <v>150000</v>
      </c>
      <c r="O10" s="165">
        <f t="shared" si="0"/>
        <v>150000</v>
      </c>
      <c r="P10" s="165">
        <f t="shared" si="0"/>
        <v>150000</v>
      </c>
      <c r="Q10" s="165">
        <f t="shared" si="0"/>
        <v>150000</v>
      </c>
      <c r="R10" s="165">
        <f t="shared" si="0"/>
        <v>150000</v>
      </c>
      <c r="S10" s="165">
        <f t="shared" si="0"/>
        <v>150000</v>
      </c>
      <c r="T10" s="165">
        <f t="shared" si="0"/>
        <v>150000</v>
      </c>
      <c r="U10" s="165">
        <f t="shared" si="0"/>
        <v>150000</v>
      </c>
    </row>
    <row r="11" spans="1:21" x14ac:dyDescent="0.35">
      <c r="A11" s="44" t="s">
        <v>897</v>
      </c>
      <c r="B11" s="165">
        <f>(24*1100+3*1100+8*1100)*6</f>
        <v>231000</v>
      </c>
      <c r="C11" s="165">
        <f t="shared" ref="C11:U11" si="1">(24*1100+3*1100+8*1100)*6</f>
        <v>231000</v>
      </c>
      <c r="D11" s="165">
        <f t="shared" si="1"/>
        <v>231000</v>
      </c>
      <c r="E11" s="165">
        <f t="shared" si="1"/>
        <v>231000</v>
      </c>
      <c r="F11" s="165">
        <f t="shared" si="1"/>
        <v>231000</v>
      </c>
      <c r="G11" s="165">
        <f t="shared" si="1"/>
        <v>231000</v>
      </c>
      <c r="H11" s="165">
        <f t="shared" si="1"/>
        <v>231000</v>
      </c>
      <c r="I11" s="165">
        <f t="shared" si="1"/>
        <v>231000</v>
      </c>
      <c r="J11" s="165">
        <f t="shared" si="1"/>
        <v>231000</v>
      </c>
      <c r="K11" s="165">
        <f t="shared" si="1"/>
        <v>231000</v>
      </c>
      <c r="L11" s="165">
        <f t="shared" si="1"/>
        <v>231000</v>
      </c>
      <c r="M11" s="165">
        <f t="shared" si="1"/>
        <v>231000</v>
      </c>
      <c r="N11" s="165">
        <f t="shared" si="1"/>
        <v>231000</v>
      </c>
      <c r="O11" s="165">
        <f t="shared" si="1"/>
        <v>231000</v>
      </c>
      <c r="P11" s="165">
        <f t="shared" si="1"/>
        <v>231000</v>
      </c>
      <c r="Q11" s="165">
        <f t="shared" si="1"/>
        <v>231000</v>
      </c>
      <c r="R11" s="165">
        <f t="shared" si="1"/>
        <v>231000</v>
      </c>
      <c r="S11" s="165">
        <f t="shared" si="1"/>
        <v>231000</v>
      </c>
      <c r="T11" s="165">
        <f t="shared" si="1"/>
        <v>231000</v>
      </c>
      <c r="U11" s="165">
        <f t="shared" si="1"/>
        <v>231000</v>
      </c>
    </row>
    <row r="12" spans="1:21" x14ac:dyDescent="0.35">
      <c r="A12" s="44" t="s">
        <v>898</v>
      </c>
      <c r="B12" s="165">
        <f>(11*290+190*900)*6</f>
        <v>1045140</v>
      </c>
      <c r="C12" s="165">
        <f t="shared" ref="C12:U12" si="2">(11*290+190*900)*6</f>
        <v>1045140</v>
      </c>
      <c r="D12" s="165">
        <f t="shared" si="2"/>
        <v>1045140</v>
      </c>
      <c r="E12" s="165">
        <f t="shared" si="2"/>
        <v>1045140</v>
      </c>
      <c r="F12" s="165">
        <f t="shared" si="2"/>
        <v>1045140</v>
      </c>
      <c r="G12" s="165">
        <f t="shared" si="2"/>
        <v>1045140</v>
      </c>
      <c r="H12" s="165">
        <f t="shared" si="2"/>
        <v>1045140</v>
      </c>
      <c r="I12" s="165">
        <f t="shared" si="2"/>
        <v>1045140</v>
      </c>
      <c r="J12" s="165">
        <f t="shared" si="2"/>
        <v>1045140</v>
      </c>
      <c r="K12" s="165">
        <f t="shared" si="2"/>
        <v>1045140</v>
      </c>
      <c r="L12" s="165">
        <f t="shared" si="2"/>
        <v>1045140</v>
      </c>
      <c r="M12" s="165">
        <f t="shared" si="2"/>
        <v>1045140</v>
      </c>
      <c r="N12" s="165">
        <f t="shared" si="2"/>
        <v>1045140</v>
      </c>
      <c r="O12" s="165">
        <f t="shared" si="2"/>
        <v>1045140</v>
      </c>
      <c r="P12" s="165">
        <f t="shared" si="2"/>
        <v>1045140</v>
      </c>
      <c r="Q12" s="165">
        <f t="shared" si="2"/>
        <v>1045140</v>
      </c>
      <c r="R12" s="165">
        <f t="shared" si="2"/>
        <v>1045140</v>
      </c>
      <c r="S12" s="165">
        <f t="shared" si="2"/>
        <v>1045140</v>
      </c>
      <c r="T12" s="165">
        <f t="shared" si="2"/>
        <v>1045140</v>
      </c>
      <c r="U12" s="165">
        <f t="shared" si="2"/>
        <v>1045140</v>
      </c>
    </row>
    <row r="13" spans="1:21" x14ac:dyDescent="0.35">
      <c r="A13" s="44" t="s">
        <v>899</v>
      </c>
      <c r="B13" s="44">
        <f>(1800+4500+2400*7+2600)*6</f>
        <v>154200</v>
      </c>
      <c r="C13" s="44">
        <f t="shared" ref="C13:U13" si="3">(1800+4500+2400*7+2600)*6</f>
        <v>154200</v>
      </c>
      <c r="D13" s="44">
        <f t="shared" si="3"/>
        <v>154200</v>
      </c>
      <c r="E13" s="44">
        <f t="shared" si="3"/>
        <v>154200</v>
      </c>
      <c r="F13" s="44">
        <f t="shared" si="3"/>
        <v>154200</v>
      </c>
      <c r="G13" s="44">
        <f t="shared" si="3"/>
        <v>154200</v>
      </c>
      <c r="H13" s="44">
        <f t="shared" si="3"/>
        <v>154200</v>
      </c>
      <c r="I13" s="44">
        <f t="shared" si="3"/>
        <v>154200</v>
      </c>
      <c r="J13" s="44">
        <f t="shared" si="3"/>
        <v>154200</v>
      </c>
      <c r="K13" s="44">
        <f t="shared" si="3"/>
        <v>154200</v>
      </c>
      <c r="L13" s="44">
        <f t="shared" si="3"/>
        <v>154200</v>
      </c>
      <c r="M13" s="44">
        <f t="shared" si="3"/>
        <v>154200</v>
      </c>
      <c r="N13" s="44">
        <f t="shared" si="3"/>
        <v>154200</v>
      </c>
      <c r="O13" s="44">
        <f t="shared" si="3"/>
        <v>154200</v>
      </c>
      <c r="P13" s="44">
        <f t="shared" si="3"/>
        <v>154200</v>
      </c>
      <c r="Q13" s="44">
        <f t="shared" si="3"/>
        <v>154200</v>
      </c>
      <c r="R13" s="44">
        <f t="shared" si="3"/>
        <v>154200</v>
      </c>
      <c r="S13" s="44">
        <f t="shared" si="3"/>
        <v>154200</v>
      </c>
      <c r="T13" s="44">
        <f t="shared" si="3"/>
        <v>154200</v>
      </c>
      <c r="U13" s="44">
        <f t="shared" si="3"/>
        <v>154200</v>
      </c>
    </row>
    <row r="14" spans="1:21" x14ac:dyDescent="0.35">
      <c r="A14" s="44" t="s">
        <v>900</v>
      </c>
      <c r="B14" s="44">
        <f>(8*780+1900+1000)*6</f>
        <v>54840</v>
      </c>
      <c r="C14" s="44">
        <f t="shared" ref="C14:U14" si="4">(8*780+1900+1000)*6</f>
        <v>54840</v>
      </c>
      <c r="D14" s="44">
        <f t="shared" si="4"/>
        <v>54840</v>
      </c>
      <c r="E14" s="44">
        <f t="shared" si="4"/>
        <v>54840</v>
      </c>
      <c r="F14" s="44">
        <f t="shared" si="4"/>
        <v>54840</v>
      </c>
      <c r="G14" s="44">
        <f t="shared" si="4"/>
        <v>54840</v>
      </c>
      <c r="H14" s="44">
        <f t="shared" si="4"/>
        <v>54840</v>
      </c>
      <c r="I14" s="44">
        <f t="shared" si="4"/>
        <v>54840</v>
      </c>
      <c r="J14" s="44">
        <f t="shared" si="4"/>
        <v>54840</v>
      </c>
      <c r="K14" s="44">
        <f t="shared" si="4"/>
        <v>54840</v>
      </c>
      <c r="L14" s="44">
        <f t="shared" si="4"/>
        <v>54840</v>
      </c>
      <c r="M14" s="44">
        <f t="shared" si="4"/>
        <v>54840</v>
      </c>
      <c r="N14" s="44">
        <f t="shared" si="4"/>
        <v>54840</v>
      </c>
      <c r="O14" s="44">
        <f t="shared" si="4"/>
        <v>54840</v>
      </c>
      <c r="P14" s="44">
        <f t="shared" si="4"/>
        <v>54840</v>
      </c>
      <c r="Q14" s="44">
        <f t="shared" si="4"/>
        <v>54840</v>
      </c>
      <c r="R14" s="44">
        <f t="shared" si="4"/>
        <v>54840</v>
      </c>
      <c r="S14" s="44">
        <f t="shared" si="4"/>
        <v>54840</v>
      </c>
      <c r="T14" s="44">
        <f t="shared" si="4"/>
        <v>54840</v>
      </c>
      <c r="U14" s="44">
        <f t="shared" si="4"/>
        <v>54840</v>
      </c>
    </row>
    <row r="15" spans="1:21" x14ac:dyDescent="0.35">
      <c r="A15" s="44" t="s">
        <v>901</v>
      </c>
      <c r="B15" s="44">
        <f>(1300+3*1700)*6</f>
        <v>38400</v>
      </c>
      <c r="C15" s="44">
        <f t="shared" ref="C15:U15" si="5">(1300+3*1700)*6</f>
        <v>38400</v>
      </c>
      <c r="D15" s="44">
        <f t="shared" si="5"/>
        <v>38400</v>
      </c>
      <c r="E15" s="44">
        <f t="shared" si="5"/>
        <v>38400</v>
      </c>
      <c r="F15" s="44">
        <f t="shared" si="5"/>
        <v>38400</v>
      </c>
      <c r="G15" s="44">
        <f t="shared" si="5"/>
        <v>38400</v>
      </c>
      <c r="H15" s="44">
        <f t="shared" si="5"/>
        <v>38400</v>
      </c>
      <c r="I15" s="44">
        <f t="shared" si="5"/>
        <v>38400</v>
      </c>
      <c r="J15" s="44">
        <f t="shared" si="5"/>
        <v>38400</v>
      </c>
      <c r="K15" s="44">
        <f t="shared" si="5"/>
        <v>38400</v>
      </c>
      <c r="L15" s="44">
        <f t="shared" si="5"/>
        <v>38400</v>
      </c>
      <c r="M15" s="44">
        <f t="shared" si="5"/>
        <v>38400</v>
      </c>
      <c r="N15" s="44">
        <f t="shared" si="5"/>
        <v>38400</v>
      </c>
      <c r="O15" s="44">
        <f t="shared" si="5"/>
        <v>38400</v>
      </c>
      <c r="P15" s="44">
        <f t="shared" si="5"/>
        <v>38400</v>
      </c>
      <c r="Q15" s="44">
        <f t="shared" si="5"/>
        <v>38400</v>
      </c>
      <c r="R15" s="44">
        <f t="shared" si="5"/>
        <v>38400</v>
      </c>
      <c r="S15" s="44">
        <f t="shared" si="5"/>
        <v>38400</v>
      </c>
      <c r="T15" s="44">
        <f t="shared" si="5"/>
        <v>38400</v>
      </c>
      <c r="U15" s="44">
        <f t="shared" si="5"/>
        <v>38400</v>
      </c>
    </row>
    <row r="16" spans="1:21" x14ac:dyDescent="0.35">
      <c r="A16" s="44" t="s">
        <v>902</v>
      </c>
      <c r="B16" s="44">
        <f>(62*650+20*800+4*1300)*6</f>
        <v>369000</v>
      </c>
      <c r="C16" s="44">
        <f t="shared" ref="C16:U16" si="6">(62*650+20*800+4*1300)*6</f>
        <v>369000</v>
      </c>
      <c r="D16" s="44">
        <f t="shared" si="6"/>
        <v>369000</v>
      </c>
      <c r="E16" s="44">
        <f t="shared" si="6"/>
        <v>369000</v>
      </c>
      <c r="F16" s="44">
        <f t="shared" si="6"/>
        <v>369000</v>
      </c>
      <c r="G16" s="44">
        <f t="shared" si="6"/>
        <v>369000</v>
      </c>
      <c r="H16" s="44">
        <f t="shared" si="6"/>
        <v>369000</v>
      </c>
      <c r="I16" s="44">
        <f t="shared" si="6"/>
        <v>369000</v>
      </c>
      <c r="J16" s="44">
        <f t="shared" si="6"/>
        <v>369000</v>
      </c>
      <c r="K16" s="44">
        <f t="shared" si="6"/>
        <v>369000</v>
      </c>
      <c r="L16" s="44">
        <f t="shared" si="6"/>
        <v>369000</v>
      </c>
      <c r="M16" s="44">
        <f t="shared" si="6"/>
        <v>369000</v>
      </c>
      <c r="N16" s="44">
        <f t="shared" si="6"/>
        <v>369000</v>
      </c>
      <c r="O16" s="44">
        <f t="shared" si="6"/>
        <v>369000</v>
      </c>
      <c r="P16" s="44">
        <f t="shared" si="6"/>
        <v>369000</v>
      </c>
      <c r="Q16" s="44">
        <f t="shared" si="6"/>
        <v>369000</v>
      </c>
      <c r="R16" s="44">
        <f t="shared" si="6"/>
        <v>369000</v>
      </c>
      <c r="S16" s="44">
        <f t="shared" si="6"/>
        <v>369000</v>
      </c>
      <c r="T16" s="44">
        <f t="shared" si="6"/>
        <v>369000</v>
      </c>
      <c r="U16" s="44">
        <f t="shared" si="6"/>
        <v>369000</v>
      </c>
    </row>
    <row r="17" spans="1:21" x14ac:dyDescent="0.35">
      <c r="A17" s="44" t="s">
        <v>903</v>
      </c>
      <c r="B17" s="44">
        <f>(450+4*800+300+35*360)*6</f>
        <v>99300</v>
      </c>
      <c r="C17" s="44">
        <f t="shared" ref="C17:U17" si="7">(450+4*800+300+35*360)*6</f>
        <v>99300</v>
      </c>
      <c r="D17" s="44">
        <f t="shared" si="7"/>
        <v>99300</v>
      </c>
      <c r="E17" s="44">
        <f t="shared" si="7"/>
        <v>99300</v>
      </c>
      <c r="F17" s="44">
        <f t="shared" si="7"/>
        <v>99300</v>
      </c>
      <c r="G17" s="44">
        <f t="shared" si="7"/>
        <v>99300</v>
      </c>
      <c r="H17" s="44">
        <f t="shared" si="7"/>
        <v>99300</v>
      </c>
      <c r="I17" s="44">
        <f t="shared" si="7"/>
        <v>99300</v>
      </c>
      <c r="J17" s="44">
        <f t="shared" si="7"/>
        <v>99300</v>
      </c>
      <c r="K17" s="44">
        <f t="shared" si="7"/>
        <v>99300</v>
      </c>
      <c r="L17" s="44">
        <f t="shared" si="7"/>
        <v>99300</v>
      </c>
      <c r="M17" s="44">
        <f t="shared" si="7"/>
        <v>99300</v>
      </c>
      <c r="N17" s="44">
        <f t="shared" si="7"/>
        <v>99300</v>
      </c>
      <c r="O17" s="44">
        <f t="shared" si="7"/>
        <v>99300</v>
      </c>
      <c r="P17" s="44">
        <f t="shared" si="7"/>
        <v>99300</v>
      </c>
      <c r="Q17" s="44">
        <f t="shared" si="7"/>
        <v>99300</v>
      </c>
      <c r="R17" s="44">
        <f t="shared" si="7"/>
        <v>99300</v>
      </c>
      <c r="S17" s="44">
        <f t="shared" si="7"/>
        <v>99300</v>
      </c>
      <c r="T17" s="44">
        <f t="shared" si="7"/>
        <v>99300</v>
      </c>
      <c r="U17" s="44">
        <f t="shared" si="7"/>
        <v>99300</v>
      </c>
    </row>
    <row r="18" spans="1:21" x14ac:dyDescent="0.35">
      <c r="A18" s="119" t="s">
        <v>702</v>
      </c>
      <c r="B18" s="166">
        <f>SUM(B10:B17)</f>
        <v>2141880</v>
      </c>
      <c r="C18" s="166">
        <f t="shared" ref="C18:U18" si="8">SUM(C10:C17)</f>
        <v>2141880</v>
      </c>
      <c r="D18" s="166">
        <f t="shared" si="8"/>
        <v>2141880</v>
      </c>
      <c r="E18" s="166">
        <f t="shared" si="8"/>
        <v>2141880</v>
      </c>
      <c r="F18" s="166">
        <f t="shared" si="8"/>
        <v>2141880</v>
      </c>
      <c r="G18" s="166">
        <f t="shared" si="8"/>
        <v>2141880</v>
      </c>
      <c r="H18" s="166">
        <f t="shared" si="8"/>
        <v>2141880</v>
      </c>
      <c r="I18" s="166">
        <f t="shared" si="8"/>
        <v>2141880</v>
      </c>
      <c r="J18" s="166">
        <f t="shared" si="8"/>
        <v>2141880</v>
      </c>
      <c r="K18" s="166">
        <f t="shared" si="8"/>
        <v>2141880</v>
      </c>
      <c r="L18" s="166">
        <f t="shared" si="8"/>
        <v>2141880</v>
      </c>
      <c r="M18" s="166">
        <f t="shared" si="8"/>
        <v>2141880</v>
      </c>
      <c r="N18" s="166">
        <f t="shared" si="8"/>
        <v>2141880</v>
      </c>
      <c r="O18" s="166">
        <f t="shared" si="8"/>
        <v>2141880</v>
      </c>
      <c r="P18" s="166">
        <f t="shared" si="8"/>
        <v>2141880</v>
      </c>
      <c r="Q18" s="166">
        <f t="shared" si="8"/>
        <v>2141880</v>
      </c>
      <c r="R18" s="166">
        <f t="shared" si="8"/>
        <v>2141880</v>
      </c>
      <c r="S18" s="166">
        <f t="shared" si="8"/>
        <v>2141880</v>
      </c>
      <c r="T18" s="166">
        <f t="shared" si="8"/>
        <v>2141880</v>
      </c>
      <c r="U18" s="166">
        <f t="shared" si="8"/>
        <v>2141880</v>
      </c>
    </row>
    <row r="19" spans="1:21" x14ac:dyDescent="0.35">
      <c r="A19" s="165" t="s">
        <v>885</v>
      </c>
      <c r="B19" s="165">
        <v>520000</v>
      </c>
      <c r="C19" s="165">
        <v>520000</v>
      </c>
      <c r="D19" s="165">
        <v>520000</v>
      </c>
      <c r="E19" s="165">
        <v>520000</v>
      </c>
      <c r="F19" s="165">
        <v>520000</v>
      </c>
      <c r="G19" s="165">
        <v>520000</v>
      </c>
      <c r="H19" s="165">
        <v>520000</v>
      </c>
      <c r="I19" s="165">
        <v>520000</v>
      </c>
      <c r="J19" s="165">
        <v>520000</v>
      </c>
      <c r="K19" s="165">
        <v>520000</v>
      </c>
      <c r="L19" s="165">
        <v>520000</v>
      </c>
      <c r="M19" s="165">
        <v>520000</v>
      </c>
      <c r="N19" s="165">
        <v>520000</v>
      </c>
      <c r="O19" s="165">
        <v>520000</v>
      </c>
      <c r="P19" s="165">
        <v>520000</v>
      </c>
      <c r="Q19" s="165">
        <v>520000</v>
      </c>
      <c r="R19" s="165">
        <v>520000</v>
      </c>
      <c r="S19" s="165">
        <v>520000</v>
      </c>
      <c r="T19" s="165">
        <v>520000</v>
      </c>
      <c r="U19" s="165">
        <v>520000</v>
      </c>
    </row>
    <row r="20" spans="1:21" x14ac:dyDescent="0.35">
      <c r="A20" s="165" t="s">
        <v>886</v>
      </c>
      <c r="B20" s="165">
        <v>260000</v>
      </c>
      <c r="C20" s="165">
        <v>260000</v>
      </c>
      <c r="D20" s="165">
        <v>260000</v>
      </c>
      <c r="E20" s="165">
        <v>260000</v>
      </c>
      <c r="F20" s="165">
        <v>260000</v>
      </c>
      <c r="G20" s="165">
        <v>260000</v>
      </c>
      <c r="H20" s="165">
        <v>260000</v>
      </c>
      <c r="I20" s="165">
        <v>260000</v>
      </c>
      <c r="J20" s="165">
        <v>260000</v>
      </c>
      <c r="K20" s="165">
        <v>260000</v>
      </c>
      <c r="L20" s="165">
        <v>260000</v>
      </c>
      <c r="M20" s="165">
        <v>260000</v>
      </c>
      <c r="N20" s="165">
        <v>260000</v>
      </c>
      <c r="O20" s="165">
        <v>260000</v>
      </c>
      <c r="P20" s="165">
        <v>260000</v>
      </c>
      <c r="Q20" s="165">
        <v>260000</v>
      </c>
      <c r="R20" s="165">
        <v>260000</v>
      </c>
      <c r="S20" s="165">
        <v>260000</v>
      </c>
      <c r="T20" s="165">
        <v>260000</v>
      </c>
      <c r="U20" s="165">
        <v>260000</v>
      </c>
    </row>
    <row r="21" spans="1:21" x14ac:dyDescent="0.35">
      <c r="A21" s="165" t="s">
        <v>887</v>
      </c>
      <c r="B21" s="165">
        <v>88000</v>
      </c>
      <c r="C21" s="165">
        <v>88000</v>
      </c>
      <c r="D21" s="165">
        <v>88000</v>
      </c>
      <c r="E21" s="165">
        <v>88000</v>
      </c>
      <c r="F21" s="165">
        <v>88000</v>
      </c>
      <c r="G21" s="165">
        <v>88000</v>
      </c>
      <c r="H21" s="165">
        <v>88000</v>
      </c>
      <c r="I21" s="165">
        <v>88000</v>
      </c>
      <c r="J21" s="165">
        <v>88000</v>
      </c>
      <c r="K21" s="165">
        <v>88000</v>
      </c>
      <c r="L21" s="165">
        <v>88000</v>
      </c>
      <c r="M21" s="165">
        <v>88000</v>
      </c>
      <c r="N21" s="165">
        <v>88000</v>
      </c>
      <c r="O21" s="165">
        <v>88000</v>
      </c>
      <c r="P21" s="165">
        <v>88000</v>
      </c>
      <c r="Q21" s="165">
        <v>88000</v>
      </c>
      <c r="R21" s="165">
        <v>88000</v>
      </c>
      <c r="S21" s="165">
        <v>88000</v>
      </c>
      <c r="T21" s="165">
        <v>88000</v>
      </c>
      <c r="U21" s="165">
        <v>88000</v>
      </c>
    </row>
    <row r="22" spans="1:21" x14ac:dyDescent="0.35">
      <c r="A22" s="165" t="s">
        <v>888</v>
      </c>
      <c r="B22" s="165">
        <v>290000</v>
      </c>
      <c r="C22" s="165">
        <v>290000</v>
      </c>
      <c r="D22" s="165">
        <v>290000</v>
      </c>
      <c r="E22" s="165">
        <v>290000</v>
      </c>
      <c r="F22" s="165">
        <v>290000</v>
      </c>
      <c r="G22" s="165">
        <v>290000</v>
      </c>
      <c r="H22" s="165">
        <v>290000</v>
      </c>
      <c r="I22" s="165">
        <v>290000</v>
      </c>
      <c r="J22" s="165">
        <v>290000</v>
      </c>
      <c r="K22" s="165">
        <v>290000</v>
      </c>
      <c r="L22" s="165">
        <v>290000</v>
      </c>
      <c r="M22" s="165">
        <v>290000</v>
      </c>
      <c r="N22" s="165">
        <v>290000</v>
      </c>
      <c r="O22" s="165">
        <v>290000</v>
      </c>
      <c r="P22" s="165">
        <v>290000</v>
      </c>
      <c r="Q22" s="165">
        <v>290000</v>
      </c>
      <c r="R22" s="165">
        <v>290000</v>
      </c>
      <c r="S22" s="165">
        <v>290000</v>
      </c>
      <c r="T22" s="165">
        <v>290000</v>
      </c>
      <c r="U22" s="165">
        <v>290000</v>
      </c>
    </row>
    <row r="23" spans="1:21" x14ac:dyDescent="0.35">
      <c r="A23" s="165" t="s">
        <v>890</v>
      </c>
      <c r="B23" s="165">
        <v>100000</v>
      </c>
      <c r="C23" s="165">
        <v>100000</v>
      </c>
      <c r="D23" s="165">
        <v>100000</v>
      </c>
      <c r="E23" s="165">
        <v>100000</v>
      </c>
      <c r="F23" s="165">
        <v>100000</v>
      </c>
      <c r="G23" s="165">
        <v>100000</v>
      </c>
      <c r="H23" s="165">
        <v>100000</v>
      </c>
      <c r="I23" s="165">
        <v>100000</v>
      </c>
      <c r="J23" s="165">
        <v>100000</v>
      </c>
      <c r="K23" s="165">
        <v>100000</v>
      </c>
      <c r="L23" s="165">
        <v>100000</v>
      </c>
      <c r="M23" s="165">
        <v>100000</v>
      </c>
      <c r="N23" s="165">
        <v>100000</v>
      </c>
      <c r="O23" s="165">
        <v>100000</v>
      </c>
      <c r="P23" s="165">
        <v>100000</v>
      </c>
      <c r="Q23" s="165">
        <v>100000</v>
      </c>
      <c r="R23" s="165">
        <v>100000</v>
      </c>
      <c r="S23" s="165">
        <v>100000</v>
      </c>
      <c r="T23" s="165">
        <v>100000</v>
      </c>
      <c r="U23" s="165">
        <v>100000</v>
      </c>
    </row>
    <row r="24" spans="1:21" x14ac:dyDescent="0.35">
      <c r="A24" s="165" t="s">
        <v>889</v>
      </c>
      <c r="B24" s="165">
        <v>110000</v>
      </c>
      <c r="C24" s="165">
        <v>110000</v>
      </c>
      <c r="D24" s="165">
        <v>110000</v>
      </c>
      <c r="E24" s="165">
        <v>110000</v>
      </c>
      <c r="F24" s="165">
        <v>110000</v>
      </c>
      <c r="G24" s="165">
        <v>110000</v>
      </c>
      <c r="H24" s="165">
        <v>110000</v>
      </c>
      <c r="I24" s="165">
        <v>110000</v>
      </c>
      <c r="J24" s="165">
        <v>110000</v>
      </c>
      <c r="K24" s="165">
        <v>110000</v>
      </c>
      <c r="L24" s="165">
        <v>110000</v>
      </c>
      <c r="M24" s="165">
        <v>110000</v>
      </c>
      <c r="N24" s="165">
        <v>110000</v>
      </c>
      <c r="O24" s="165">
        <v>110000</v>
      </c>
      <c r="P24" s="165">
        <v>110000</v>
      </c>
      <c r="Q24" s="165">
        <v>110000</v>
      </c>
      <c r="R24" s="165">
        <v>110000</v>
      </c>
      <c r="S24" s="165">
        <v>110000</v>
      </c>
      <c r="T24" s="165">
        <v>110000</v>
      </c>
      <c r="U24" s="165">
        <v>110000</v>
      </c>
    </row>
    <row r="25" spans="1:21" x14ac:dyDescent="0.35">
      <c r="A25" s="165" t="s">
        <v>893</v>
      </c>
      <c r="B25" s="165">
        <v>550000</v>
      </c>
      <c r="C25" s="165">
        <v>550000</v>
      </c>
      <c r="D25" s="165">
        <v>550000</v>
      </c>
      <c r="E25" s="165">
        <v>550000</v>
      </c>
      <c r="F25" s="165">
        <v>550000</v>
      </c>
      <c r="G25" s="165">
        <v>550000</v>
      </c>
      <c r="H25" s="165">
        <v>550000</v>
      </c>
      <c r="I25" s="165">
        <v>550000</v>
      </c>
      <c r="J25" s="165">
        <v>550000</v>
      </c>
      <c r="K25" s="165">
        <v>550000</v>
      </c>
      <c r="L25" s="165">
        <v>550000</v>
      </c>
      <c r="M25" s="165">
        <v>550000</v>
      </c>
      <c r="N25" s="165">
        <v>550000</v>
      </c>
      <c r="O25" s="165">
        <v>550000</v>
      </c>
      <c r="P25" s="165">
        <v>550000</v>
      </c>
      <c r="Q25" s="165">
        <v>550000</v>
      </c>
      <c r="R25" s="165">
        <v>550000</v>
      </c>
      <c r="S25" s="165">
        <v>550000</v>
      </c>
      <c r="T25" s="165">
        <v>550000</v>
      </c>
      <c r="U25" s="165">
        <v>550000</v>
      </c>
    </row>
    <row r="26" spans="1:21" x14ac:dyDescent="0.35">
      <c r="A26" s="165" t="s">
        <v>892</v>
      </c>
      <c r="B26" s="165">
        <v>260000</v>
      </c>
      <c r="C26" s="165">
        <v>260000</v>
      </c>
      <c r="D26" s="165">
        <v>260000</v>
      </c>
      <c r="E26" s="165">
        <v>260000</v>
      </c>
      <c r="F26" s="165">
        <v>260000</v>
      </c>
      <c r="G26" s="165">
        <v>260000</v>
      </c>
      <c r="H26" s="165">
        <v>260000</v>
      </c>
      <c r="I26" s="165">
        <v>260000</v>
      </c>
      <c r="J26" s="165">
        <v>260000</v>
      </c>
      <c r="K26" s="165">
        <v>260000</v>
      </c>
      <c r="L26" s="165">
        <v>260000</v>
      </c>
      <c r="M26" s="165">
        <v>260000</v>
      </c>
      <c r="N26" s="165">
        <v>260000</v>
      </c>
      <c r="O26" s="165">
        <v>260000</v>
      </c>
      <c r="P26" s="165">
        <v>260000</v>
      </c>
      <c r="Q26" s="165">
        <v>260000</v>
      </c>
      <c r="R26" s="165">
        <v>260000</v>
      </c>
      <c r="S26" s="165">
        <v>260000</v>
      </c>
      <c r="T26" s="165">
        <v>260000</v>
      </c>
      <c r="U26" s="165">
        <v>260000</v>
      </c>
    </row>
    <row r="27" spans="1:21" x14ac:dyDescent="0.35">
      <c r="A27" s="165" t="s">
        <v>891</v>
      </c>
      <c r="B27" s="165">
        <v>210000</v>
      </c>
      <c r="C27" s="165">
        <v>210000</v>
      </c>
      <c r="D27" s="165">
        <v>210000</v>
      </c>
      <c r="E27" s="165">
        <v>210000</v>
      </c>
      <c r="F27" s="165">
        <v>210000</v>
      </c>
      <c r="G27" s="165">
        <v>210000</v>
      </c>
      <c r="H27" s="165">
        <v>210000</v>
      </c>
      <c r="I27" s="165">
        <v>210000</v>
      </c>
      <c r="J27" s="165">
        <v>210000</v>
      </c>
      <c r="K27" s="165">
        <v>210000</v>
      </c>
      <c r="L27" s="165">
        <v>210000</v>
      </c>
      <c r="M27" s="165">
        <v>210000</v>
      </c>
      <c r="N27" s="165">
        <v>210000</v>
      </c>
      <c r="O27" s="165">
        <v>210000</v>
      </c>
      <c r="P27" s="165">
        <v>210000</v>
      </c>
      <c r="Q27" s="165">
        <v>210000</v>
      </c>
      <c r="R27" s="165">
        <v>210000</v>
      </c>
      <c r="S27" s="165">
        <v>210000</v>
      </c>
      <c r="T27" s="165">
        <v>210000</v>
      </c>
      <c r="U27" s="165">
        <v>210000</v>
      </c>
    </row>
    <row r="28" spans="1:21" x14ac:dyDescent="0.35">
      <c r="A28" s="165" t="s">
        <v>894</v>
      </c>
      <c r="B28" s="165">
        <v>61000</v>
      </c>
      <c r="C28" s="165">
        <v>61000</v>
      </c>
      <c r="D28" s="165">
        <v>61000</v>
      </c>
      <c r="E28" s="165">
        <v>61000</v>
      </c>
      <c r="F28" s="165">
        <v>61000</v>
      </c>
      <c r="G28" s="165">
        <v>61000</v>
      </c>
      <c r="H28" s="165">
        <v>61000</v>
      </c>
      <c r="I28" s="165">
        <v>61000</v>
      </c>
      <c r="J28" s="165">
        <v>61000</v>
      </c>
      <c r="K28" s="165">
        <v>61000</v>
      </c>
      <c r="L28" s="165">
        <v>61000</v>
      </c>
      <c r="M28" s="165">
        <v>61000</v>
      </c>
      <c r="N28" s="165">
        <v>61000</v>
      </c>
      <c r="O28" s="165">
        <v>61000</v>
      </c>
      <c r="P28" s="165">
        <v>61000</v>
      </c>
      <c r="Q28" s="165">
        <v>61000</v>
      </c>
      <c r="R28" s="165">
        <v>61000</v>
      </c>
      <c r="S28" s="165">
        <v>61000</v>
      </c>
      <c r="T28" s="165">
        <v>61000</v>
      </c>
      <c r="U28" s="165">
        <v>61000</v>
      </c>
    </row>
    <row r="29" spans="1:21" x14ac:dyDescent="0.35">
      <c r="A29" s="165" t="s">
        <v>866</v>
      </c>
      <c r="B29" s="165">
        <v>64000</v>
      </c>
      <c r="C29" s="165">
        <v>64000</v>
      </c>
      <c r="D29" s="165">
        <v>64000</v>
      </c>
      <c r="E29" s="165">
        <v>64000</v>
      </c>
      <c r="F29" s="165">
        <v>64000</v>
      </c>
      <c r="G29" s="165">
        <v>64000</v>
      </c>
      <c r="H29" s="165">
        <v>64000</v>
      </c>
      <c r="I29" s="165">
        <v>64000</v>
      </c>
      <c r="J29" s="165">
        <v>64000</v>
      </c>
      <c r="K29" s="165">
        <v>64000</v>
      </c>
      <c r="L29" s="165">
        <v>64000</v>
      </c>
      <c r="M29" s="165">
        <v>64000</v>
      </c>
      <c r="N29" s="165">
        <v>64000</v>
      </c>
      <c r="O29" s="165">
        <v>64000</v>
      </c>
      <c r="P29" s="165">
        <v>64000</v>
      </c>
      <c r="Q29" s="165">
        <v>64000</v>
      </c>
      <c r="R29" s="165">
        <v>64000</v>
      </c>
      <c r="S29" s="165">
        <v>64000</v>
      </c>
      <c r="T29" s="165">
        <v>64000</v>
      </c>
      <c r="U29" s="165">
        <v>64000</v>
      </c>
    </row>
    <row r="30" spans="1:21" x14ac:dyDescent="0.35">
      <c r="A30" s="44" t="s">
        <v>895</v>
      </c>
      <c r="B30" s="44">
        <v>250000</v>
      </c>
      <c r="C30" s="44">
        <v>250000</v>
      </c>
      <c r="D30" s="44">
        <v>250000</v>
      </c>
      <c r="E30" s="44">
        <v>250000</v>
      </c>
      <c r="F30" s="44">
        <v>250000</v>
      </c>
      <c r="G30" s="44">
        <v>250000</v>
      </c>
      <c r="H30" s="44">
        <v>250000</v>
      </c>
      <c r="I30" s="44">
        <v>250000</v>
      </c>
      <c r="J30" s="44">
        <v>250000</v>
      </c>
      <c r="K30" s="44">
        <v>250000</v>
      </c>
      <c r="L30" s="44">
        <v>250000</v>
      </c>
      <c r="M30" s="44">
        <v>250000</v>
      </c>
      <c r="N30" s="44">
        <v>250000</v>
      </c>
      <c r="O30" s="44">
        <v>250000</v>
      </c>
      <c r="P30" s="44">
        <v>250000</v>
      </c>
      <c r="Q30" s="44">
        <v>250000</v>
      </c>
      <c r="R30" s="44">
        <v>250000</v>
      </c>
      <c r="S30" s="44">
        <v>250000</v>
      </c>
      <c r="T30" s="44">
        <v>250000</v>
      </c>
      <c r="U30" s="44">
        <v>250000</v>
      </c>
    </row>
    <row r="31" spans="1:21" x14ac:dyDescent="0.35">
      <c r="A31" s="119" t="s">
        <v>703</v>
      </c>
      <c r="B31" s="166">
        <f>SUM(B19:B30)</f>
        <v>2763000</v>
      </c>
      <c r="C31" s="166">
        <f t="shared" ref="C31:U31" si="9">SUM(C19:C30)</f>
        <v>2763000</v>
      </c>
      <c r="D31" s="166">
        <f t="shared" si="9"/>
        <v>2763000</v>
      </c>
      <c r="E31" s="166">
        <f t="shared" si="9"/>
        <v>2763000</v>
      </c>
      <c r="F31" s="166">
        <f t="shared" si="9"/>
        <v>2763000</v>
      </c>
      <c r="G31" s="166">
        <f t="shared" si="9"/>
        <v>2763000</v>
      </c>
      <c r="H31" s="166">
        <f t="shared" si="9"/>
        <v>2763000</v>
      </c>
      <c r="I31" s="166">
        <f t="shared" si="9"/>
        <v>2763000</v>
      </c>
      <c r="J31" s="166">
        <f t="shared" si="9"/>
        <v>2763000</v>
      </c>
      <c r="K31" s="166">
        <f t="shared" si="9"/>
        <v>2763000</v>
      </c>
      <c r="L31" s="166">
        <f t="shared" si="9"/>
        <v>2763000</v>
      </c>
      <c r="M31" s="166">
        <f t="shared" si="9"/>
        <v>2763000</v>
      </c>
      <c r="N31" s="166">
        <f t="shared" si="9"/>
        <v>2763000</v>
      </c>
      <c r="O31" s="166">
        <f t="shared" si="9"/>
        <v>2763000</v>
      </c>
      <c r="P31" s="166">
        <f t="shared" si="9"/>
        <v>2763000</v>
      </c>
      <c r="Q31" s="166">
        <f t="shared" si="9"/>
        <v>2763000</v>
      </c>
      <c r="R31" s="166">
        <f t="shared" si="9"/>
        <v>2763000</v>
      </c>
      <c r="S31" s="166">
        <f t="shared" si="9"/>
        <v>2763000</v>
      </c>
      <c r="T31" s="166">
        <f t="shared" si="9"/>
        <v>2763000</v>
      </c>
      <c r="U31" s="166">
        <f t="shared" si="9"/>
        <v>2763000</v>
      </c>
    </row>
    <row r="32" spans="1:21" ht="16" thickBot="1" x14ac:dyDescent="0.4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6" thickBot="1" x14ac:dyDescent="0.4">
      <c r="A33" s="115" t="s">
        <v>704</v>
      </c>
      <c r="B33" s="135">
        <f>B18+B31</f>
        <v>4904880</v>
      </c>
      <c r="C33" s="135">
        <f t="shared" ref="C33:U33" si="10">C18+C31</f>
        <v>4904880</v>
      </c>
      <c r="D33" s="135">
        <f t="shared" si="10"/>
        <v>4904880</v>
      </c>
      <c r="E33" s="135">
        <f t="shared" si="10"/>
        <v>4904880</v>
      </c>
      <c r="F33" s="135">
        <f t="shared" si="10"/>
        <v>4904880</v>
      </c>
      <c r="G33" s="135">
        <f t="shared" si="10"/>
        <v>4904880</v>
      </c>
      <c r="H33" s="135">
        <f t="shared" si="10"/>
        <v>4904880</v>
      </c>
      <c r="I33" s="135">
        <f t="shared" si="10"/>
        <v>4904880</v>
      </c>
      <c r="J33" s="135">
        <f t="shared" si="10"/>
        <v>4904880</v>
      </c>
      <c r="K33" s="135">
        <f t="shared" si="10"/>
        <v>4904880</v>
      </c>
      <c r="L33" s="135">
        <f t="shared" si="10"/>
        <v>4904880</v>
      </c>
      <c r="M33" s="135">
        <f t="shared" si="10"/>
        <v>4904880</v>
      </c>
      <c r="N33" s="135">
        <f t="shared" si="10"/>
        <v>4904880</v>
      </c>
      <c r="O33" s="135">
        <f t="shared" si="10"/>
        <v>4904880</v>
      </c>
      <c r="P33" s="135">
        <f t="shared" si="10"/>
        <v>4904880</v>
      </c>
      <c r="Q33" s="135">
        <f t="shared" si="10"/>
        <v>4904880</v>
      </c>
      <c r="R33" s="135">
        <f t="shared" si="10"/>
        <v>4904880</v>
      </c>
      <c r="S33" s="135">
        <f t="shared" si="10"/>
        <v>4904880</v>
      </c>
      <c r="T33" s="135">
        <f t="shared" si="10"/>
        <v>4904880</v>
      </c>
      <c r="U33" s="135">
        <f t="shared" si="10"/>
        <v>4904880</v>
      </c>
    </row>
    <row r="34" spans="1:21" x14ac:dyDescent="0.35">
      <c r="A34" s="33"/>
      <c r="B34" s="33"/>
      <c r="C34" s="134"/>
      <c r="D34" s="134"/>
    </row>
    <row r="35" spans="1:21" x14ac:dyDescent="0.35">
      <c r="A35" t="s">
        <v>447</v>
      </c>
    </row>
  </sheetData>
  <sheetProtection objects="1"/>
  <mergeCells count="1">
    <mergeCell ref="B8:U8"/>
  </mergeCells>
  <phoneticPr fontId="0" type="noConversion"/>
  <pageMargins left="0.17" right="0.57999999999999996" top="0.59055118110236227" bottom="0.51181102362204722" header="0.51181102362204722" footer="0.51181102362204722"/>
  <pageSetup paperSize="9" scale="75" fitToWidth="2" orientation="landscape" horizontalDpi="4294967295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4"/>
  <dimension ref="A1:U15"/>
  <sheetViews>
    <sheetView showGridLines="0" showZeros="0" view="pageBreakPreview" zoomScaleNormal="75" workbookViewId="0">
      <selection activeCell="A2" sqref="A2"/>
    </sheetView>
  </sheetViews>
  <sheetFormatPr defaultColWidth="12.54296875" defaultRowHeight="15.5" x14ac:dyDescent="0.35"/>
  <cols>
    <col min="1" max="1" width="30.81640625" style="34" customWidth="1"/>
    <col min="2" max="21" width="12.26953125" style="34" bestFit="1" customWidth="1"/>
    <col min="22" max="38" width="8.453125" style="34" customWidth="1"/>
    <col min="39" max="16384" width="12.54296875" style="34"/>
  </cols>
  <sheetData>
    <row r="1" spans="1:21" x14ac:dyDescent="0.35">
      <c r="A1" s="370" t="str">
        <f>TECNOLOGIAS!A1</f>
        <v>Proponente: TransPolitécnica</v>
      </c>
    </row>
    <row r="2" spans="1:21" x14ac:dyDescent="0.35">
      <c r="A2" s="370" t="str">
        <f>TECNOLOGIAS!A2</f>
        <v>Área de Concessão: 5 (Cinco)</v>
      </c>
    </row>
    <row r="4" spans="1:21" ht="18" x14ac:dyDescent="0.4">
      <c r="A4" s="32" t="s">
        <v>765</v>
      </c>
      <c r="B4" s="77"/>
      <c r="C4" s="77"/>
      <c r="D4" s="77"/>
      <c r="E4" s="77"/>
    </row>
    <row r="6" spans="1:21" x14ac:dyDescent="0.35">
      <c r="A6" s="93" t="s">
        <v>843</v>
      </c>
      <c r="B6" s="130"/>
      <c r="C6" s="130"/>
      <c r="D6" s="130"/>
      <c r="E6" s="130"/>
    </row>
    <row r="7" spans="1:21" ht="16" thickBot="1" x14ac:dyDescent="0.4">
      <c r="A7" s="77"/>
      <c r="B7" s="77"/>
      <c r="C7" s="77"/>
      <c r="D7" s="77"/>
      <c r="E7" s="77"/>
    </row>
    <row r="8" spans="1:21" ht="16" thickBot="1" x14ac:dyDescent="0.4">
      <c r="A8" s="260" t="s">
        <v>21</v>
      </c>
      <c r="B8" s="668" t="s">
        <v>431</v>
      </c>
      <c r="C8" s="669"/>
      <c r="D8" s="669"/>
      <c r="E8" s="669"/>
      <c r="F8" s="669"/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670"/>
    </row>
    <row r="9" spans="1:21" ht="16" thickBot="1" x14ac:dyDescent="0.4">
      <c r="A9" s="107"/>
      <c r="B9" s="132" t="s">
        <v>397</v>
      </c>
      <c r="C9" s="132" t="s">
        <v>378</v>
      </c>
      <c r="D9" s="132" t="s">
        <v>379</v>
      </c>
      <c r="E9" s="132" t="s">
        <v>380</v>
      </c>
      <c r="F9" s="132" t="s">
        <v>381</v>
      </c>
      <c r="G9" s="132" t="s">
        <v>382</v>
      </c>
      <c r="H9" s="132" t="s">
        <v>383</v>
      </c>
      <c r="I9" s="132" t="s">
        <v>384</v>
      </c>
      <c r="J9" s="132" t="s">
        <v>385</v>
      </c>
      <c r="K9" s="132" t="s">
        <v>386</v>
      </c>
      <c r="L9" s="132" t="s">
        <v>387</v>
      </c>
      <c r="M9" s="132" t="s">
        <v>388</v>
      </c>
      <c r="N9" s="132" t="s">
        <v>389</v>
      </c>
      <c r="O9" s="132" t="s">
        <v>390</v>
      </c>
      <c r="P9" s="132" t="s">
        <v>391</v>
      </c>
      <c r="Q9" s="132" t="s">
        <v>392</v>
      </c>
      <c r="R9" s="132" t="s">
        <v>393</v>
      </c>
      <c r="S9" s="132" t="s">
        <v>394</v>
      </c>
      <c r="T9" s="132" t="s">
        <v>395</v>
      </c>
      <c r="U9" s="132" t="s">
        <v>396</v>
      </c>
    </row>
    <row r="10" spans="1:21" ht="58.5" customHeight="1" x14ac:dyDescent="0.35">
      <c r="A10" s="479" t="s">
        <v>767</v>
      </c>
      <c r="B10" s="600">
        <v>365481.5</v>
      </c>
      <c r="C10" s="44">
        <v>387007.5</v>
      </c>
      <c r="D10" s="44">
        <v>405626</v>
      </c>
      <c r="E10" s="44">
        <v>423597.5</v>
      </c>
      <c r="F10" s="44">
        <v>446629</v>
      </c>
      <c r="G10" s="44">
        <v>469341</v>
      </c>
      <c r="H10" s="44">
        <v>491842.5</v>
      </c>
      <c r="I10" s="44">
        <v>514554.5</v>
      </c>
      <c r="J10" s="44">
        <v>536432.5</v>
      </c>
      <c r="K10" s="44">
        <v>536432.5</v>
      </c>
      <c r="L10" s="44">
        <v>536432.5</v>
      </c>
      <c r="M10" s="44">
        <v>536432.5</v>
      </c>
      <c r="N10" s="44">
        <v>536432.5</v>
      </c>
      <c r="O10" s="44">
        <v>536432.5</v>
      </c>
      <c r="P10" s="44">
        <v>536432.5</v>
      </c>
      <c r="Q10" s="44">
        <v>536432.5</v>
      </c>
      <c r="R10" s="44">
        <v>536432.5</v>
      </c>
      <c r="S10" s="44">
        <v>536432.5</v>
      </c>
      <c r="T10" s="44">
        <v>536432.5</v>
      </c>
      <c r="U10" s="44">
        <v>536432.5</v>
      </c>
    </row>
    <row r="11" spans="1:21" ht="58.5" customHeight="1" x14ac:dyDescent="0.35">
      <c r="A11" s="479" t="s">
        <v>768</v>
      </c>
      <c r="B11" s="44">
        <f>200000*6</f>
        <v>1200000</v>
      </c>
      <c r="C11" s="44">
        <f t="shared" ref="C11:U11" si="0">200000*6</f>
        <v>1200000</v>
      </c>
      <c r="D11" s="44">
        <f t="shared" si="0"/>
        <v>1200000</v>
      </c>
      <c r="E11" s="44">
        <f t="shared" si="0"/>
        <v>1200000</v>
      </c>
      <c r="F11" s="44">
        <f t="shared" si="0"/>
        <v>1200000</v>
      </c>
      <c r="G11" s="44">
        <f t="shared" si="0"/>
        <v>1200000</v>
      </c>
      <c r="H11" s="44">
        <f t="shared" si="0"/>
        <v>1200000</v>
      </c>
      <c r="I11" s="44">
        <f t="shared" si="0"/>
        <v>1200000</v>
      </c>
      <c r="J11" s="44">
        <f t="shared" si="0"/>
        <v>1200000</v>
      </c>
      <c r="K11" s="44">
        <f t="shared" si="0"/>
        <v>1200000</v>
      </c>
      <c r="L11" s="44">
        <f t="shared" si="0"/>
        <v>1200000</v>
      </c>
      <c r="M11" s="44">
        <f t="shared" si="0"/>
        <v>1200000</v>
      </c>
      <c r="N11" s="44">
        <f t="shared" si="0"/>
        <v>1200000</v>
      </c>
      <c r="O11" s="44">
        <f t="shared" si="0"/>
        <v>1200000</v>
      </c>
      <c r="P11" s="44">
        <f t="shared" si="0"/>
        <v>1200000</v>
      </c>
      <c r="Q11" s="44">
        <f t="shared" si="0"/>
        <v>1200000</v>
      </c>
      <c r="R11" s="44">
        <f t="shared" si="0"/>
        <v>1200000</v>
      </c>
      <c r="S11" s="44">
        <f t="shared" si="0"/>
        <v>1200000</v>
      </c>
      <c r="T11" s="44">
        <f t="shared" si="0"/>
        <v>1200000</v>
      </c>
      <c r="U11" s="44">
        <f t="shared" si="0"/>
        <v>1200000</v>
      </c>
    </row>
    <row r="12" spans="1:21" ht="16" thickBot="1" x14ac:dyDescent="0.4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6" thickBot="1" x14ac:dyDescent="0.4">
      <c r="A13" s="115" t="s">
        <v>704</v>
      </c>
      <c r="B13" s="135">
        <f>B10+B11</f>
        <v>1565481.5</v>
      </c>
      <c r="C13" s="135">
        <f t="shared" ref="C13:U13" si="1">C10+C11</f>
        <v>1587007.5</v>
      </c>
      <c r="D13" s="135">
        <f t="shared" si="1"/>
        <v>1605626</v>
      </c>
      <c r="E13" s="135">
        <f t="shared" si="1"/>
        <v>1623597.5</v>
      </c>
      <c r="F13" s="135">
        <f t="shared" si="1"/>
        <v>1646629</v>
      </c>
      <c r="G13" s="135">
        <f t="shared" si="1"/>
        <v>1669341</v>
      </c>
      <c r="H13" s="135">
        <f t="shared" si="1"/>
        <v>1691842.5</v>
      </c>
      <c r="I13" s="135">
        <f t="shared" si="1"/>
        <v>1714554.5</v>
      </c>
      <c r="J13" s="135">
        <f t="shared" si="1"/>
        <v>1736432.5</v>
      </c>
      <c r="K13" s="135">
        <f t="shared" si="1"/>
        <v>1736432.5</v>
      </c>
      <c r="L13" s="135">
        <f t="shared" si="1"/>
        <v>1736432.5</v>
      </c>
      <c r="M13" s="135">
        <f t="shared" si="1"/>
        <v>1736432.5</v>
      </c>
      <c r="N13" s="135">
        <f t="shared" si="1"/>
        <v>1736432.5</v>
      </c>
      <c r="O13" s="135">
        <f t="shared" si="1"/>
        <v>1736432.5</v>
      </c>
      <c r="P13" s="135">
        <f t="shared" si="1"/>
        <v>1736432.5</v>
      </c>
      <c r="Q13" s="135">
        <f t="shared" si="1"/>
        <v>1736432.5</v>
      </c>
      <c r="R13" s="135">
        <f t="shared" si="1"/>
        <v>1736432.5</v>
      </c>
      <c r="S13" s="135">
        <f t="shared" si="1"/>
        <v>1736432.5</v>
      </c>
      <c r="T13" s="135">
        <f t="shared" si="1"/>
        <v>1736432.5</v>
      </c>
      <c r="U13" s="135">
        <f t="shared" si="1"/>
        <v>1736432.5</v>
      </c>
    </row>
    <row r="14" spans="1:21" x14ac:dyDescent="0.35">
      <c r="A14" s="33"/>
      <c r="B14" s="33"/>
      <c r="C14" s="134"/>
      <c r="D14" s="134"/>
    </row>
    <row r="15" spans="1:21" x14ac:dyDescent="0.35">
      <c r="A15" t="s">
        <v>447</v>
      </c>
    </row>
  </sheetData>
  <sheetProtection objects="1"/>
  <mergeCells count="1">
    <mergeCell ref="B8:U8"/>
  </mergeCells>
  <phoneticPr fontId="0" type="noConversion"/>
  <pageMargins left="0.17" right="0.57999999999999996" top="0.59055118110236227" bottom="0.51181102362204722" header="0.51181102362204722" footer="0.51181102362204722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5">
    <pageSetUpPr fitToPage="1"/>
  </sheetPr>
  <dimension ref="A1:I28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1" width="26.7265625" style="34" customWidth="1"/>
    <col min="2" max="9" width="15" style="34" customWidth="1"/>
    <col min="10" max="16384" width="12.54296875" style="34"/>
  </cols>
  <sheetData>
    <row r="1" spans="1:9" x14ac:dyDescent="0.35">
      <c r="A1" s="370" t="str">
        <f>TECNOLOGIAS!A1</f>
        <v>Proponente: TransPolitécnica</v>
      </c>
    </row>
    <row r="2" spans="1:9" x14ac:dyDescent="0.35">
      <c r="A2" s="370" t="str">
        <f>TECNOLOGIAS!A2</f>
        <v>Área de Concessão: 5 (Cinco)</v>
      </c>
    </row>
    <row r="4" spans="1:9" ht="18" x14ac:dyDescent="0.4">
      <c r="A4" s="32" t="s">
        <v>195</v>
      </c>
      <c r="B4" s="77"/>
      <c r="C4" s="77"/>
      <c r="D4" s="77"/>
      <c r="E4" s="77"/>
      <c r="F4" s="77"/>
      <c r="G4" s="77"/>
      <c r="H4" s="77"/>
    </row>
    <row r="6" spans="1:9" x14ac:dyDescent="0.35">
      <c r="A6" s="35" t="s">
        <v>783</v>
      </c>
      <c r="B6" s="33"/>
      <c r="C6" s="33"/>
      <c r="D6" s="33"/>
      <c r="E6" s="33"/>
      <c r="F6" s="33"/>
      <c r="G6" s="33"/>
      <c r="H6" s="33"/>
    </row>
    <row r="7" spans="1:9" x14ac:dyDescent="0.35">
      <c r="A7" s="33"/>
      <c r="B7" s="33"/>
      <c r="C7" s="33"/>
      <c r="D7" s="33"/>
      <c r="E7" s="33"/>
      <c r="F7" s="33"/>
      <c r="G7" s="33"/>
      <c r="H7" s="33"/>
    </row>
    <row r="8" spans="1:9" x14ac:dyDescent="0.35">
      <c r="A8" s="82" t="s">
        <v>317</v>
      </c>
      <c r="B8" s="33"/>
      <c r="C8" s="33"/>
      <c r="D8" s="33"/>
      <c r="E8" s="33"/>
      <c r="F8" s="33"/>
      <c r="G8" s="33"/>
      <c r="H8" s="33"/>
    </row>
    <row r="9" spans="1:9" ht="16" thickBot="1" x14ac:dyDescent="0.4">
      <c r="A9" s="33"/>
      <c r="B9" s="33"/>
      <c r="C9" s="33"/>
      <c r="D9" s="33"/>
      <c r="E9" s="33"/>
      <c r="F9" s="33"/>
      <c r="G9" s="33"/>
      <c r="H9" s="33"/>
    </row>
    <row r="10" spans="1:9" ht="16" thickBot="1" x14ac:dyDescent="0.4">
      <c r="A10" s="104" t="s">
        <v>196</v>
      </c>
      <c r="B10" s="96" t="s">
        <v>197</v>
      </c>
      <c r="C10" s="96"/>
      <c r="D10" s="96"/>
      <c r="E10" s="96"/>
      <c r="F10" s="96"/>
      <c r="G10" s="96"/>
      <c r="H10" s="131"/>
      <c r="I10" s="131"/>
    </row>
    <row r="11" spans="1:9" ht="16" thickBot="1" x14ac:dyDescent="0.4">
      <c r="A11" s="107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116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</row>
    <row r="12" spans="1:9" x14ac:dyDescent="0.35">
      <c r="A12" s="89" t="s">
        <v>66</v>
      </c>
      <c r="B12" s="466">
        <f>+'10'!C12*'8'!$C$23</f>
        <v>0.31318200000000002</v>
      </c>
      <c r="C12" s="466">
        <f>+'10'!D12*'8'!$C$23</f>
        <v>0.48450500000000002</v>
      </c>
      <c r="D12" s="466">
        <f>+'10'!E12*'8'!$C$23</f>
        <v>0.57797699999999996</v>
      </c>
      <c r="E12" s="466">
        <f>+'10'!F12*'8'!$C$23</f>
        <v>0.90322400000000003</v>
      </c>
      <c r="F12" s="466">
        <f>+'10'!G12*'8'!$C$23</f>
        <v>0.53339999999999999</v>
      </c>
      <c r="G12" s="466">
        <f>+'10'!H12*'8'!$C$23</f>
        <v>0.15240000000000001</v>
      </c>
      <c r="H12" s="466">
        <f>+'10'!I12*'8'!$C$23</f>
        <v>0</v>
      </c>
      <c r="I12" s="466">
        <f>+'10'!J12*'8'!$C$23</f>
        <v>0</v>
      </c>
    </row>
    <row r="13" spans="1:9" x14ac:dyDescent="0.35">
      <c r="A13" s="89" t="s">
        <v>116</v>
      </c>
      <c r="B13" s="466">
        <f>+'10'!C14*'8'!$C24</f>
        <v>0</v>
      </c>
      <c r="C13" s="466">
        <f>+'10'!D14*'8'!$C24</f>
        <v>0</v>
      </c>
      <c r="D13" s="466">
        <f>+'10'!E14*'8'!$C24</f>
        <v>0</v>
      </c>
      <c r="E13" s="466">
        <f>+'10'!F14*'8'!$C24</f>
        <v>0</v>
      </c>
      <c r="F13" s="466">
        <f>+'10'!G14*'8'!$C24</f>
        <v>0</v>
      </c>
      <c r="G13" s="466">
        <f>+'10'!H14*'8'!$C24</f>
        <v>0</v>
      </c>
      <c r="H13" s="466">
        <f>+'10'!I14*'8'!$C24</f>
        <v>0</v>
      </c>
      <c r="I13" s="466">
        <f>+'10'!J14*'8'!$C24</f>
        <v>0</v>
      </c>
    </row>
    <row r="14" spans="1:9" x14ac:dyDescent="0.35">
      <c r="A14" s="89" t="s">
        <v>70</v>
      </c>
      <c r="B14" s="466">
        <f>+'10'!C15*'8'!$C$25</f>
        <v>1.2478650000000001E-2</v>
      </c>
      <c r="C14" s="466">
        <f>+'10'!D15*'8'!$C$25</f>
        <v>1.07019E-2</v>
      </c>
      <c r="D14" s="466">
        <f>+'10'!E15*'8'!$C$25</f>
        <v>1.07019E-2</v>
      </c>
      <c r="E14" s="466">
        <f>+'10'!F15*'8'!$C$25</f>
        <v>3.3747900000000004E-2</v>
      </c>
      <c r="F14" s="466">
        <f>+'10'!G15*'8'!$C$25</f>
        <v>1.07019E-2</v>
      </c>
      <c r="G14" s="466">
        <f>+'10'!H15*'8'!$C$25</f>
        <v>5.8063500000000001E-3</v>
      </c>
      <c r="H14" s="466">
        <f>+'10'!I15*'8'!$C$25</f>
        <v>0</v>
      </c>
      <c r="I14" s="466">
        <f>+'10'!J15*'8'!$C$25</f>
        <v>0</v>
      </c>
    </row>
    <row r="15" spans="1:9" x14ac:dyDescent="0.35">
      <c r="A15" s="89" t="s">
        <v>71</v>
      </c>
      <c r="B15" s="466">
        <f>+'10'!C16*'8'!$C$26</f>
        <v>1.1204679999999999E-3</v>
      </c>
      <c r="C15" s="466">
        <f>+'10'!D16*'8'!$C$26</f>
        <v>2.3717E-3</v>
      </c>
      <c r="D15" s="466">
        <f>+'10'!E16*'8'!$C$26</f>
        <v>2.3717E-3</v>
      </c>
      <c r="E15" s="466">
        <f>+'10'!F16*'8'!$C$26</f>
        <v>3.0191100000000002E-3</v>
      </c>
      <c r="F15" s="466">
        <f>+'10'!G16*'8'!$C$26</f>
        <v>2.3717E-3</v>
      </c>
      <c r="G15" s="466">
        <f>+'10'!H16*'8'!$C$26</f>
        <v>4.2947000000000005E-4</v>
      </c>
      <c r="H15" s="466">
        <f>+'10'!I16*'8'!$C$26</f>
        <v>0</v>
      </c>
      <c r="I15" s="466">
        <f>+'10'!J16*'8'!$C$26</f>
        <v>0</v>
      </c>
    </row>
    <row r="16" spans="1:9" x14ac:dyDescent="0.35">
      <c r="A16" s="89" t="s">
        <v>72</v>
      </c>
      <c r="B16" s="466">
        <f>+'10'!C17*'8'!$C$27</f>
        <v>6.5875999999999999E-4</v>
      </c>
      <c r="C16" s="466">
        <f>+'10'!D17*'8'!$C$27</f>
        <v>1.2083E-3</v>
      </c>
      <c r="D16" s="466">
        <f>+'10'!E17*'8'!$C$27</f>
        <v>1.2083E-3</v>
      </c>
      <c r="E16" s="466">
        <f>+'10'!F17*'8'!$C$27</f>
        <v>4.1580999999999996E-3</v>
      </c>
      <c r="F16" s="466">
        <f>+'10'!G17*'8'!$C$27</f>
        <v>1.2083E-3</v>
      </c>
      <c r="G16" s="466">
        <f>+'10'!H17*'8'!$C$27</f>
        <v>3.0099999999999994E-4</v>
      </c>
      <c r="H16" s="466">
        <f>+'10'!I17*'8'!$C$27</f>
        <v>0</v>
      </c>
      <c r="I16" s="466">
        <f>+'10'!J17*'8'!$C$27</f>
        <v>0</v>
      </c>
    </row>
    <row r="17" spans="1:9" x14ac:dyDescent="0.35">
      <c r="A17" s="89" t="s">
        <v>73</v>
      </c>
      <c r="B17" s="466">
        <f>+'10'!C18*'8'!$C$28</f>
        <v>0</v>
      </c>
      <c r="C17" s="466">
        <f>+'10'!D18*'8'!$C$28</f>
        <v>0</v>
      </c>
      <c r="D17" s="466">
        <f>+'10'!E18*'8'!$C$28</f>
        <v>0</v>
      </c>
      <c r="E17" s="466">
        <f>+'10'!F18*'8'!$C$28</f>
        <v>0</v>
      </c>
      <c r="F17" s="466">
        <f>+'10'!G18*'8'!$C$28</f>
        <v>0</v>
      </c>
      <c r="G17" s="466">
        <f>+'10'!H18*'8'!$C$28</f>
        <v>0</v>
      </c>
      <c r="H17" s="466">
        <f>+'10'!I18*'8'!$C$28</f>
        <v>0</v>
      </c>
      <c r="I17" s="466">
        <f>+'10'!J18*'8'!$C$28</f>
        <v>0</v>
      </c>
    </row>
    <row r="18" spans="1:9" x14ac:dyDescent="0.35">
      <c r="A18" s="89" t="s">
        <v>100</v>
      </c>
      <c r="B18" s="466">
        <f>+'10'!C19*'8'!$C$29</f>
        <v>0</v>
      </c>
      <c r="C18" s="466">
        <f>+'10'!D19*'8'!$C$29</f>
        <v>0</v>
      </c>
      <c r="D18" s="466">
        <f>+'10'!E19*'8'!$C$29</f>
        <v>0</v>
      </c>
      <c r="E18" s="466">
        <f>+'10'!F19*'8'!$C$29</f>
        <v>0</v>
      </c>
      <c r="F18" s="466">
        <f>+'10'!G19*'8'!$C$29</f>
        <v>0</v>
      </c>
      <c r="G18" s="466">
        <f>+'10'!H19*'8'!$C$29</f>
        <v>0</v>
      </c>
      <c r="H18" s="466">
        <f>+'10'!I19*'8'!$C$29</f>
        <v>0</v>
      </c>
      <c r="I18" s="466">
        <f>+'10'!J19*'8'!$C$29</f>
        <v>0</v>
      </c>
    </row>
    <row r="19" spans="1:9" x14ac:dyDescent="0.35">
      <c r="A19" s="89" t="s">
        <v>74</v>
      </c>
      <c r="B19" s="466">
        <f>+'10'!C20*'8'!$C$30</f>
        <v>0</v>
      </c>
      <c r="C19" s="466">
        <f>+'10'!D20*'8'!$C$30</f>
        <v>5.260000000000001E-4</v>
      </c>
      <c r="D19" s="466">
        <f>+'10'!E20*'8'!$C$30</f>
        <v>5.260000000000001E-4</v>
      </c>
      <c r="E19" s="466">
        <f>+'10'!F20*'8'!$C$30</f>
        <v>0</v>
      </c>
      <c r="F19" s="466">
        <f>+'10'!G20*'8'!$C$30</f>
        <v>5.260000000000001E-4</v>
      </c>
      <c r="G19" s="466">
        <f>+'10'!H20*'8'!$C$30</f>
        <v>1.1835E-4</v>
      </c>
      <c r="H19" s="466">
        <f>+'10'!I20*'8'!$C$30</f>
        <v>0</v>
      </c>
      <c r="I19" s="466">
        <f>+'10'!J20*'8'!$C$30</f>
        <v>0</v>
      </c>
    </row>
    <row r="20" spans="1:9" x14ac:dyDescent="0.35">
      <c r="A20" s="89" t="s">
        <v>75</v>
      </c>
      <c r="B20" s="466">
        <f>+'10'!C21*'8'!$C$31</f>
        <v>1E-3</v>
      </c>
      <c r="C20" s="466">
        <f>+'10'!D21*'8'!$C$31</f>
        <v>7.3499999999999998E-4</v>
      </c>
      <c r="D20" s="466">
        <f>+'10'!E21*'8'!$C$31</f>
        <v>7.3499999999999998E-4</v>
      </c>
      <c r="E20" s="466">
        <f>+'10'!F21*'8'!$C$31</f>
        <v>2.2499999999999998E-3</v>
      </c>
      <c r="F20" s="466">
        <f>+'10'!G21*'8'!$C$31</f>
        <v>7.3499999999999998E-4</v>
      </c>
      <c r="G20" s="466">
        <f>+'10'!H21*'8'!$C$31</f>
        <v>2.2500000000000002E-4</v>
      </c>
      <c r="H20" s="466">
        <f>+'10'!I21*'8'!$C$31</f>
        <v>0</v>
      </c>
      <c r="I20" s="466">
        <f>+'10'!J21*'8'!$C$31</f>
        <v>0</v>
      </c>
    </row>
    <row r="21" spans="1:9" x14ac:dyDescent="0.35">
      <c r="A21" s="89" t="s">
        <v>77</v>
      </c>
      <c r="B21" s="466">
        <f>+'10'!C22*'8'!$C$32</f>
        <v>0</v>
      </c>
      <c r="C21" s="466">
        <f>+'10'!D22*'8'!$C$32</f>
        <v>0</v>
      </c>
      <c r="D21" s="466">
        <f>+'10'!E22*'8'!$C$32</f>
        <v>0</v>
      </c>
      <c r="E21" s="466">
        <f>+'10'!F22*'8'!$C$32</f>
        <v>0</v>
      </c>
      <c r="F21" s="466">
        <f>+'10'!G22*'8'!$C$32</f>
        <v>0</v>
      </c>
      <c r="G21" s="466">
        <f>+'10'!H22*'8'!$C$32</f>
        <v>0</v>
      </c>
      <c r="H21" s="466">
        <f>+'10'!I22*'8'!$C$32</f>
        <v>0</v>
      </c>
      <c r="I21" s="466">
        <f>+'10'!J22*'8'!$C$32</f>
        <v>0</v>
      </c>
    </row>
    <row r="22" spans="1:9" x14ac:dyDescent="0.35">
      <c r="A22" s="89">
        <f>'10'!A23</f>
        <v>0</v>
      </c>
      <c r="B22" s="466">
        <f>+'10'!C23*'8'!$C$33</f>
        <v>0</v>
      </c>
      <c r="C22" s="466">
        <f>+'10'!D23*'8'!$C$33</f>
        <v>0</v>
      </c>
      <c r="D22" s="466">
        <f>+'10'!E23*'8'!$C$33</f>
        <v>0</v>
      </c>
      <c r="E22" s="466">
        <f>+'10'!F23*'8'!$C$33</f>
        <v>0</v>
      </c>
      <c r="F22" s="466">
        <f>+'10'!G23*'8'!$C$33</f>
        <v>0</v>
      </c>
      <c r="G22" s="466">
        <f>+'10'!H23*'8'!$C$33</f>
        <v>0</v>
      </c>
      <c r="H22" s="466">
        <f>+'10'!I23*'8'!$C$33</f>
        <v>0</v>
      </c>
      <c r="I22" s="466">
        <f>+'10'!J23*'8'!$C$33</f>
        <v>0</v>
      </c>
    </row>
    <row r="23" spans="1:9" x14ac:dyDescent="0.35">
      <c r="A23" s="89">
        <f>'10'!A24</f>
        <v>0</v>
      </c>
      <c r="B23" s="466">
        <f>+'10'!C24*'8'!$C$34</f>
        <v>0</v>
      </c>
      <c r="C23" s="466">
        <f>+'10'!D24*'8'!$C$34</f>
        <v>0</v>
      </c>
      <c r="D23" s="466">
        <f>+'10'!E24*'8'!$C$34</f>
        <v>0</v>
      </c>
      <c r="E23" s="466">
        <f>+'10'!F24*'8'!$C$34</f>
        <v>0</v>
      </c>
      <c r="F23" s="466">
        <f>+'10'!G24*'8'!$C$34</f>
        <v>0</v>
      </c>
      <c r="G23" s="466">
        <f>+'10'!H24*'8'!$C$34</f>
        <v>0</v>
      </c>
      <c r="H23" s="466">
        <f>+'10'!I24*'8'!$C$34</f>
        <v>0</v>
      </c>
      <c r="I23" s="466">
        <f>+'10'!J24*'8'!$C$34</f>
        <v>0</v>
      </c>
    </row>
    <row r="24" spans="1:9" x14ac:dyDescent="0.35">
      <c r="A24" s="89">
        <f>'10'!A25</f>
        <v>0</v>
      </c>
      <c r="B24" s="466">
        <f>+'10'!C25*'8'!$C$35</f>
        <v>0</v>
      </c>
      <c r="C24" s="466">
        <f>+'10'!D25*'8'!$C$35</f>
        <v>0</v>
      </c>
      <c r="D24" s="466">
        <f>+'10'!E25*'8'!$C$35</f>
        <v>0</v>
      </c>
      <c r="E24" s="466">
        <f>+'10'!F25*'8'!$C$35</f>
        <v>0</v>
      </c>
      <c r="F24" s="466">
        <f>+'10'!G25*'8'!$C$35</f>
        <v>0</v>
      </c>
      <c r="G24" s="466">
        <f>+'10'!H25*'8'!$C$35</f>
        <v>0</v>
      </c>
      <c r="H24" s="466">
        <f>+'10'!I25*'8'!$C$35</f>
        <v>0</v>
      </c>
      <c r="I24" s="466">
        <f>+'10'!J25*'8'!$C$35</f>
        <v>0</v>
      </c>
    </row>
    <row r="25" spans="1:9" x14ac:dyDescent="0.35">
      <c r="A25" s="33"/>
      <c r="B25" s="158"/>
      <c r="C25" s="158"/>
      <c r="D25" s="158"/>
      <c r="E25" s="158"/>
      <c r="F25" s="158"/>
      <c r="G25" s="158"/>
      <c r="H25" s="158"/>
      <c r="I25" s="158"/>
    </row>
    <row r="26" spans="1:9" x14ac:dyDescent="0.35">
      <c r="A26" s="119" t="s">
        <v>59</v>
      </c>
      <c r="B26" s="466">
        <f t="shared" ref="B26:I26" si="0">SUM(B12:B24)</f>
        <v>0.32843987799999996</v>
      </c>
      <c r="C26" s="466">
        <f t="shared" si="0"/>
        <v>0.50004789999999999</v>
      </c>
      <c r="D26" s="466">
        <f t="shared" si="0"/>
        <v>0.5935199000000001</v>
      </c>
      <c r="E26" s="466">
        <f t="shared" si="0"/>
        <v>0.9463991100000001</v>
      </c>
      <c r="F26" s="466">
        <f t="shared" si="0"/>
        <v>0.54894290000000012</v>
      </c>
      <c r="G26" s="466">
        <f t="shared" si="0"/>
        <v>0.15928016999999997</v>
      </c>
      <c r="H26" s="466">
        <f t="shared" si="0"/>
        <v>0</v>
      </c>
      <c r="I26" s="466">
        <f t="shared" si="0"/>
        <v>0</v>
      </c>
    </row>
    <row r="28" spans="1:9" x14ac:dyDescent="0.35">
      <c r="A28" t="s">
        <v>447</v>
      </c>
    </row>
  </sheetData>
  <sheetProtection objects="1"/>
  <phoneticPr fontId="0" type="noConversion"/>
  <pageMargins left="0.39" right="0.39370078740157483" top="0.59055118110236227" bottom="0.51181102362204722" header="0.51181102362204722" footer="0.51181102362204722"/>
  <pageSetup paperSize="9" scale="89" orientation="landscape" horizontalDpi="300" verticalDpi="300" r:id="rId1"/>
  <headerFooter alignWithMargins="0"/>
  <rowBreaks count="1" manualBreakCount="1">
    <brk id="6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6">
    <pageSetUpPr fitToPage="1"/>
  </sheetPr>
  <dimension ref="A1:J33"/>
  <sheetViews>
    <sheetView showGridLines="0" showZeros="0" defaultGridColor="0" view="pageBreakPreview" topLeftCell="A7" colorId="22" zoomScale="60" zoomScaleNormal="87" workbookViewId="0"/>
  </sheetViews>
  <sheetFormatPr defaultColWidth="12.54296875" defaultRowHeight="15.5" x14ac:dyDescent="0.35"/>
  <cols>
    <col min="1" max="1" width="11.54296875" style="34" customWidth="1"/>
    <col min="2" max="10" width="15.26953125" style="34" customWidth="1"/>
    <col min="11" max="16384" width="12.54296875" style="34"/>
  </cols>
  <sheetData>
    <row r="1" spans="1:10" x14ac:dyDescent="0.35">
      <c r="A1" s="370" t="str">
        <f>TECNOLOGIAS!A1</f>
        <v>Proponente: TransPolitécnica</v>
      </c>
    </row>
    <row r="2" spans="1:10" x14ac:dyDescent="0.35">
      <c r="A2" s="370" t="str">
        <f>TECNOLOGIAS!A2</f>
        <v>Área de Concessão: 5 (Cinco)</v>
      </c>
    </row>
    <row r="4" spans="1:10" ht="18" x14ac:dyDescent="0.4">
      <c r="A4" s="32" t="s">
        <v>198</v>
      </c>
      <c r="B4" s="77"/>
      <c r="C4" s="77"/>
      <c r="D4" s="77"/>
      <c r="E4" s="77"/>
      <c r="F4" s="77"/>
      <c r="G4" s="77"/>
      <c r="H4" s="77"/>
      <c r="I4" s="77"/>
    </row>
    <row r="6" spans="1:10" x14ac:dyDescent="0.35">
      <c r="A6" s="35" t="s">
        <v>784</v>
      </c>
      <c r="B6" s="33"/>
      <c r="C6" s="33"/>
      <c r="D6" s="33"/>
      <c r="E6" s="33"/>
      <c r="F6" s="33"/>
      <c r="G6" s="33"/>
      <c r="H6" s="33"/>
      <c r="I6" s="33"/>
    </row>
    <row r="7" spans="1:10" x14ac:dyDescent="0.35">
      <c r="A7" s="33"/>
      <c r="B7" s="33"/>
      <c r="C7" s="33"/>
      <c r="D7" s="33"/>
      <c r="E7" s="33"/>
      <c r="F7" s="33"/>
      <c r="G7" s="33"/>
      <c r="H7" s="33"/>
      <c r="I7" s="33"/>
    </row>
    <row r="8" spans="1:10" x14ac:dyDescent="0.35">
      <c r="A8" s="82" t="s">
        <v>317</v>
      </c>
      <c r="B8" s="33"/>
      <c r="C8" s="33"/>
      <c r="D8" s="33"/>
      <c r="E8" s="33"/>
      <c r="F8" s="33"/>
      <c r="G8" s="33"/>
      <c r="H8" s="33"/>
      <c r="I8" s="33"/>
    </row>
    <row r="9" spans="1:10" ht="16" thickBot="1" x14ac:dyDescent="0.4">
      <c r="A9" s="33"/>
      <c r="B9" s="33"/>
      <c r="C9" s="33"/>
      <c r="D9" s="33"/>
      <c r="E9" s="33"/>
      <c r="F9" s="33"/>
      <c r="G9" s="33"/>
      <c r="H9" s="33"/>
      <c r="I9" s="33"/>
    </row>
    <row r="10" spans="1:10" ht="17.25" customHeight="1" thickBot="1" x14ac:dyDescent="0.4">
      <c r="A10" s="95" t="s">
        <v>371</v>
      </c>
      <c r="B10" s="37" t="s">
        <v>434</v>
      </c>
      <c r="C10" s="146"/>
      <c r="D10" s="38"/>
      <c r="E10" s="38"/>
      <c r="F10" s="38"/>
      <c r="G10" s="38"/>
      <c r="H10" s="38"/>
      <c r="I10" s="39"/>
      <c r="J10" s="39"/>
    </row>
    <row r="11" spans="1:10" ht="17.25" customHeight="1" thickBot="1" x14ac:dyDescent="0.4">
      <c r="A11" s="41"/>
      <c r="B11" s="27" t="str">
        <f>TECNOLOGIAS!$A$7</f>
        <v>Micro Ônibus</v>
      </c>
      <c r="C11" s="27" t="str">
        <f>TECNOLOGIAS!$A$8</f>
        <v>Básico</v>
      </c>
      <c r="D11" s="27" t="str">
        <f>TECNOLOGIAS!$A$9</f>
        <v>Padron</v>
      </c>
      <c r="E11" s="27" t="str">
        <f>TECNOLOGIAS!$A$10</f>
        <v>Articulados</v>
      </c>
      <c r="F11" s="81" t="str">
        <f>TECNOLOGIAS!$A$11</f>
        <v>Híbrido Piso Baixo</v>
      </c>
      <c r="G11" s="81" t="str">
        <f>TECNOLOGIAS!$A$12</f>
        <v>Van Atende</v>
      </c>
      <c r="H11" s="81" t="str">
        <f>TECNOLOGIAS!$A$13</f>
        <v>TIPO 7</v>
      </c>
      <c r="I11" s="81" t="str">
        <f>TECNOLOGIAS!$A$14</f>
        <v>TIPO 8</v>
      </c>
      <c r="J11" s="99" t="s">
        <v>59</v>
      </c>
    </row>
    <row r="12" spans="1:10" ht="17.25" customHeight="1" x14ac:dyDescent="0.35">
      <c r="A12" s="92">
        <v>1</v>
      </c>
      <c r="B12" s="148">
        <f>ROUND(+'17'!$B$26*'7'!B10,2)</f>
        <v>160011.97</v>
      </c>
      <c r="C12" s="148">
        <f>ROUND(+'17'!$C$26*'7'!C10,2)</f>
        <v>13423336.83</v>
      </c>
      <c r="D12" s="148">
        <f>ROUND(+'17'!$D$26*'7'!D10,2)</f>
        <v>1296297.32</v>
      </c>
      <c r="E12" s="148">
        <f>ROUND(+'17'!$E$26*'7'!E10,2)</f>
        <v>0</v>
      </c>
      <c r="F12" s="148">
        <f>ROUND(+'17'!$F$26*'7'!F10,2)</f>
        <v>0</v>
      </c>
      <c r="G12" s="148">
        <f>ROUND(+'17'!$G$26*'7'!G10,2)</f>
        <v>97766.17</v>
      </c>
      <c r="H12" s="148">
        <f>ROUND(+'17'!$H$26*'7'!H10,2)</f>
        <v>0</v>
      </c>
      <c r="I12" s="148">
        <f>ROUND(+'17'!$I$26*'7'!I10,2)</f>
        <v>0</v>
      </c>
      <c r="J12" s="148">
        <f>SUM(B12:I12)</f>
        <v>14977412.290000001</v>
      </c>
    </row>
    <row r="13" spans="1:10" ht="17.25" customHeight="1" x14ac:dyDescent="0.35">
      <c r="A13" s="92">
        <v>2</v>
      </c>
      <c r="B13" s="148">
        <f>ROUND(+'17'!$B$26*'7'!B11,2)</f>
        <v>307715.32</v>
      </c>
      <c r="C13" s="148">
        <f>ROUND(+'17'!$C$26*'7'!C11,2)</f>
        <v>11911888.050000001</v>
      </c>
      <c r="D13" s="148">
        <f>ROUND(+'17'!$D$26*'7'!D11,2)</f>
        <v>2572018.4900000002</v>
      </c>
      <c r="E13" s="148">
        <f>ROUND(+'17'!$E$26*'7'!E11,2)</f>
        <v>0</v>
      </c>
      <c r="F13" s="148">
        <f>ROUND(+'17'!$F$26*'7'!F11,2)</f>
        <v>232466.34</v>
      </c>
      <c r="G13" s="148">
        <f>ROUND(+'17'!$G$26*'7'!G11,2)</f>
        <v>97766.17</v>
      </c>
      <c r="H13" s="148">
        <f>ROUND(+'17'!$H$26*'7'!H11,2)</f>
        <v>0</v>
      </c>
      <c r="I13" s="148">
        <f>ROUND(+'17'!$I$26*'7'!I11,2)</f>
        <v>0</v>
      </c>
      <c r="J13" s="148">
        <f t="shared" ref="J13:J21" si="0">SUM(B13:I13)</f>
        <v>15121854.370000001</v>
      </c>
    </row>
    <row r="14" spans="1:10" ht="17.25" customHeight="1" x14ac:dyDescent="0.35">
      <c r="A14" s="92">
        <v>3</v>
      </c>
      <c r="B14" s="148">
        <f>ROUND(+'17'!$B$26*'7'!B12,2)</f>
        <v>455418.68</v>
      </c>
      <c r="C14" s="148">
        <f>ROUND(+'17'!$C$26*'7'!C12,2)</f>
        <v>10612199.550000001</v>
      </c>
      <c r="D14" s="148">
        <f>ROUND(+'17'!$D$26*'7'!D12,2)</f>
        <v>3847739.66</v>
      </c>
      <c r="E14" s="148">
        <f>ROUND(+'17'!$E$26*'7'!E12,2)</f>
        <v>0</v>
      </c>
      <c r="F14" s="148">
        <f>ROUND(+'17'!$F$26*'7'!F12,2)</f>
        <v>232466.34</v>
      </c>
      <c r="G14" s="148">
        <f>ROUND(+'17'!$G$26*'7'!G12,2)</f>
        <v>97766.17</v>
      </c>
      <c r="H14" s="148">
        <f>ROUND(+'17'!$H$26*'7'!H12,2)</f>
        <v>0</v>
      </c>
      <c r="I14" s="148">
        <f>ROUND(+'17'!$I$26*'7'!I12,2)</f>
        <v>0</v>
      </c>
      <c r="J14" s="148">
        <f t="shared" si="0"/>
        <v>15245590.4</v>
      </c>
    </row>
    <row r="15" spans="1:10" ht="17.25" customHeight="1" x14ac:dyDescent="0.35">
      <c r="A15" s="92">
        <v>4</v>
      </c>
      <c r="B15" s="148">
        <f>ROUND(+'17'!$B$26*'7'!B13,2)</f>
        <v>615430.64</v>
      </c>
      <c r="C15" s="148">
        <f>ROUND(+'17'!$C$26*'7'!C13,2)</f>
        <v>9293771.2599999998</v>
      </c>
      <c r="D15" s="148">
        <f>ROUND(+'17'!$D$26*'7'!D13,2)</f>
        <v>5123460.83</v>
      </c>
      <c r="E15" s="148">
        <f>ROUND(+'17'!$E$26*'7'!E13,2)</f>
        <v>0</v>
      </c>
      <c r="F15" s="148">
        <f>ROUND(+'17'!$F$26*'7'!F13,2)</f>
        <v>232466.34</v>
      </c>
      <c r="G15" s="148">
        <f>ROUND(+'17'!$G$26*'7'!G13,2)</f>
        <v>97766.17</v>
      </c>
      <c r="H15" s="148">
        <f>ROUND(+'17'!$H$26*'7'!H13,2)</f>
        <v>0</v>
      </c>
      <c r="I15" s="148">
        <f>ROUND(+'17'!$I$26*'7'!I13,2)</f>
        <v>0</v>
      </c>
      <c r="J15" s="148">
        <f t="shared" si="0"/>
        <v>15362895.24</v>
      </c>
    </row>
    <row r="16" spans="1:10" ht="17.25" customHeight="1" x14ac:dyDescent="0.35">
      <c r="A16" s="92">
        <v>5</v>
      </c>
      <c r="B16" s="148">
        <f>ROUND(+'17'!$B$26*'7'!B14,2)</f>
        <v>763134</v>
      </c>
      <c r="C16" s="148">
        <f>ROUND(+'17'!$C$26*'7'!C14,2)</f>
        <v>7707117.2699999996</v>
      </c>
      <c r="D16" s="148">
        <f>ROUND(+'17'!$D$26*'7'!D14,2)</f>
        <v>6419758.1399999997</v>
      </c>
      <c r="E16" s="148">
        <f>ROUND(+'17'!$E$26*'7'!E14,2)</f>
        <v>510305.97</v>
      </c>
      <c r="F16" s="148">
        <f>ROUND(+'17'!$F$26*'7'!F14,2)</f>
        <v>232466.34</v>
      </c>
      <c r="G16" s="148">
        <f>ROUND(+'17'!$G$26*'7'!G14,2)</f>
        <v>97766.17</v>
      </c>
      <c r="H16" s="148">
        <f>ROUND(+'17'!$H$26*'7'!H14,2)</f>
        <v>0</v>
      </c>
      <c r="I16" s="148">
        <f>ROUND(+'17'!$I$26*'7'!I14,2)</f>
        <v>0</v>
      </c>
      <c r="J16" s="148">
        <f t="shared" si="0"/>
        <v>15730547.890000001</v>
      </c>
    </row>
    <row r="17" spans="1:10" ht="17.25" customHeight="1" x14ac:dyDescent="0.35">
      <c r="A17" s="92">
        <v>6</v>
      </c>
      <c r="B17" s="148">
        <f>ROUND(+'17'!$B$26*'7'!B15,2)</f>
        <v>910837.35</v>
      </c>
      <c r="C17" s="148">
        <f>ROUND(+'17'!$C$26*'7'!C15,2)</f>
        <v>6137798.9400000004</v>
      </c>
      <c r="D17" s="148">
        <f>ROUND(+'17'!$D$26*'7'!D15,2)</f>
        <v>7695479.3099999996</v>
      </c>
      <c r="E17" s="148">
        <f>ROUND(+'17'!$E$26*'7'!E15,2)</f>
        <v>1020611.94</v>
      </c>
      <c r="F17" s="148">
        <f>ROUND(+'17'!$F$26*'7'!F15,2)</f>
        <v>232466.34</v>
      </c>
      <c r="G17" s="148">
        <f>ROUND(+'17'!$G$26*'7'!G15,2)</f>
        <v>97766.17</v>
      </c>
      <c r="H17" s="148">
        <f>ROUND(+'17'!$H$26*'7'!H15,2)</f>
        <v>0</v>
      </c>
      <c r="I17" s="148">
        <f>ROUND(+'17'!$I$26*'7'!I15,2)</f>
        <v>0</v>
      </c>
      <c r="J17" s="148">
        <f t="shared" si="0"/>
        <v>16094960.049999999</v>
      </c>
    </row>
    <row r="18" spans="1:10" ht="17.25" customHeight="1" x14ac:dyDescent="0.35">
      <c r="A18" s="92">
        <v>7</v>
      </c>
      <c r="B18" s="148">
        <f>ROUND(+'17'!$B$26*'7'!B16,2)</f>
        <v>1070849.32</v>
      </c>
      <c r="C18" s="148">
        <f>ROUND(+'17'!$C$26*'7'!C16,2)</f>
        <v>4549740.82</v>
      </c>
      <c r="D18" s="148">
        <f>ROUND(+'17'!$D$26*'7'!D16,2)</f>
        <v>8971200.4800000004</v>
      </c>
      <c r="E18" s="148">
        <f>ROUND(+'17'!$E$26*'7'!E16,2)</f>
        <v>1530917.91</v>
      </c>
      <c r="F18" s="148">
        <f>ROUND(+'17'!$F$26*'7'!F16,2)</f>
        <v>232466.34</v>
      </c>
      <c r="G18" s="148">
        <f>ROUND(+'17'!$G$26*'7'!G16,2)</f>
        <v>97766.17</v>
      </c>
      <c r="H18" s="148">
        <f>ROUND(+'17'!$H$26*'7'!H16,2)</f>
        <v>0</v>
      </c>
      <c r="I18" s="148">
        <f>ROUND(+'17'!$I$26*'7'!I16,2)</f>
        <v>0</v>
      </c>
      <c r="J18" s="148">
        <f t="shared" si="0"/>
        <v>16452941.040000001</v>
      </c>
    </row>
    <row r="19" spans="1:10" ht="17.25" customHeight="1" x14ac:dyDescent="0.35">
      <c r="A19" s="92">
        <v>8</v>
      </c>
      <c r="B19" s="148">
        <f>ROUND(+'17'!$B$26*'7'!B17,2)</f>
        <v>1218552.67</v>
      </c>
      <c r="C19" s="148">
        <f>ROUND(+'17'!$C$26*'7'!C17,2)</f>
        <v>2980422.5</v>
      </c>
      <c r="D19" s="148">
        <f>ROUND(+'17'!$D$26*'7'!D17,2)</f>
        <v>10246921.65</v>
      </c>
      <c r="E19" s="148">
        <f>ROUND(+'17'!$E$26*'7'!E17,2)</f>
        <v>2041223.89</v>
      </c>
      <c r="F19" s="148">
        <f>ROUND(+'17'!$F$26*'7'!F17,2)</f>
        <v>232466.34</v>
      </c>
      <c r="G19" s="148">
        <f>ROUND(+'17'!$G$26*'7'!G17,2)</f>
        <v>97766.17</v>
      </c>
      <c r="H19" s="148">
        <f>ROUND(+'17'!$H$26*'7'!H17,2)</f>
        <v>0</v>
      </c>
      <c r="I19" s="148">
        <f>ROUND(+'17'!$I$26*'7'!I17,2)</f>
        <v>0</v>
      </c>
      <c r="J19" s="148">
        <f t="shared" si="0"/>
        <v>16817353.220000003</v>
      </c>
    </row>
    <row r="20" spans="1:10" ht="17.25" customHeight="1" x14ac:dyDescent="0.35">
      <c r="A20" s="92">
        <v>9</v>
      </c>
      <c r="B20" s="148">
        <f>ROUND(+'17'!$B$26*'7'!B18,2)</f>
        <v>1366256.03</v>
      </c>
      <c r="C20" s="148">
        <f>ROUND(+'17'!$C$26*'7'!C18,2)</f>
        <v>1433573.32</v>
      </c>
      <c r="D20" s="148">
        <f>ROUND(+'17'!$D$26*'7'!D18,2)</f>
        <v>11522642.82</v>
      </c>
      <c r="E20" s="148">
        <f>ROUND(+'17'!$E$26*'7'!E18,2)</f>
        <v>2509004.36</v>
      </c>
      <c r="F20" s="148">
        <f>ROUND(+'17'!$F$26*'7'!F18,2)</f>
        <v>232466.34</v>
      </c>
      <c r="G20" s="148">
        <f>ROUND(+'17'!$G$26*'7'!G18,2)</f>
        <v>97766.17</v>
      </c>
      <c r="H20" s="148">
        <f>ROUND(+'17'!$H$26*'7'!H18,2)</f>
        <v>0</v>
      </c>
      <c r="I20" s="148">
        <f>ROUND(+'17'!$I$26*'7'!I18,2)</f>
        <v>0</v>
      </c>
      <c r="J20" s="148">
        <f t="shared" si="0"/>
        <v>17161709.040000003</v>
      </c>
    </row>
    <row r="21" spans="1:10" ht="17.25" customHeight="1" x14ac:dyDescent="0.35">
      <c r="A21" s="92">
        <v>10</v>
      </c>
      <c r="B21" s="148">
        <f>ROUND(+'17'!$B$26*'7'!B19,2)</f>
        <v>1366256.03</v>
      </c>
      <c r="C21" s="148">
        <f>ROUND(+'17'!$C$26*'7'!C19,2)</f>
        <v>1433573.32</v>
      </c>
      <c r="D21" s="148">
        <f>ROUND(+'17'!$D$26*'7'!D19,2)</f>
        <v>11522642.82</v>
      </c>
      <c r="E21" s="148">
        <f>ROUND(+'17'!$E$26*'7'!E19,2)</f>
        <v>2509004.36</v>
      </c>
      <c r="F21" s="148">
        <f>ROUND(+'17'!$F$26*'7'!F19,2)</f>
        <v>232466.34</v>
      </c>
      <c r="G21" s="148">
        <f>ROUND(+'17'!$G$26*'7'!G19,2)</f>
        <v>97766.17</v>
      </c>
      <c r="H21" s="148">
        <f>ROUND(+'17'!$H$26*'7'!H19,2)</f>
        <v>0</v>
      </c>
      <c r="I21" s="148">
        <f>ROUND(+'17'!$I$26*'7'!I19,2)</f>
        <v>0</v>
      </c>
      <c r="J21" s="148">
        <f t="shared" si="0"/>
        <v>17161709.040000003</v>
      </c>
    </row>
    <row r="22" spans="1:10" x14ac:dyDescent="0.35">
      <c r="A22" s="92">
        <v>11</v>
      </c>
      <c r="B22" s="148">
        <f>ROUND(+'17'!$B$26*'7'!B20,2)</f>
        <v>1366256.03</v>
      </c>
      <c r="C22" s="148">
        <f>ROUND(+'17'!$C$26*'7'!C20,2)</f>
        <v>1433573.32</v>
      </c>
      <c r="D22" s="148">
        <f>ROUND(+'17'!$D$26*'7'!D20,2)</f>
        <v>11522642.82</v>
      </c>
      <c r="E22" s="148">
        <f>ROUND(+'17'!$E$26*'7'!E20,2)</f>
        <v>2509004.36</v>
      </c>
      <c r="F22" s="148">
        <f>ROUND(+'17'!$F$26*'7'!F20,2)</f>
        <v>232466.34</v>
      </c>
      <c r="G22" s="148">
        <f>ROUND(+'17'!$G$26*'7'!G20,2)</f>
        <v>97766.17</v>
      </c>
      <c r="H22" s="148">
        <f>ROUND(+'17'!$H$26*'7'!H20,2)</f>
        <v>0</v>
      </c>
      <c r="I22" s="148">
        <f>ROUND(+'17'!$I$26*'7'!I20,2)</f>
        <v>0</v>
      </c>
      <c r="J22" s="148">
        <f t="shared" ref="J22:J31" si="1">SUM(B22:I22)</f>
        <v>17161709.040000003</v>
      </c>
    </row>
    <row r="23" spans="1:10" x14ac:dyDescent="0.35">
      <c r="A23" s="92">
        <v>12</v>
      </c>
      <c r="B23" s="148">
        <f>ROUND(+'17'!$B$26*'7'!B21,2)</f>
        <v>1366256.03</v>
      </c>
      <c r="C23" s="148">
        <f>ROUND(+'17'!$C$26*'7'!C21,2)</f>
        <v>1433573.32</v>
      </c>
      <c r="D23" s="148">
        <f>ROUND(+'17'!$D$26*'7'!D21,2)</f>
        <v>11522642.82</v>
      </c>
      <c r="E23" s="148">
        <f>ROUND(+'17'!$E$26*'7'!E21,2)</f>
        <v>2509004.36</v>
      </c>
      <c r="F23" s="148">
        <f>ROUND(+'17'!$F$26*'7'!F21,2)</f>
        <v>232466.34</v>
      </c>
      <c r="G23" s="148">
        <f>ROUND(+'17'!$G$26*'7'!G21,2)</f>
        <v>97766.17</v>
      </c>
      <c r="H23" s="148">
        <f>ROUND(+'17'!$H$26*'7'!H21,2)</f>
        <v>0</v>
      </c>
      <c r="I23" s="148">
        <f>ROUND(+'17'!$I$26*'7'!I21,2)</f>
        <v>0</v>
      </c>
      <c r="J23" s="148">
        <f t="shared" si="1"/>
        <v>17161709.040000003</v>
      </c>
    </row>
    <row r="24" spans="1:10" x14ac:dyDescent="0.35">
      <c r="A24" s="92">
        <v>13</v>
      </c>
      <c r="B24" s="148">
        <f>ROUND(+'17'!$B$26*'7'!B22,2)</f>
        <v>1366256.03</v>
      </c>
      <c r="C24" s="148">
        <f>ROUND(+'17'!$C$26*'7'!C22,2)</f>
        <v>1433573.32</v>
      </c>
      <c r="D24" s="148">
        <f>ROUND(+'17'!$D$26*'7'!D22,2)</f>
        <v>11522642.82</v>
      </c>
      <c r="E24" s="148">
        <f>ROUND(+'17'!$E$26*'7'!E22,2)</f>
        <v>2509004.36</v>
      </c>
      <c r="F24" s="148">
        <f>ROUND(+'17'!$F$26*'7'!F22,2)</f>
        <v>232466.34</v>
      </c>
      <c r="G24" s="148">
        <f>ROUND(+'17'!$G$26*'7'!G22,2)</f>
        <v>97766.17</v>
      </c>
      <c r="H24" s="148">
        <f>ROUND(+'17'!$H$26*'7'!H22,2)</f>
        <v>0</v>
      </c>
      <c r="I24" s="148">
        <f>ROUND(+'17'!$I$26*'7'!I22,2)</f>
        <v>0</v>
      </c>
      <c r="J24" s="148">
        <f t="shared" si="1"/>
        <v>17161709.040000003</v>
      </c>
    </row>
    <row r="25" spans="1:10" x14ac:dyDescent="0.35">
      <c r="A25" s="92">
        <v>14</v>
      </c>
      <c r="B25" s="148">
        <f>ROUND(+'17'!$B$26*'7'!B23,2)</f>
        <v>1366256.03</v>
      </c>
      <c r="C25" s="148">
        <f>ROUND(+'17'!$C$26*'7'!C23,2)</f>
        <v>1433573.32</v>
      </c>
      <c r="D25" s="148">
        <f>ROUND(+'17'!$D$26*'7'!D23,2)</f>
        <v>11522642.82</v>
      </c>
      <c r="E25" s="148">
        <f>ROUND(+'17'!$E$26*'7'!E23,2)</f>
        <v>2509004.36</v>
      </c>
      <c r="F25" s="148">
        <f>ROUND(+'17'!$F$26*'7'!F23,2)</f>
        <v>232466.34</v>
      </c>
      <c r="G25" s="148">
        <f>ROUND(+'17'!$G$26*'7'!G23,2)</f>
        <v>97766.17</v>
      </c>
      <c r="H25" s="148">
        <f>ROUND(+'17'!$H$26*'7'!H23,2)</f>
        <v>0</v>
      </c>
      <c r="I25" s="148">
        <f>ROUND(+'17'!$I$26*'7'!I23,2)</f>
        <v>0</v>
      </c>
      <c r="J25" s="148">
        <f t="shared" si="1"/>
        <v>17161709.040000003</v>
      </c>
    </row>
    <row r="26" spans="1:10" x14ac:dyDescent="0.35">
      <c r="A26" s="92">
        <v>15</v>
      </c>
      <c r="B26" s="148">
        <f>ROUND(+'17'!$B$26*'7'!B24,2)</f>
        <v>1366256.03</v>
      </c>
      <c r="C26" s="148">
        <f>ROUND(+'17'!$C$26*'7'!C24,2)</f>
        <v>1433573.32</v>
      </c>
      <c r="D26" s="148">
        <f>ROUND(+'17'!$D$26*'7'!D24,2)</f>
        <v>11522642.82</v>
      </c>
      <c r="E26" s="148">
        <f>ROUND(+'17'!$E$26*'7'!E24,2)</f>
        <v>2509004.36</v>
      </c>
      <c r="F26" s="148">
        <f>ROUND(+'17'!$F$26*'7'!F24,2)</f>
        <v>232466.34</v>
      </c>
      <c r="G26" s="148">
        <f>ROUND(+'17'!$G$26*'7'!G24,2)</f>
        <v>97766.17</v>
      </c>
      <c r="H26" s="148">
        <f>ROUND(+'17'!$H$26*'7'!H24,2)</f>
        <v>0</v>
      </c>
      <c r="I26" s="148">
        <f>ROUND(+'17'!$I$26*'7'!I24,2)</f>
        <v>0</v>
      </c>
      <c r="J26" s="148">
        <f t="shared" si="1"/>
        <v>17161709.040000003</v>
      </c>
    </row>
    <row r="27" spans="1:10" x14ac:dyDescent="0.35">
      <c r="A27" s="92">
        <v>16</v>
      </c>
      <c r="B27" s="148">
        <f>ROUND(+'17'!$B$26*'7'!B25,2)</f>
        <v>1366256.03</v>
      </c>
      <c r="C27" s="148">
        <f>ROUND(+'17'!$C$26*'7'!C25,2)</f>
        <v>1433573.32</v>
      </c>
      <c r="D27" s="148">
        <f>ROUND(+'17'!$D$26*'7'!D25,2)</f>
        <v>11522642.82</v>
      </c>
      <c r="E27" s="148">
        <f>ROUND(+'17'!$E$26*'7'!E25,2)</f>
        <v>2509004.36</v>
      </c>
      <c r="F27" s="148">
        <f>ROUND(+'17'!$F$26*'7'!F25,2)</f>
        <v>232466.34</v>
      </c>
      <c r="G27" s="148">
        <f>ROUND(+'17'!$G$26*'7'!G25,2)</f>
        <v>97766.17</v>
      </c>
      <c r="H27" s="148">
        <f>ROUND(+'17'!$H$26*'7'!H25,2)</f>
        <v>0</v>
      </c>
      <c r="I27" s="148">
        <f>ROUND(+'17'!$I$26*'7'!I25,2)</f>
        <v>0</v>
      </c>
      <c r="J27" s="148">
        <f t="shared" si="1"/>
        <v>17161709.040000003</v>
      </c>
    </row>
    <row r="28" spans="1:10" x14ac:dyDescent="0.35">
      <c r="A28" s="92">
        <v>17</v>
      </c>
      <c r="B28" s="148">
        <f>ROUND(+'17'!$B$26*'7'!B26,2)</f>
        <v>1366256.03</v>
      </c>
      <c r="C28" s="148">
        <f>ROUND(+'17'!$C$26*'7'!C26,2)</f>
        <v>1433573.32</v>
      </c>
      <c r="D28" s="148">
        <f>ROUND(+'17'!$D$26*'7'!D26,2)</f>
        <v>11522642.82</v>
      </c>
      <c r="E28" s="148">
        <f>ROUND(+'17'!$E$26*'7'!E26,2)</f>
        <v>2509004.36</v>
      </c>
      <c r="F28" s="148">
        <f>ROUND(+'17'!$F$26*'7'!F26,2)</f>
        <v>232466.34</v>
      </c>
      <c r="G28" s="148">
        <f>ROUND(+'17'!$G$26*'7'!G26,2)</f>
        <v>97766.17</v>
      </c>
      <c r="H28" s="148">
        <f>ROUND(+'17'!$H$26*'7'!H26,2)</f>
        <v>0</v>
      </c>
      <c r="I28" s="148">
        <f>ROUND(+'17'!$I$26*'7'!I26,2)</f>
        <v>0</v>
      </c>
      <c r="J28" s="148">
        <f t="shared" si="1"/>
        <v>17161709.040000003</v>
      </c>
    </row>
    <row r="29" spans="1:10" x14ac:dyDescent="0.35">
      <c r="A29" s="92">
        <v>18</v>
      </c>
      <c r="B29" s="148">
        <f>ROUND(+'17'!$B$26*'7'!B27,2)</f>
        <v>1366256.03</v>
      </c>
      <c r="C29" s="148">
        <f>ROUND(+'17'!$C$26*'7'!C27,2)</f>
        <v>1433573.32</v>
      </c>
      <c r="D29" s="148">
        <f>ROUND(+'17'!$D$26*'7'!D27,2)</f>
        <v>11522642.82</v>
      </c>
      <c r="E29" s="148">
        <f>ROUND(+'17'!$E$26*'7'!E27,2)</f>
        <v>2509004.36</v>
      </c>
      <c r="F29" s="148">
        <f>ROUND(+'17'!$F$26*'7'!F27,2)</f>
        <v>232466.34</v>
      </c>
      <c r="G29" s="148">
        <f>ROUND(+'17'!$G$26*'7'!G27,2)</f>
        <v>97766.17</v>
      </c>
      <c r="H29" s="148">
        <f>ROUND(+'17'!$H$26*'7'!H27,2)</f>
        <v>0</v>
      </c>
      <c r="I29" s="148">
        <f>ROUND(+'17'!$I$26*'7'!I27,2)</f>
        <v>0</v>
      </c>
      <c r="J29" s="148">
        <f t="shared" si="1"/>
        <v>17161709.040000003</v>
      </c>
    </row>
    <row r="30" spans="1:10" x14ac:dyDescent="0.35">
      <c r="A30" s="92">
        <v>19</v>
      </c>
      <c r="B30" s="148">
        <f>ROUND(+'17'!$B$26*'7'!B28,2)</f>
        <v>1366256.03</v>
      </c>
      <c r="C30" s="148">
        <f>ROUND(+'17'!$C$26*'7'!C28,2)</f>
        <v>1433573.32</v>
      </c>
      <c r="D30" s="148">
        <f>ROUND(+'17'!$D$26*'7'!D28,2)</f>
        <v>11522642.82</v>
      </c>
      <c r="E30" s="148">
        <f>ROUND(+'17'!$E$26*'7'!E28,2)</f>
        <v>2509004.36</v>
      </c>
      <c r="F30" s="148">
        <f>ROUND(+'17'!$F$26*'7'!F28,2)</f>
        <v>232466.34</v>
      </c>
      <c r="G30" s="148">
        <f>ROUND(+'17'!$G$26*'7'!G28,2)</f>
        <v>97766.17</v>
      </c>
      <c r="H30" s="148">
        <f>ROUND(+'17'!$H$26*'7'!H28,2)</f>
        <v>0</v>
      </c>
      <c r="I30" s="148">
        <f>ROUND(+'17'!$I$26*'7'!I28,2)</f>
        <v>0</v>
      </c>
      <c r="J30" s="148">
        <f t="shared" si="1"/>
        <v>17161709.040000003</v>
      </c>
    </row>
    <row r="31" spans="1:10" x14ac:dyDescent="0.35">
      <c r="A31" s="92">
        <v>20</v>
      </c>
      <c r="B31" s="148">
        <f>ROUND(+'17'!$B$26*'7'!B29,2)</f>
        <v>1366256.03</v>
      </c>
      <c r="C31" s="148">
        <f>ROUND(+'17'!$C$26*'7'!C29,2)</f>
        <v>1433573.32</v>
      </c>
      <c r="D31" s="148">
        <f>ROUND(+'17'!$D$26*'7'!D29,2)</f>
        <v>11522642.82</v>
      </c>
      <c r="E31" s="148">
        <f>ROUND(+'17'!$E$26*'7'!E29,2)</f>
        <v>2509004.36</v>
      </c>
      <c r="F31" s="148">
        <f>ROUND(+'17'!$F$26*'7'!F29,2)</f>
        <v>232466.34</v>
      </c>
      <c r="G31" s="148">
        <f>ROUND(+'17'!$G$26*'7'!G29,2)</f>
        <v>97766.17</v>
      </c>
      <c r="H31" s="148">
        <f>ROUND(+'17'!$H$26*'7'!H29,2)</f>
        <v>0</v>
      </c>
      <c r="I31" s="148">
        <f>ROUND(+'17'!$I$26*'7'!I29,2)</f>
        <v>0</v>
      </c>
      <c r="J31" s="148">
        <f t="shared" si="1"/>
        <v>17161709.040000003</v>
      </c>
    </row>
    <row r="33" spans="1:1" x14ac:dyDescent="0.35">
      <c r="A33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7" orientation="landscape" horizontalDpi="300" verticalDpi="300" r:id="rId1"/>
  <headerFooter alignWithMargins="0"/>
  <colBreaks count="1" manualBreakCount="1">
    <brk id="19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7">
    <pageSetUpPr fitToPage="1"/>
  </sheetPr>
  <dimension ref="A1:I33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1" width="18.26953125" style="34" customWidth="1"/>
    <col min="2" max="9" width="15.1796875" style="34" customWidth="1"/>
    <col min="10" max="16384" width="12.54296875" style="34"/>
  </cols>
  <sheetData>
    <row r="1" spans="1:9" x14ac:dyDescent="0.35">
      <c r="A1" s="370" t="str">
        <f>TECNOLOGIAS!A1</f>
        <v>Proponente: TransPolitécnica</v>
      </c>
    </row>
    <row r="2" spans="1:9" x14ac:dyDescent="0.35">
      <c r="A2" s="370" t="str">
        <f>TECNOLOGIAS!A2</f>
        <v>Área de Concessão: 5 (Cinco)</v>
      </c>
    </row>
    <row r="4" spans="1:9" ht="18" x14ac:dyDescent="0.4">
      <c r="A4" s="32" t="s">
        <v>199</v>
      </c>
      <c r="B4" s="77"/>
      <c r="C4" s="77"/>
      <c r="D4" s="77"/>
      <c r="E4" s="77"/>
      <c r="F4" s="77"/>
      <c r="G4" s="77"/>
      <c r="H4" s="77"/>
    </row>
    <row r="6" spans="1:9" x14ac:dyDescent="0.35">
      <c r="A6" s="35" t="s">
        <v>435</v>
      </c>
      <c r="B6" s="100"/>
      <c r="C6" s="100"/>
      <c r="D6" s="136"/>
      <c r="E6" s="136"/>
      <c r="F6" s="136"/>
      <c r="G6" s="136"/>
      <c r="H6" s="136"/>
    </row>
    <row r="7" spans="1:9" x14ac:dyDescent="0.35">
      <c r="A7" s="137"/>
      <c r="B7" s="100"/>
      <c r="C7" s="100"/>
      <c r="D7" s="136"/>
      <c r="E7" s="136"/>
      <c r="F7" s="136"/>
      <c r="G7" s="136"/>
      <c r="H7" s="136"/>
    </row>
    <row r="8" spans="1:9" x14ac:dyDescent="0.35">
      <c r="A8" s="36" t="s">
        <v>200</v>
      </c>
      <c r="B8" s="100"/>
      <c r="C8" s="100"/>
      <c r="D8" s="136"/>
      <c r="E8" s="136"/>
      <c r="F8" s="136"/>
      <c r="G8" s="136"/>
      <c r="H8" s="136"/>
    </row>
    <row r="9" spans="1:9" ht="16" thickBot="1" x14ac:dyDescent="0.4">
      <c r="A9" s="137"/>
      <c r="B9" s="100"/>
      <c r="C9" s="100"/>
      <c r="D9" s="136"/>
      <c r="E9" s="136"/>
      <c r="F9" s="136"/>
      <c r="G9" s="136"/>
      <c r="H9" s="136"/>
    </row>
    <row r="10" spans="1:9" ht="16" thickBot="1" x14ac:dyDescent="0.4">
      <c r="A10" s="40" t="s">
        <v>37</v>
      </c>
      <c r="B10" s="138" t="s">
        <v>436</v>
      </c>
      <c r="C10" s="139"/>
      <c r="D10" s="139"/>
      <c r="E10" s="139"/>
      <c r="F10" s="139"/>
      <c r="G10" s="139"/>
      <c r="H10" s="140"/>
      <c r="I10" s="140"/>
    </row>
    <row r="11" spans="1:9" ht="16" thickBot="1" x14ac:dyDescent="0.4">
      <c r="A11" s="42" t="s">
        <v>39</v>
      </c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42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</row>
    <row r="12" spans="1:9" x14ac:dyDescent="0.35">
      <c r="A12" s="28" t="s">
        <v>41</v>
      </c>
      <c r="B12" s="141">
        <f>+'11'!B10*'8'!$B$11</f>
        <v>7636</v>
      </c>
      <c r="C12" s="141">
        <f>+'11'!C10*'8'!$B$12</f>
        <v>9200</v>
      </c>
      <c r="D12" s="141">
        <f>+'11'!D10*'8'!$B$13</f>
        <v>11500</v>
      </c>
      <c r="E12" s="141">
        <f>+'11'!E10*'8'!$B$14</f>
        <v>25760</v>
      </c>
      <c r="F12" s="141">
        <f>+'11'!F10*'8'!$B$15</f>
        <v>38824</v>
      </c>
      <c r="G12" s="141">
        <f>+'11'!G10*'8'!$B$16</f>
        <v>5520</v>
      </c>
      <c r="H12" s="141">
        <f>+'11'!H10*'8'!$B$17</f>
        <v>0</v>
      </c>
      <c r="I12" s="141">
        <f>+'11'!I10*'8'!$B$18</f>
        <v>0</v>
      </c>
    </row>
    <row r="13" spans="1:9" x14ac:dyDescent="0.35">
      <c r="A13" s="51" t="s">
        <v>42</v>
      </c>
      <c r="B13" s="141">
        <f>+'11'!B11*'8'!$B$11</f>
        <v>7636</v>
      </c>
      <c r="C13" s="141">
        <f>+'11'!C11*'8'!$B$12</f>
        <v>9200</v>
      </c>
      <c r="D13" s="141">
        <f>+'11'!D11*'8'!$B$13</f>
        <v>11500</v>
      </c>
      <c r="E13" s="141">
        <f>+'11'!E11*'8'!$B$14</f>
        <v>25760</v>
      </c>
      <c r="F13" s="141">
        <f>+'11'!F11*'8'!$B$15</f>
        <v>38824</v>
      </c>
      <c r="G13" s="141">
        <f>+'11'!G11*'8'!$B$16</f>
        <v>5520</v>
      </c>
      <c r="H13" s="141">
        <f>+'11'!H11*'8'!$B$17</f>
        <v>0</v>
      </c>
      <c r="I13" s="141">
        <f>+'11'!I11*'8'!$B$18</f>
        <v>0</v>
      </c>
    </row>
    <row r="14" spans="1:9" x14ac:dyDescent="0.35">
      <c r="A14" s="51" t="s">
        <v>43</v>
      </c>
      <c r="B14" s="141">
        <f>+'11'!B12*'8'!$B$11</f>
        <v>7636</v>
      </c>
      <c r="C14" s="141">
        <f>+'11'!C12*'8'!$B$12</f>
        <v>9200</v>
      </c>
      <c r="D14" s="141">
        <f>+'11'!D12*'8'!$B$13</f>
        <v>11500</v>
      </c>
      <c r="E14" s="141">
        <f>+'11'!E12*'8'!$B$14</f>
        <v>25760</v>
      </c>
      <c r="F14" s="141">
        <f>+'11'!F12*'8'!$B$15</f>
        <v>38824</v>
      </c>
      <c r="G14" s="141">
        <f>+'11'!G12*'8'!$B$16</f>
        <v>5520</v>
      </c>
      <c r="H14" s="141">
        <f>+'11'!H12*'8'!$B$17</f>
        <v>0</v>
      </c>
      <c r="I14" s="141">
        <f>+'11'!I12*'8'!$B$18</f>
        <v>0</v>
      </c>
    </row>
    <row r="15" spans="1:9" x14ac:dyDescent="0.35">
      <c r="A15" s="51" t="s">
        <v>44</v>
      </c>
      <c r="B15" s="141">
        <f>+'11'!B13*'8'!$B$11</f>
        <v>7636</v>
      </c>
      <c r="C15" s="141">
        <f>+'11'!C13*'8'!$B$12</f>
        <v>9200</v>
      </c>
      <c r="D15" s="141">
        <f>+'11'!D13*'8'!$B$13</f>
        <v>11500</v>
      </c>
      <c r="E15" s="141">
        <f>+'11'!E13*'8'!$B$14</f>
        <v>25760</v>
      </c>
      <c r="F15" s="141">
        <f>+'11'!F13*'8'!$B$15</f>
        <v>38824</v>
      </c>
      <c r="G15" s="141">
        <f>+'11'!G13*'8'!$B$16</f>
        <v>5520</v>
      </c>
      <c r="H15" s="141">
        <f>+'11'!H13*'8'!$B$17</f>
        <v>0</v>
      </c>
      <c r="I15" s="141">
        <f>+'11'!I13*'8'!$B$18</f>
        <v>0</v>
      </c>
    </row>
    <row r="16" spans="1:9" x14ac:dyDescent="0.35">
      <c r="A16" s="51" t="s">
        <v>45</v>
      </c>
      <c r="B16" s="141">
        <f>+'11'!B14*'8'!$B$11</f>
        <v>7636</v>
      </c>
      <c r="C16" s="141">
        <f>+'11'!C14*'8'!$B$12</f>
        <v>9200</v>
      </c>
      <c r="D16" s="141">
        <f>+'11'!D14*'8'!$B$13</f>
        <v>11500</v>
      </c>
      <c r="E16" s="141">
        <f>+'11'!E14*'8'!$B$14</f>
        <v>25760</v>
      </c>
      <c r="F16" s="141">
        <f>+'11'!F14*'8'!$B$15</f>
        <v>38824</v>
      </c>
      <c r="G16" s="141">
        <f>+'11'!G14*'8'!$B$16</f>
        <v>5520</v>
      </c>
      <c r="H16" s="141">
        <f>+'11'!H14*'8'!$B$17</f>
        <v>0</v>
      </c>
      <c r="I16" s="141">
        <f>+'11'!I14*'8'!$B$18</f>
        <v>0</v>
      </c>
    </row>
    <row r="17" spans="1:9" x14ac:dyDescent="0.35">
      <c r="A17" s="51" t="s">
        <v>46</v>
      </c>
      <c r="B17" s="141">
        <f>+'11'!B15*'8'!$B$11</f>
        <v>7636</v>
      </c>
      <c r="C17" s="141">
        <f>+'11'!C15*'8'!$B$12</f>
        <v>9200</v>
      </c>
      <c r="D17" s="141">
        <f>+'11'!D15*'8'!$B$13</f>
        <v>11500</v>
      </c>
      <c r="E17" s="141">
        <f>+'11'!E15*'8'!$B$14</f>
        <v>25760</v>
      </c>
      <c r="F17" s="141">
        <f>+'11'!F15*'8'!$B$15</f>
        <v>38824</v>
      </c>
      <c r="G17" s="141">
        <f>+'11'!G15*'8'!$B$16</f>
        <v>5520</v>
      </c>
      <c r="H17" s="141">
        <f>+'11'!H15*'8'!$B$17</f>
        <v>0</v>
      </c>
      <c r="I17" s="141">
        <f>+'11'!I15*'8'!$B$18</f>
        <v>0</v>
      </c>
    </row>
    <row r="18" spans="1:9" x14ac:dyDescent="0.35">
      <c r="A18" s="51" t="s">
        <v>47</v>
      </c>
      <c r="B18" s="141">
        <f>+'11'!B16*'8'!$B$11</f>
        <v>7636</v>
      </c>
      <c r="C18" s="141">
        <f>+'11'!C16*'8'!$B$12</f>
        <v>9200</v>
      </c>
      <c r="D18" s="141">
        <f>+'11'!D16*'8'!$B$13</f>
        <v>11500</v>
      </c>
      <c r="E18" s="141">
        <f>+'11'!E16*'8'!$B$14</f>
        <v>25760</v>
      </c>
      <c r="F18" s="141">
        <f>+'11'!F16*'8'!$B$15</f>
        <v>38824</v>
      </c>
      <c r="G18" s="141">
        <f>+'11'!G16*'8'!$B$16</f>
        <v>5520</v>
      </c>
      <c r="H18" s="141">
        <f>+'11'!H16*'8'!$B$17</f>
        <v>0</v>
      </c>
      <c r="I18" s="141">
        <f>+'11'!I16*'8'!$B$18</f>
        <v>0</v>
      </c>
    </row>
    <row r="19" spans="1:9" x14ac:dyDescent="0.35">
      <c r="A19" s="51" t="s">
        <v>48</v>
      </c>
      <c r="B19" s="141">
        <f>+'11'!B17*'8'!$B$11</f>
        <v>7636</v>
      </c>
      <c r="C19" s="141">
        <f>+'11'!C17*'8'!$B$12</f>
        <v>9200</v>
      </c>
      <c r="D19" s="141">
        <f>+'11'!D17*'8'!$B$13</f>
        <v>11500</v>
      </c>
      <c r="E19" s="141">
        <f>+'11'!E17*'8'!$B$14</f>
        <v>25760</v>
      </c>
      <c r="F19" s="141">
        <f>+'11'!F17*'8'!$B$15</f>
        <v>38824</v>
      </c>
      <c r="G19" s="141">
        <f>+'11'!G17*'8'!$B$16</f>
        <v>5520</v>
      </c>
      <c r="H19" s="141">
        <f>+'11'!H17*'8'!$B$17</f>
        <v>0</v>
      </c>
      <c r="I19" s="141">
        <f>+'11'!I18*'8'!$B$18</f>
        <v>0</v>
      </c>
    </row>
    <row r="20" spans="1:9" x14ac:dyDescent="0.35">
      <c r="A20" s="51" t="s">
        <v>49</v>
      </c>
      <c r="B20" s="141">
        <f>+'11'!B18*'8'!$B$11</f>
        <v>7636</v>
      </c>
      <c r="C20" s="141">
        <f>+'11'!C18*'8'!$B$12</f>
        <v>9200</v>
      </c>
      <c r="D20" s="141">
        <f>+'11'!D18*'8'!$B$13</f>
        <v>11500</v>
      </c>
      <c r="E20" s="141">
        <f>+'11'!E18*'8'!$B$14</f>
        <v>25760</v>
      </c>
      <c r="F20" s="141">
        <f>+'11'!F18*'8'!$B$15</f>
        <v>38824</v>
      </c>
      <c r="G20" s="141">
        <f>+'11'!G18*'8'!$B$16</f>
        <v>5520</v>
      </c>
      <c r="H20" s="141">
        <f>+'11'!H18*'8'!$B$17</f>
        <v>0</v>
      </c>
      <c r="I20" s="141">
        <f>+'11'!I18*'8'!$B$18</f>
        <v>0</v>
      </c>
    </row>
    <row r="21" spans="1:9" x14ac:dyDescent="0.35">
      <c r="A21" s="51" t="s">
        <v>50</v>
      </c>
      <c r="B21" s="141">
        <f>+'11'!B19*'8'!$B$11</f>
        <v>7636</v>
      </c>
      <c r="C21" s="141">
        <f>+'11'!C19*'8'!$B$12</f>
        <v>9200</v>
      </c>
      <c r="D21" s="141">
        <f>+'11'!D19*'8'!$B$13</f>
        <v>11500</v>
      </c>
      <c r="E21" s="141">
        <f>+'11'!E19*'8'!$B$14</f>
        <v>25760</v>
      </c>
      <c r="F21" s="141">
        <f>+'11'!F19*'8'!$B$15</f>
        <v>38824</v>
      </c>
      <c r="G21" s="141">
        <f>+'11'!G19*'8'!$B$16</f>
        <v>5520</v>
      </c>
      <c r="H21" s="141">
        <f>+'11'!H19*'8'!$B$17</f>
        <v>0</v>
      </c>
      <c r="I21" s="141">
        <f>+'11'!I18*'8'!$B$18</f>
        <v>0</v>
      </c>
    </row>
    <row r="22" spans="1:9" x14ac:dyDescent="0.35">
      <c r="A22" s="51" t="s">
        <v>51</v>
      </c>
      <c r="B22" s="141">
        <f>+'11'!B20*'8'!$B$11</f>
        <v>7636</v>
      </c>
      <c r="C22" s="141">
        <f>+'11'!C20*'8'!$B$12</f>
        <v>9200</v>
      </c>
      <c r="D22" s="141">
        <f>+'11'!D20*'8'!$B$13</f>
        <v>11500</v>
      </c>
      <c r="E22" s="141">
        <f>+'11'!E20*'8'!$B$14</f>
        <v>25760</v>
      </c>
      <c r="F22" s="141">
        <f>+'11'!F20*'8'!$B$15</f>
        <v>38824</v>
      </c>
      <c r="G22" s="141">
        <f>+'11'!G20*'8'!$B$16</f>
        <v>5520</v>
      </c>
      <c r="H22" s="141">
        <f>+'11'!H20*'8'!$B$17</f>
        <v>0</v>
      </c>
      <c r="I22" s="141">
        <f>+'11'!I20*'8'!$B$18</f>
        <v>0</v>
      </c>
    </row>
    <row r="23" spans="1:9" s="367" customFormat="1" x14ac:dyDescent="0.35">
      <c r="A23" s="365"/>
      <c r="B23" s="366"/>
      <c r="C23" s="366"/>
      <c r="D23" s="366"/>
      <c r="E23" s="366"/>
      <c r="F23" s="366"/>
      <c r="G23" s="366"/>
      <c r="H23" s="366"/>
      <c r="I23" s="366"/>
    </row>
    <row r="24" spans="1:9" s="367" customFormat="1" x14ac:dyDescent="0.35">
      <c r="A24" t="s">
        <v>447</v>
      </c>
      <c r="B24" s="366"/>
      <c r="C24" s="366"/>
      <c r="D24" s="366"/>
      <c r="E24" s="366"/>
      <c r="F24" s="366"/>
      <c r="G24" s="366"/>
      <c r="H24" s="366"/>
      <c r="I24" s="366"/>
    </row>
    <row r="25" spans="1:9" s="367" customFormat="1" x14ac:dyDescent="0.35">
      <c r="A25" s="365"/>
      <c r="B25" s="366"/>
      <c r="C25" s="366"/>
      <c r="D25" s="366"/>
      <c r="E25" s="366"/>
      <c r="F25" s="366"/>
      <c r="G25" s="366"/>
      <c r="H25" s="366"/>
      <c r="I25" s="366"/>
    </row>
    <row r="26" spans="1:9" s="367" customFormat="1" x14ac:dyDescent="0.35">
      <c r="A26" s="365"/>
      <c r="B26" s="366"/>
      <c r="C26" s="366"/>
      <c r="D26" s="366"/>
      <c r="E26" s="366"/>
      <c r="F26" s="366"/>
      <c r="G26" s="366"/>
      <c r="H26" s="366"/>
      <c r="I26" s="366"/>
    </row>
    <row r="27" spans="1:9" s="367" customFormat="1" x14ac:dyDescent="0.35">
      <c r="A27" s="365"/>
      <c r="B27" s="366"/>
      <c r="C27" s="366"/>
      <c r="D27" s="366"/>
      <c r="E27" s="366"/>
      <c r="F27" s="366"/>
      <c r="G27" s="366"/>
      <c r="H27" s="366"/>
      <c r="I27" s="366"/>
    </row>
    <row r="28" spans="1:9" s="367" customFormat="1" x14ac:dyDescent="0.35">
      <c r="A28" s="365"/>
      <c r="B28" s="366"/>
      <c r="C28" s="366"/>
      <c r="D28" s="366"/>
      <c r="E28" s="366"/>
      <c r="F28" s="366"/>
      <c r="G28" s="366"/>
      <c r="H28" s="366"/>
      <c r="I28" s="366"/>
    </row>
    <row r="29" spans="1:9" s="367" customFormat="1" x14ac:dyDescent="0.35">
      <c r="A29" s="365"/>
      <c r="B29" s="366"/>
      <c r="C29" s="366"/>
      <c r="D29" s="366"/>
      <c r="E29" s="366"/>
      <c r="F29" s="366"/>
      <c r="G29" s="366"/>
      <c r="H29" s="366"/>
      <c r="I29" s="366"/>
    </row>
    <row r="30" spans="1:9" s="367" customFormat="1" x14ac:dyDescent="0.35">
      <c r="A30" s="365"/>
      <c r="B30" s="366"/>
      <c r="C30" s="366"/>
      <c r="D30" s="366"/>
      <c r="E30" s="366"/>
      <c r="F30" s="366"/>
      <c r="G30" s="366"/>
      <c r="H30" s="366"/>
      <c r="I30" s="366"/>
    </row>
    <row r="31" spans="1:9" s="367" customFormat="1" x14ac:dyDescent="0.35">
      <c r="A31" s="365"/>
      <c r="B31" s="366"/>
      <c r="C31" s="366"/>
      <c r="D31" s="366"/>
      <c r="E31" s="366"/>
      <c r="F31" s="366"/>
      <c r="G31" s="366"/>
      <c r="H31" s="366"/>
      <c r="I31" s="366"/>
    </row>
    <row r="32" spans="1:9" s="367" customFormat="1" x14ac:dyDescent="0.35">
      <c r="A32" s="365"/>
      <c r="B32" s="366"/>
      <c r="C32" s="366"/>
      <c r="D32" s="366"/>
      <c r="E32" s="366"/>
      <c r="F32" s="366"/>
      <c r="G32" s="366"/>
      <c r="H32" s="366"/>
      <c r="I32" s="366"/>
    </row>
    <row r="33" spans="1:8" x14ac:dyDescent="0.35">
      <c r="A33" s="77"/>
      <c r="B33" s="77"/>
      <c r="C33" s="77"/>
      <c r="D33" s="77"/>
      <c r="E33" s="77"/>
      <c r="F33" s="77"/>
      <c r="G33" s="77"/>
      <c r="H33" s="77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8">
    <pageSetUpPr fitToPage="1"/>
  </sheetPr>
  <dimension ref="A1:J33"/>
  <sheetViews>
    <sheetView showGridLines="0" showZeros="0" view="pageBreakPreview" topLeftCell="A4" zoomScale="82" zoomScaleNormal="87" workbookViewId="0"/>
  </sheetViews>
  <sheetFormatPr defaultColWidth="12.54296875" defaultRowHeight="15.5" x14ac:dyDescent="0.35"/>
  <cols>
    <col min="1" max="1" width="12.54296875" style="34"/>
    <col min="2" max="10" width="14.7265625" style="34" customWidth="1"/>
    <col min="11" max="16384" width="12.54296875" style="34"/>
  </cols>
  <sheetData>
    <row r="1" spans="1:10" x14ac:dyDescent="0.35">
      <c r="A1" s="370" t="str">
        <f>TECNOLOGIAS!A1</f>
        <v>Proponente: TransPolitécnica</v>
      </c>
    </row>
    <row r="2" spans="1:10" x14ac:dyDescent="0.35">
      <c r="A2" s="370" t="str">
        <f>TECNOLOGIAS!A2</f>
        <v>Área de Concessão: 5 (Cinco)</v>
      </c>
    </row>
    <row r="4" spans="1:10" ht="18" x14ac:dyDescent="0.4">
      <c r="A4" s="32" t="s">
        <v>201</v>
      </c>
      <c r="B4" s="77"/>
      <c r="C4" s="77"/>
      <c r="D4" s="77"/>
      <c r="E4" s="77"/>
      <c r="F4" s="77"/>
      <c r="G4" s="77"/>
    </row>
    <row r="6" spans="1:10" x14ac:dyDescent="0.35">
      <c r="A6" s="35" t="s">
        <v>435</v>
      </c>
      <c r="B6" s="77"/>
      <c r="C6" s="77"/>
      <c r="D6" s="77"/>
      <c r="E6" s="77"/>
      <c r="F6" s="77"/>
      <c r="G6" s="77"/>
    </row>
    <row r="8" spans="1:10" x14ac:dyDescent="0.35">
      <c r="A8" s="36" t="s">
        <v>202</v>
      </c>
      <c r="B8" s="77"/>
      <c r="C8" s="77"/>
      <c r="D8" s="77"/>
      <c r="E8" s="77"/>
      <c r="F8" s="77"/>
      <c r="G8" s="77"/>
    </row>
    <row r="9" spans="1:10" ht="16" thickBot="1" x14ac:dyDescent="0.4">
      <c r="A9" s="77"/>
      <c r="B9" s="77"/>
      <c r="C9" s="77"/>
      <c r="D9" s="77"/>
      <c r="E9" s="77"/>
      <c r="F9" s="77"/>
      <c r="G9" s="77"/>
    </row>
    <row r="10" spans="1:10" ht="16" thickBot="1" x14ac:dyDescent="0.4">
      <c r="A10" s="40" t="s">
        <v>371</v>
      </c>
      <c r="B10" s="142" t="s">
        <v>437</v>
      </c>
      <c r="C10" s="143"/>
      <c r="D10" s="143"/>
      <c r="E10" s="143"/>
      <c r="F10" s="96"/>
      <c r="G10" s="143"/>
      <c r="H10" s="143"/>
      <c r="I10" s="96"/>
      <c r="J10" s="40" t="s">
        <v>59</v>
      </c>
    </row>
    <row r="11" spans="1:10" ht="16" thickBot="1" x14ac:dyDescent="0.4">
      <c r="A11" s="42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273" t="str">
        <f>TECNOLOGIAS!$A$10</f>
        <v>Articulados</v>
      </c>
      <c r="F11" s="276" t="str">
        <f>TECNOLOGIAS!$A$11</f>
        <v>Híbrido Piso Baixo</v>
      </c>
      <c r="G11" s="274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  <c r="J11" s="42"/>
    </row>
    <row r="12" spans="1:10" x14ac:dyDescent="0.35">
      <c r="A12" s="92">
        <v>1</v>
      </c>
      <c r="B12" s="144">
        <f>SUMPRODUCT('19'!B$12:B$22,'5A'!$B13:$B23)</f>
        <v>106904</v>
      </c>
      <c r="C12" s="144">
        <f>SUMPRODUCT('19'!C$12:C$22,'5B'!$B13:$B23)</f>
        <v>7212800</v>
      </c>
      <c r="D12" s="144">
        <f>SUMPRODUCT('19'!D$12:D$22,'5C'!$B13:$B23)</f>
        <v>770500</v>
      </c>
      <c r="E12" s="144">
        <f>SUMPRODUCT('19'!E$12:E$22,'5D'!$B13:$B23)</f>
        <v>0</v>
      </c>
      <c r="F12" s="275">
        <f>SUMPRODUCT('19'!F$12:F$22,'5E'!$B13:$B23)</f>
        <v>0</v>
      </c>
      <c r="G12" s="144">
        <f>SUMPRODUCT('19'!G$12:G$22,'5F'!$B13:$B23)</f>
        <v>193200</v>
      </c>
      <c r="H12" s="144">
        <f>SUMPRODUCT('19'!H$12:H$22,'5G'!$B13:$B23)</f>
        <v>0</v>
      </c>
      <c r="I12" s="144">
        <f>SUMPRODUCT('19'!I$12:I$22,'5H'!$B13:$B23)</f>
        <v>0</v>
      </c>
      <c r="J12" s="144">
        <f>SUM(B12:I12)</f>
        <v>8283404</v>
      </c>
    </row>
    <row r="13" spans="1:10" x14ac:dyDescent="0.35">
      <c r="A13" s="92">
        <v>2</v>
      </c>
      <c r="B13" s="144">
        <f>SUMPRODUCT('19'!B$12:B$22,'5A'!$C$13:$C$23)</f>
        <v>206172</v>
      </c>
      <c r="C13" s="144">
        <f>SUMPRODUCT('19'!C$12:C$22,'5B'!$C$13:$C$23)</f>
        <v>6403200</v>
      </c>
      <c r="D13" s="144">
        <f>SUMPRODUCT('19'!D$12:D$22,'5C'!$C$13:$C$23)</f>
        <v>1518000</v>
      </c>
      <c r="E13" s="144">
        <f>SUMPRODUCT('19'!E$12:E$22,'5D'!$C$13:$C$23)</f>
        <v>0</v>
      </c>
      <c r="F13" s="144">
        <f>SUMPRODUCT('19'!F$12:F$22,'5E'!$C$13:$C$23)</f>
        <v>427064</v>
      </c>
      <c r="G13" s="144">
        <f>SUMPRODUCT('19'!G$12:G$22,'5F'!$C$13:$C$23)</f>
        <v>193200</v>
      </c>
      <c r="H13" s="144">
        <f>SUMPRODUCT('19'!H$12:H$22,'5G'!$C$13:$C$23)</f>
        <v>0</v>
      </c>
      <c r="I13" s="144">
        <f>SUMPRODUCT('19'!I$12:I$22,'5H'!$C$13:$C$23)</f>
        <v>0</v>
      </c>
      <c r="J13" s="144">
        <f t="shared" ref="J13:J27" si="0">SUM(B13:I13)</f>
        <v>8747636</v>
      </c>
    </row>
    <row r="14" spans="1:10" x14ac:dyDescent="0.35">
      <c r="A14" s="92">
        <v>3</v>
      </c>
      <c r="B14" s="144">
        <f>SUMPRODUCT('19'!B$12:B$22,'5A'!$D13:$D23)</f>
        <v>297804</v>
      </c>
      <c r="C14" s="144">
        <f>SUMPRODUCT('19'!C$12:C$22,'5B'!$D13:$D23)</f>
        <v>5685600</v>
      </c>
      <c r="D14" s="144">
        <f>SUMPRODUCT('19'!D$12:D$22,'5C'!$D13:$D23)</f>
        <v>2265500</v>
      </c>
      <c r="E14" s="144">
        <f>SUMPRODUCT('19'!E$12:E$22,'5D'!$D13:$D23)</f>
        <v>0</v>
      </c>
      <c r="F14" s="144">
        <f>SUMPRODUCT('19'!F$12:F$22,'5E'!$D13:$D23)</f>
        <v>427064</v>
      </c>
      <c r="G14" s="144">
        <f>SUMPRODUCT('19'!G$12:G$22,'5F'!$D13:$D23)</f>
        <v>193200</v>
      </c>
      <c r="H14" s="144">
        <f>SUMPRODUCT('19'!H$12:H$22,'5G'!$D13:$D23)</f>
        <v>0</v>
      </c>
      <c r="I14" s="144">
        <f>SUMPRODUCT('19'!I$12:I$22,'5H'!$D13:$D23)</f>
        <v>0</v>
      </c>
      <c r="J14" s="144">
        <f t="shared" si="0"/>
        <v>8869168</v>
      </c>
    </row>
    <row r="15" spans="1:10" x14ac:dyDescent="0.35">
      <c r="A15" s="92">
        <v>4</v>
      </c>
      <c r="B15" s="144">
        <f>SUMPRODUCT('19'!B$12:B$22,'5A'!$E$13:$E$23)</f>
        <v>404708</v>
      </c>
      <c r="C15" s="144">
        <f>SUMPRODUCT('19'!C$12:C$22,'5B'!$E$13:$E$23)</f>
        <v>4958800</v>
      </c>
      <c r="D15" s="144">
        <f>SUMPRODUCT('19'!D$12:D$22,'5C'!$E$13:$E$23)</f>
        <v>3013000</v>
      </c>
      <c r="E15" s="144">
        <f>SUMPRODUCT('19'!E$12:E$22,'5D'!$E$13:$E$23)</f>
        <v>0</v>
      </c>
      <c r="F15" s="144">
        <f>SUMPRODUCT('19'!F$12:F$22,'5E'!$E$13:$E$23)</f>
        <v>427064</v>
      </c>
      <c r="G15" s="144">
        <f>SUMPRODUCT('19'!G$12:G$22,'5F'!$E$13:$E$23)</f>
        <v>193200</v>
      </c>
      <c r="H15" s="144">
        <f>SUMPRODUCT('19'!H$12:H$22,'5G'!$E$13:$E$23)</f>
        <v>0</v>
      </c>
      <c r="I15" s="144">
        <f>SUMPRODUCT('19'!I$12:I$22,'5H'!$E$13:$E$23)</f>
        <v>0</v>
      </c>
      <c r="J15" s="144">
        <f t="shared" si="0"/>
        <v>8996772</v>
      </c>
    </row>
    <row r="16" spans="1:10" x14ac:dyDescent="0.35">
      <c r="A16" s="92">
        <v>5</v>
      </c>
      <c r="B16" s="144">
        <f>SUMPRODUCT('19'!B$12:B$22,'5A'!$F$13:$F$23)</f>
        <v>503976</v>
      </c>
      <c r="C16" s="144">
        <f>SUMPRODUCT('19'!C$12:C$22,'5B'!$F$13:$F$23)</f>
        <v>4121600</v>
      </c>
      <c r="D16" s="144">
        <f>SUMPRODUCT('19'!D$12:D$22,'5C'!$F$13:$F$23)</f>
        <v>3772000</v>
      </c>
      <c r="E16" s="144">
        <f>SUMPRODUCT('19'!E$12:E$22,'5D'!$F$13:$F$23)</f>
        <v>334880</v>
      </c>
      <c r="F16" s="144">
        <f>SUMPRODUCT('19'!F$12:F$22,'5E'!$F$13:$F$23)</f>
        <v>427064</v>
      </c>
      <c r="G16" s="144">
        <f>SUMPRODUCT('19'!G$12:G$22,'5F'!$F$13:$F$23)</f>
        <v>193200</v>
      </c>
      <c r="H16" s="144">
        <f>SUMPRODUCT('19'!H$12:H$22,'5G'!$F$13:$F$23)</f>
        <v>0</v>
      </c>
      <c r="I16" s="144">
        <f>SUMPRODUCT('19'!I$12:I$22,'5H'!$F$13:$F$23)</f>
        <v>0</v>
      </c>
      <c r="J16" s="144">
        <f t="shared" si="0"/>
        <v>9352720</v>
      </c>
    </row>
    <row r="17" spans="1:10" x14ac:dyDescent="0.35">
      <c r="A17" s="92">
        <v>6</v>
      </c>
      <c r="B17" s="144">
        <f>SUMPRODUCT('19'!B$12:B$22,'5A'!$G$13:$G$23)</f>
        <v>595608</v>
      </c>
      <c r="C17" s="144">
        <f>SUMPRODUCT('19'!C$12:C$22,'5B'!$G$13:$G$23)</f>
        <v>3284400</v>
      </c>
      <c r="D17" s="144">
        <f>SUMPRODUCT('19'!D$12:D$22,'5C'!$G$13:$G$23)</f>
        <v>4519500</v>
      </c>
      <c r="E17" s="144">
        <f>SUMPRODUCT('19'!E$12:E$22,'5D'!$G$13:$G$23)</f>
        <v>669760</v>
      </c>
      <c r="F17" s="144">
        <f>SUMPRODUCT('19'!F$12:F$22,'5E'!$G$13:$G$23)</f>
        <v>427064</v>
      </c>
      <c r="G17" s="144">
        <f>SUMPRODUCT('19'!G$12:G$22,'5F'!$G$13:$G$23)</f>
        <v>193200</v>
      </c>
      <c r="H17" s="144">
        <f>SUMPRODUCT('19'!H$12:H$22,'5G'!$G$13:$G$23)</f>
        <v>0</v>
      </c>
      <c r="I17" s="144">
        <f>SUMPRODUCT('19'!I$12:I$22,'5H'!$G$13:$G$23)</f>
        <v>0</v>
      </c>
      <c r="J17" s="144">
        <f t="shared" si="0"/>
        <v>9689532</v>
      </c>
    </row>
    <row r="18" spans="1:10" x14ac:dyDescent="0.35">
      <c r="A18" s="92">
        <v>7</v>
      </c>
      <c r="B18" s="144">
        <f>SUMPRODUCT('19'!B$12:B$22,'5A'!$H$13:$H$23)</f>
        <v>702512</v>
      </c>
      <c r="C18" s="144">
        <f>SUMPRODUCT('19'!C$12:C$22,'5B'!$H$13:$H$23)</f>
        <v>2447200</v>
      </c>
      <c r="D18" s="144">
        <f>SUMPRODUCT('19'!D$12:D$22,'5C'!$H$13:$H$23)</f>
        <v>5267000</v>
      </c>
      <c r="E18" s="144">
        <f>SUMPRODUCT('19'!E$12:E$22,'5D'!$H$13:$H$23)</f>
        <v>978880</v>
      </c>
      <c r="F18" s="144">
        <f>SUMPRODUCT('19'!F$12:F$22,'5E'!$H$13:$H$23)</f>
        <v>427064</v>
      </c>
      <c r="G18" s="144">
        <f>SUMPRODUCT('19'!G$12:G$22,'5F'!$H$13:$H$23)</f>
        <v>193200</v>
      </c>
      <c r="H18" s="144">
        <f>SUMPRODUCT('19'!H$12:H$22,'5G'!$H$13:$H$23)</f>
        <v>0</v>
      </c>
      <c r="I18" s="144">
        <f>SUMPRODUCT('19'!I$12:I$22,'5H'!$H$13:$H$23)</f>
        <v>0</v>
      </c>
      <c r="J18" s="144">
        <f t="shared" si="0"/>
        <v>10015856</v>
      </c>
    </row>
    <row r="19" spans="1:10" x14ac:dyDescent="0.35">
      <c r="A19" s="92">
        <v>8</v>
      </c>
      <c r="B19" s="144">
        <f>SUMPRODUCT('19'!B$12:B$22,'5A'!$I$13:$I$23)</f>
        <v>794144</v>
      </c>
      <c r="C19" s="144">
        <f>SUMPRODUCT('19'!C$12:C$22,'5B'!$I$13:$I$23)</f>
        <v>1619200</v>
      </c>
      <c r="D19" s="144">
        <f>SUMPRODUCT('19'!D$12:D$22,'5C'!$I$13:$I$23)</f>
        <v>6014500</v>
      </c>
      <c r="E19" s="144">
        <f>SUMPRODUCT('19'!E$12:E$22,'5D'!$I$13:$I$23)</f>
        <v>1313760</v>
      </c>
      <c r="F19" s="144">
        <f>SUMPRODUCT('19'!F$12:F$22,'5E'!$I$13:$I$23)</f>
        <v>427064</v>
      </c>
      <c r="G19" s="144">
        <f>SUMPRODUCT('19'!G$12:G$22,'5F'!$I$13:$I$23)</f>
        <v>193200</v>
      </c>
      <c r="H19" s="144">
        <f>SUMPRODUCT('19'!H$12:H$22,'5G'!$I$13:$I$23)</f>
        <v>0</v>
      </c>
      <c r="I19" s="144">
        <f>SUMPRODUCT('19'!I$12:I$22,'5H'!$I$13:$I$23)</f>
        <v>0</v>
      </c>
      <c r="J19" s="144">
        <f t="shared" si="0"/>
        <v>10361868</v>
      </c>
    </row>
    <row r="20" spans="1:10" x14ac:dyDescent="0.35">
      <c r="A20" s="92">
        <v>9</v>
      </c>
      <c r="B20" s="144">
        <f>SUMPRODUCT('19'!B$12:B$22,'5A'!$J$13:$J$23)</f>
        <v>893412</v>
      </c>
      <c r="C20" s="144">
        <f>SUMPRODUCT('19'!C$12:C$22,'5B'!$J$13:$J$23)</f>
        <v>736000</v>
      </c>
      <c r="D20" s="144">
        <f>SUMPRODUCT('19'!D$12:D$22,'5C'!$J$13:$J$23)</f>
        <v>6762000</v>
      </c>
      <c r="E20" s="144">
        <f>SUMPRODUCT('19'!E$12:E$22,'5D'!$J$13:$J$23)</f>
        <v>1597120</v>
      </c>
      <c r="F20" s="144">
        <f>SUMPRODUCT('19'!F$12:F$22,'5E'!$J$13:$J$23)</f>
        <v>427064</v>
      </c>
      <c r="G20" s="144">
        <f>SUMPRODUCT('19'!G$12:G$22,'5F'!$J$13:$J$23)</f>
        <v>193200</v>
      </c>
      <c r="H20" s="144">
        <f>SUMPRODUCT('19'!H$12:H$22,'5G'!$J$13:$J$23)</f>
        <v>0</v>
      </c>
      <c r="I20" s="144">
        <f>SUMPRODUCT('19'!I$12:I$22,'5H'!$J$13:$J$23)</f>
        <v>0</v>
      </c>
      <c r="J20" s="144">
        <f t="shared" si="0"/>
        <v>10608796</v>
      </c>
    </row>
    <row r="21" spans="1:10" x14ac:dyDescent="0.35">
      <c r="A21" s="92">
        <v>10</v>
      </c>
      <c r="B21" s="144">
        <f>SUMPRODUCT('19'!B$12:B$22,'5A'!$K$13:$K$23)</f>
        <v>893412</v>
      </c>
      <c r="C21" s="144">
        <f>SUMPRODUCT('19'!C$12:C$22,'5B'!$K$13:$K$23)</f>
        <v>736000</v>
      </c>
      <c r="D21" s="144">
        <f>SUMPRODUCT('19'!D$12:D$22,'5C'!$K$13:$K$23)</f>
        <v>6762000</v>
      </c>
      <c r="E21" s="144">
        <f>SUMPRODUCT('19'!E$12:E$22,'5D'!$K$13:$K$23)</f>
        <v>1597120</v>
      </c>
      <c r="F21" s="144">
        <f>SUMPRODUCT('19'!F$12:F$22,'5E'!$K$13:$K$23)</f>
        <v>427064</v>
      </c>
      <c r="G21" s="144">
        <f>SUMPRODUCT('19'!G$12:G$22,'5F'!$K$13:$K$23)</f>
        <v>193200</v>
      </c>
      <c r="H21" s="144">
        <f>SUMPRODUCT('19'!H$12:H$22,'5G'!$K$13:$K$23)</f>
        <v>0</v>
      </c>
      <c r="I21" s="144">
        <f>SUMPRODUCT('19'!I$12:I$22,'5H'!$K$13:$K$23)</f>
        <v>0</v>
      </c>
      <c r="J21" s="144">
        <f t="shared" si="0"/>
        <v>10608796</v>
      </c>
    </row>
    <row r="22" spans="1:10" x14ac:dyDescent="0.35">
      <c r="A22" s="92">
        <v>11</v>
      </c>
      <c r="B22" s="144">
        <f>SUMPRODUCT('19'!B$12:B$22,'5A'!$L$13:$L$23)</f>
        <v>893412</v>
      </c>
      <c r="C22" s="144">
        <f>SUMPRODUCT('19'!C$12:C$22,'5B'!$L$13:$L$23)</f>
        <v>736000</v>
      </c>
      <c r="D22" s="144">
        <f>SUMPRODUCT('19'!D$12:D$22,'5C'!$L$13:$L$23)</f>
        <v>6762000</v>
      </c>
      <c r="E22" s="144">
        <f>SUMPRODUCT('19'!E$12:E$22,'5D'!$L$13:$L$23)</f>
        <v>1597120</v>
      </c>
      <c r="F22" s="144">
        <f>SUMPRODUCT('19'!F$12:F$22,'5E'!$L$13:$L$23)</f>
        <v>427064</v>
      </c>
      <c r="G22" s="144">
        <f>SUMPRODUCT('19'!G$12:G$22,'5F'!$L$13:$L$23)</f>
        <v>193200</v>
      </c>
      <c r="H22" s="144">
        <f>SUMPRODUCT('19'!H$12:H$22,'5G'!$L$13:$L$23)</f>
        <v>0</v>
      </c>
      <c r="I22" s="144">
        <f>SUMPRODUCT('19'!I$12:I$22,'5H'!$L$13:$L$23)</f>
        <v>0</v>
      </c>
      <c r="J22" s="144">
        <f t="shared" si="0"/>
        <v>10608796</v>
      </c>
    </row>
    <row r="23" spans="1:10" x14ac:dyDescent="0.35">
      <c r="A23" s="92">
        <v>12</v>
      </c>
      <c r="B23" s="144">
        <f>SUMPRODUCT('19'!B$12:B$22,'5A'!$M$13:$M$23)</f>
        <v>893412</v>
      </c>
      <c r="C23" s="144">
        <f>SUMPRODUCT('19'!C$12:C$22,'5B'!$M$13:$M$23)</f>
        <v>736000</v>
      </c>
      <c r="D23" s="144">
        <f>SUMPRODUCT('19'!D$12:D$22,'5C'!$M$13:$M$23)</f>
        <v>6762000</v>
      </c>
      <c r="E23" s="144">
        <f>SUMPRODUCT('19'!E$12:E$22,'5D'!$M$13:$M$23)</f>
        <v>1597120</v>
      </c>
      <c r="F23" s="144">
        <f>SUMPRODUCT('19'!F$12:F$22,'5E'!$M$13:$M$23)</f>
        <v>427064</v>
      </c>
      <c r="G23" s="144">
        <f>SUMPRODUCT('19'!G$12:G$22,'5F'!$M$13:$M$23)</f>
        <v>193200</v>
      </c>
      <c r="H23" s="144">
        <f>SUMPRODUCT('19'!H$12:H$22,'5G'!$M$13:$M$23)</f>
        <v>0</v>
      </c>
      <c r="I23" s="144">
        <f>SUMPRODUCT('19'!I$12:I$22,'5H'!$M$13:$M$23)</f>
        <v>0</v>
      </c>
      <c r="J23" s="144">
        <f t="shared" si="0"/>
        <v>10608796</v>
      </c>
    </row>
    <row r="24" spans="1:10" x14ac:dyDescent="0.35">
      <c r="A24" s="92">
        <v>13</v>
      </c>
      <c r="B24" s="144">
        <f>SUMPRODUCT('19'!B$12:B$22,'5A'!$N$13:$N$23)</f>
        <v>893412</v>
      </c>
      <c r="C24" s="144">
        <f>SUMPRODUCT('19'!C$12:C$22,'5B'!$N$13:$N$23)</f>
        <v>736000</v>
      </c>
      <c r="D24" s="144">
        <f>SUMPRODUCT('19'!D$12:D$22,'5C'!$N$13:$N$23)</f>
        <v>6762000</v>
      </c>
      <c r="E24" s="144">
        <f>SUMPRODUCT('19'!E$12:E$22,'5D'!$N$13:$N$23)</f>
        <v>1597120</v>
      </c>
      <c r="F24" s="144">
        <f>SUMPRODUCT('19'!F$12:F$22,'5E'!$N$13:$N$23)</f>
        <v>427064</v>
      </c>
      <c r="G24" s="144">
        <f>SUMPRODUCT('19'!G$12:G$22,'5F'!$N$13:$N$23)</f>
        <v>193200</v>
      </c>
      <c r="H24" s="144">
        <f>SUMPRODUCT('19'!H$12:H$22,'5G'!$N$13:$N$23)</f>
        <v>0</v>
      </c>
      <c r="I24" s="144">
        <f>SUMPRODUCT('19'!I$12:I$22,'5H'!$N$13:$N$23)</f>
        <v>0</v>
      </c>
      <c r="J24" s="144">
        <f t="shared" si="0"/>
        <v>10608796</v>
      </c>
    </row>
    <row r="25" spans="1:10" x14ac:dyDescent="0.35">
      <c r="A25" s="92">
        <v>14</v>
      </c>
      <c r="B25" s="144">
        <f>SUMPRODUCT('19'!B$12:B$22,'5A'!$O$13:$O$23)</f>
        <v>893412</v>
      </c>
      <c r="C25" s="144">
        <f>SUMPRODUCT('19'!C$12:C$22,'5B'!$O$13:$O$23)</f>
        <v>736000</v>
      </c>
      <c r="D25" s="144">
        <f>SUMPRODUCT('19'!D$12:D$22,'5C'!$O$13:$O$23)</f>
        <v>6762000</v>
      </c>
      <c r="E25" s="144">
        <f>SUMPRODUCT('19'!E$12:E$22,'5D'!$O$13:$O$23)</f>
        <v>1597120</v>
      </c>
      <c r="F25" s="144">
        <f>SUMPRODUCT('19'!F$12:F$22,'5E'!$O$13:$O$23)</f>
        <v>427064</v>
      </c>
      <c r="G25" s="144">
        <f>SUMPRODUCT('19'!G$12:G$22,'5F'!$O$13:$O$23)</f>
        <v>193200</v>
      </c>
      <c r="H25" s="144">
        <f>SUMPRODUCT('19'!H$12:H$22,'5G'!$O$13:$O$23)</f>
        <v>0</v>
      </c>
      <c r="I25" s="144">
        <f>SUMPRODUCT('19'!I$12:I$22,'5H'!$O$13:$O$23)</f>
        <v>0</v>
      </c>
      <c r="J25" s="144">
        <f t="shared" si="0"/>
        <v>10608796</v>
      </c>
    </row>
    <row r="26" spans="1:10" x14ac:dyDescent="0.35">
      <c r="A26" s="92">
        <v>15</v>
      </c>
      <c r="B26" s="144">
        <f>SUMPRODUCT('19'!B$12:B$22,'5A'!$P$13:$P$23)</f>
        <v>893412</v>
      </c>
      <c r="C26" s="144">
        <f>SUMPRODUCT('19'!C$12:C$22,'5B'!$P$13:$P$23)</f>
        <v>736000</v>
      </c>
      <c r="D26" s="144">
        <f>SUMPRODUCT('19'!D$12:D$22,'5C'!$P$13:$P$23)</f>
        <v>6762000</v>
      </c>
      <c r="E26" s="144">
        <f>SUMPRODUCT('19'!E$12:E$22,'5D'!$P$13:$P$23)</f>
        <v>1597120</v>
      </c>
      <c r="F26" s="144">
        <f>SUMPRODUCT('19'!F$12:F$22,'5E'!$P$13:$P$23)</f>
        <v>427064</v>
      </c>
      <c r="G26" s="144">
        <f>SUMPRODUCT('19'!G$12:G$22,'5F'!$P$13:$P$23)</f>
        <v>193200</v>
      </c>
      <c r="H26" s="144">
        <f>SUMPRODUCT('19'!H$12:H$22,'5G'!$P$13:$P$23)</f>
        <v>0</v>
      </c>
      <c r="I26" s="144">
        <f>SUMPRODUCT('19'!I$12:I$22,'5H'!$P$13:$P$23)</f>
        <v>0</v>
      </c>
      <c r="J26" s="144">
        <f t="shared" si="0"/>
        <v>10608796</v>
      </c>
    </row>
    <row r="27" spans="1:10" x14ac:dyDescent="0.35">
      <c r="A27" s="92">
        <v>16</v>
      </c>
      <c r="B27" s="144">
        <f>SUMPRODUCT('19'!B$12:B$22,'5A'!$Q$13:$Q$23)</f>
        <v>893412</v>
      </c>
      <c r="C27" s="144">
        <f>SUMPRODUCT('19'!C$12:C$22,'5B'!$Q$13:$Q$23)</f>
        <v>736000</v>
      </c>
      <c r="D27" s="144">
        <f>SUMPRODUCT('19'!D$12:D$22,'5C'!$Q$13:$Q$23)</f>
        <v>6762000</v>
      </c>
      <c r="E27" s="144">
        <f>SUMPRODUCT('19'!E$12:E$22,'5D'!$Q$13:$Q$23)</f>
        <v>1597120</v>
      </c>
      <c r="F27" s="144">
        <f>SUMPRODUCT('19'!F$12:F$22,'5E'!$Q$13:$Q$23)</f>
        <v>427064</v>
      </c>
      <c r="G27" s="144">
        <f>SUMPRODUCT('19'!G$12:G$22,'5F'!$Q$13:$Q$23)</f>
        <v>193200</v>
      </c>
      <c r="H27" s="144">
        <f>SUMPRODUCT('19'!H$12:H$22,'5G'!$Q$13:$Q$23)</f>
        <v>0</v>
      </c>
      <c r="I27" s="144">
        <f>SUMPRODUCT('19'!I$12:I$22,'5H'!$Q$13:$Q$23)</f>
        <v>0</v>
      </c>
      <c r="J27" s="144">
        <f t="shared" si="0"/>
        <v>10608796</v>
      </c>
    </row>
    <row r="28" spans="1:10" x14ac:dyDescent="0.35">
      <c r="A28" s="92">
        <v>17</v>
      </c>
      <c r="B28" s="144">
        <f>SUMPRODUCT('19'!B$12:B$22,'5A'!$R$13:$R$23)</f>
        <v>893412</v>
      </c>
      <c r="C28" s="144">
        <f>SUMPRODUCT('19'!C$12:C$22,'5B'!$R$13:$R$23)</f>
        <v>736000</v>
      </c>
      <c r="D28" s="144">
        <f>SUMPRODUCT('19'!D$12:D$22,'5C'!$R$13:$R$23)</f>
        <v>6762000</v>
      </c>
      <c r="E28" s="144">
        <f>SUMPRODUCT('19'!E$12:E$22,'5D'!$R$13:$R$23)</f>
        <v>1597120</v>
      </c>
      <c r="F28" s="144">
        <f>SUMPRODUCT('19'!F$12:F$22,'5E'!$R$13:$R$23)</f>
        <v>427064</v>
      </c>
      <c r="G28" s="144">
        <f>SUMPRODUCT('19'!G$12:G$22,'5F'!$R$13:$R$23)</f>
        <v>193200</v>
      </c>
      <c r="H28" s="144">
        <f>SUMPRODUCT('19'!H$12:H$22,'5G'!$R$13:$R$23)</f>
        <v>0</v>
      </c>
      <c r="I28" s="144">
        <f>SUMPRODUCT('19'!I$12:I$22,'5H'!$R$13:$R$23)</f>
        <v>0</v>
      </c>
      <c r="J28" s="144">
        <f>SUM(B28:I28)</f>
        <v>10608796</v>
      </c>
    </row>
    <row r="29" spans="1:10" x14ac:dyDescent="0.35">
      <c r="A29" s="92">
        <v>18</v>
      </c>
      <c r="B29" s="144">
        <f>SUMPRODUCT('19'!B$12:B$22,'5A'!$S$13:$S$23)</f>
        <v>893412</v>
      </c>
      <c r="C29" s="144">
        <f>SUMPRODUCT('19'!C$12:C$22,'5B'!$S$13:$S$23)</f>
        <v>736000</v>
      </c>
      <c r="D29" s="144">
        <f>SUMPRODUCT('19'!D$12:D$22,'5C'!$S$13:$S$23)</f>
        <v>6762000</v>
      </c>
      <c r="E29" s="144">
        <f>SUMPRODUCT('19'!E$12:E$22,'5D'!$S$13:$S$23)</f>
        <v>1597120</v>
      </c>
      <c r="F29" s="144">
        <f>SUMPRODUCT('19'!F$12:F$22,'5E'!$S$13:$S$23)</f>
        <v>427064</v>
      </c>
      <c r="G29" s="144">
        <f>SUMPRODUCT('19'!G$12:G$22,'5F'!$S$13:$S$23)</f>
        <v>193200</v>
      </c>
      <c r="H29" s="144">
        <f>SUMPRODUCT('19'!H$12:H$22,'5G'!$S$13:$S$23)</f>
        <v>0</v>
      </c>
      <c r="I29" s="144">
        <f>SUMPRODUCT('19'!I$12:I$22,'5H'!$S$13:$S$23)</f>
        <v>0</v>
      </c>
      <c r="J29" s="144">
        <f>SUM(B29:I29)</f>
        <v>10608796</v>
      </c>
    </row>
    <row r="30" spans="1:10" x14ac:dyDescent="0.35">
      <c r="A30" s="92">
        <v>19</v>
      </c>
      <c r="B30" s="144">
        <f>SUMPRODUCT('19'!B$12:B$22,'5A'!$T$13:$T$23)</f>
        <v>893412</v>
      </c>
      <c r="C30" s="144">
        <f>SUMPRODUCT('19'!C$12:C$22,'5B'!$T$13:$T$23)</f>
        <v>736000</v>
      </c>
      <c r="D30" s="144">
        <f>SUMPRODUCT('19'!D$12:D$22,'5C'!$T$13:$T$23)</f>
        <v>6762000</v>
      </c>
      <c r="E30" s="144">
        <f>SUMPRODUCT('19'!E$12:E$22,'5D'!$T$13:$T$23)</f>
        <v>1597120</v>
      </c>
      <c r="F30" s="144">
        <f>SUMPRODUCT('19'!F$12:F$22,'5E'!$T$13:$T$23)</f>
        <v>427064</v>
      </c>
      <c r="G30" s="144">
        <f>SUMPRODUCT('19'!G$12:G$22,'5F'!$T$13:$T$23)</f>
        <v>193200</v>
      </c>
      <c r="H30" s="144">
        <f>SUMPRODUCT('19'!H$12:H$22,'5G'!$T$13:$T$23)</f>
        <v>0</v>
      </c>
      <c r="I30" s="144">
        <f>SUMPRODUCT('19'!I$12:I$22,'5H'!$T$13:$T$23)</f>
        <v>0</v>
      </c>
      <c r="J30" s="144">
        <f>SUM(B30:I30)</f>
        <v>10608796</v>
      </c>
    </row>
    <row r="31" spans="1:10" x14ac:dyDescent="0.35">
      <c r="A31" s="92">
        <v>20</v>
      </c>
      <c r="B31" s="144">
        <f>SUMPRODUCT('19'!B$12:B$22,'5A'!$U$13:$U$23)</f>
        <v>893412</v>
      </c>
      <c r="C31" s="144">
        <f>SUMPRODUCT('19'!C$12:C$22,'5B'!$U$13:$U$23)</f>
        <v>736000</v>
      </c>
      <c r="D31" s="144">
        <f>SUMPRODUCT('19'!D$12:D$22,'5C'!$U$13:$U$23)</f>
        <v>6762000</v>
      </c>
      <c r="E31" s="144">
        <f>SUMPRODUCT('19'!E$12:E$22,'5D'!$U$13:$U$23)</f>
        <v>1597120</v>
      </c>
      <c r="F31" s="144">
        <f>SUMPRODUCT('19'!F$12:F$22,'5E'!$U$13:$U$23)</f>
        <v>427064</v>
      </c>
      <c r="G31" s="144">
        <f>SUMPRODUCT('19'!G$12:G$22,'5F'!$U$13:$U$23)</f>
        <v>193200</v>
      </c>
      <c r="H31" s="144">
        <f>SUMPRODUCT('19'!H$12:H$22,'5G'!$U$13:$U$23)</f>
        <v>0</v>
      </c>
      <c r="I31" s="144">
        <f>SUMPRODUCT('19'!I$12:I$22,'5H'!$U$13:$U$23)</f>
        <v>0</v>
      </c>
      <c r="J31" s="144">
        <f>SUM(B31:I31)</f>
        <v>10608796</v>
      </c>
    </row>
    <row r="33" spans="1:1" x14ac:dyDescent="0.35">
      <c r="A33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39">
    <pageSetUpPr fitToPage="1"/>
  </sheetPr>
  <dimension ref="A1:I18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9" width="16.453125" style="34" customWidth="1"/>
    <col min="10" max="16384" width="12.54296875" style="34"/>
  </cols>
  <sheetData>
    <row r="1" spans="1:9" x14ac:dyDescent="0.35">
      <c r="A1" s="370" t="str">
        <f>TECNOLOGIAS!A1</f>
        <v>Proponente: TransPolitécnica</v>
      </c>
    </row>
    <row r="2" spans="1:9" x14ac:dyDescent="0.35">
      <c r="A2" s="370" t="str">
        <f>TECNOLOGIAS!A2</f>
        <v>Área de Concessão: 5 (Cinco)</v>
      </c>
    </row>
    <row r="4" spans="1:9" ht="18" x14ac:dyDescent="0.4">
      <c r="A4" s="32" t="s">
        <v>203</v>
      </c>
      <c r="B4" s="77"/>
      <c r="C4" s="77"/>
      <c r="D4" s="77"/>
      <c r="E4" s="77"/>
      <c r="F4" s="77"/>
      <c r="G4" s="77"/>
      <c r="H4" s="77"/>
    </row>
    <row r="6" spans="1:9" x14ac:dyDescent="0.35">
      <c r="A6" s="35" t="s">
        <v>785</v>
      </c>
      <c r="B6" s="33"/>
      <c r="C6" s="33"/>
      <c r="D6" s="33"/>
      <c r="E6" s="33"/>
      <c r="F6" s="33"/>
      <c r="G6" s="33"/>
      <c r="H6" s="33"/>
    </row>
    <row r="7" spans="1:9" x14ac:dyDescent="0.35">
      <c r="A7" s="33"/>
      <c r="B7" s="33"/>
      <c r="C7" s="33"/>
      <c r="D7" s="33"/>
      <c r="E7" s="33"/>
      <c r="F7" s="33"/>
      <c r="G7" s="33"/>
      <c r="H7" s="33"/>
    </row>
    <row r="8" spans="1:9" x14ac:dyDescent="0.35">
      <c r="A8" s="36" t="s">
        <v>79</v>
      </c>
      <c r="B8" s="33"/>
      <c r="C8" s="33"/>
      <c r="D8" s="33"/>
      <c r="E8" s="33"/>
      <c r="F8" s="33"/>
      <c r="G8" s="33"/>
      <c r="H8" s="33"/>
    </row>
    <row r="9" spans="1:9" ht="16" thickBot="1" x14ac:dyDescent="0.4">
      <c r="A9" s="33"/>
      <c r="B9" s="33"/>
      <c r="C9" s="33"/>
      <c r="D9" s="33"/>
      <c r="E9" s="33"/>
      <c r="F9" s="33"/>
      <c r="G9" s="33"/>
      <c r="H9" s="33"/>
    </row>
    <row r="10" spans="1:9" ht="16" thickBot="1" x14ac:dyDescent="0.4">
      <c r="A10" s="104" t="s">
        <v>21</v>
      </c>
      <c r="B10" s="96" t="s">
        <v>197</v>
      </c>
      <c r="C10" s="96"/>
      <c r="D10" s="96"/>
      <c r="E10" s="96"/>
      <c r="F10" s="96"/>
      <c r="G10" s="96"/>
      <c r="H10" s="131"/>
      <c r="I10" s="131"/>
    </row>
    <row r="11" spans="1:9" ht="16" thickBot="1" x14ac:dyDescent="0.4">
      <c r="A11" s="107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116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</row>
    <row r="12" spans="1:9" x14ac:dyDescent="0.35">
      <c r="A12" s="44" t="s">
        <v>131</v>
      </c>
      <c r="B12" s="594">
        <f>ROUND((+'8'!$D$50+('8'!$G$50*'12'!$B$24))*'12'!B19,4)</f>
        <v>4.1799999999999997E-2</v>
      </c>
      <c r="C12" s="594">
        <f>ROUND((+'8'!$D$50+('8'!$G$50*'12'!$B$24))*'12'!C19,4)</f>
        <v>3.5799999999999998E-2</v>
      </c>
      <c r="D12" s="594">
        <f>ROUND((+'8'!$D$50+('8'!$G$50*'12'!$B$24))*'12'!D19,4)</f>
        <v>3.5799999999999998E-2</v>
      </c>
      <c r="E12" s="594">
        <f>ROUND((+'8'!$D$50+('8'!$G$50*'12'!$B$24))*'12'!E19,4)</f>
        <v>5.9700000000000003E-2</v>
      </c>
      <c r="F12" s="594">
        <f>ROUND((+'8'!$D$50+('8'!$G$50*'12'!$B$24))*'12'!F19,4)</f>
        <v>3.5799999999999998E-2</v>
      </c>
      <c r="G12" s="594">
        <f>ROUND((+'8'!$D$50+('8'!$G$50*'12'!$B$24))*'12'!G19,4)</f>
        <v>8.3599999999999994E-2</v>
      </c>
      <c r="H12" s="594">
        <f>ROUND((+'8'!$D$50+('8'!$G$50*'12'!$B$24))*'12'!H19,4)</f>
        <v>0</v>
      </c>
      <c r="I12" s="594">
        <f>ROUND((+'8'!$D$50+('8'!$G$50*'12'!$B$24))*'12'!I19,4)</f>
        <v>0</v>
      </c>
    </row>
    <row r="13" spans="1:9" x14ac:dyDescent="0.35">
      <c r="A13" s="44" t="s">
        <v>129</v>
      </c>
      <c r="B13" s="594">
        <f>ROUND(+'8'!$E$50*'12'!B20,4)</f>
        <v>3.0000000000000001E-3</v>
      </c>
      <c r="C13" s="594">
        <f>ROUND(+'8'!$E$50*'12'!C20,4)</f>
        <v>2.5999999999999999E-3</v>
      </c>
      <c r="D13" s="594">
        <f>ROUND(+'8'!$E$50*'12'!D20,4)</f>
        <v>2.5999999999999999E-3</v>
      </c>
      <c r="E13" s="594">
        <f>ROUND(+'8'!$E$50*'12'!E20,4)</f>
        <v>4.3E-3</v>
      </c>
      <c r="F13" s="594">
        <f>ROUND(+'8'!$E$50*'12'!F20,4)</f>
        <v>2.5999999999999999E-3</v>
      </c>
      <c r="G13" s="594">
        <f>ROUND(+'8'!$E$50*'12'!G20,4)</f>
        <v>0</v>
      </c>
      <c r="H13" s="594">
        <f>ROUND(+'8'!$E$50*'12'!H20,4)</f>
        <v>0</v>
      </c>
      <c r="I13" s="594">
        <f>ROUND(+'8'!$E$50*'12'!I20,4)</f>
        <v>0</v>
      </c>
    </row>
    <row r="14" spans="1:9" x14ac:dyDescent="0.35">
      <c r="A14" s="44" t="s">
        <v>86</v>
      </c>
      <c r="B14" s="594">
        <f>ROUND(+'8'!$F$50*'12'!B21,4)</f>
        <v>2.5999999999999999E-3</v>
      </c>
      <c r="C14" s="594">
        <f>ROUND(+'8'!$F$50*'12'!C21,4)</f>
        <v>2.2000000000000001E-3</v>
      </c>
      <c r="D14" s="594">
        <f>ROUND(+'8'!$F$50*'12'!D21,4)</f>
        <v>2.2000000000000001E-3</v>
      </c>
      <c r="E14" s="594">
        <f>ROUND(+'8'!$F$50*'12'!E21,4)</f>
        <v>3.5999999999999999E-3</v>
      </c>
      <c r="F14" s="594">
        <f>ROUND(+'8'!$F$50*'12'!F21,4)</f>
        <v>2.2000000000000001E-3</v>
      </c>
      <c r="G14" s="594">
        <f>ROUND(+'8'!$F$50*'12'!G21,4)</f>
        <v>0</v>
      </c>
      <c r="H14" s="594">
        <f>ROUND(+'8'!$F$50*'12'!H21,4)</f>
        <v>0</v>
      </c>
      <c r="I14" s="594">
        <f>ROUND(+'8'!$F$50*'12'!I21,4)</f>
        <v>0</v>
      </c>
    </row>
    <row r="15" spans="1:9" x14ac:dyDescent="0.35">
      <c r="A15" s="33"/>
      <c r="B15" s="33"/>
      <c r="C15" s="33"/>
      <c r="D15" s="33"/>
      <c r="E15" s="33"/>
      <c r="F15" s="33"/>
      <c r="G15" s="33"/>
      <c r="H15" s="33"/>
    </row>
    <row r="16" spans="1:9" x14ac:dyDescent="0.35">
      <c r="A16" s="119" t="s">
        <v>59</v>
      </c>
      <c r="B16" s="153">
        <f>SUM(B12:B14)</f>
        <v>4.7399999999999998E-2</v>
      </c>
      <c r="C16" s="153">
        <f t="shared" ref="C16:I16" si="0">SUM(C12:C14)</f>
        <v>4.0599999999999997E-2</v>
      </c>
      <c r="D16" s="153">
        <f t="shared" si="0"/>
        <v>4.0599999999999997E-2</v>
      </c>
      <c r="E16" s="153">
        <f t="shared" si="0"/>
        <v>6.7600000000000007E-2</v>
      </c>
      <c r="F16" s="153">
        <f t="shared" si="0"/>
        <v>4.0599999999999997E-2</v>
      </c>
      <c r="G16" s="153">
        <f t="shared" si="0"/>
        <v>8.3599999999999994E-2</v>
      </c>
      <c r="H16" s="153">
        <f t="shared" si="0"/>
        <v>0</v>
      </c>
      <c r="I16" s="153">
        <f t="shared" si="0"/>
        <v>0</v>
      </c>
    </row>
    <row r="18" spans="1:1" x14ac:dyDescent="0.35">
      <c r="A18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pageSetUpPr fitToPage="1"/>
  </sheetPr>
  <dimension ref="A1:D56"/>
  <sheetViews>
    <sheetView showGridLines="0" view="pageBreakPreview" zoomScaleNormal="100" workbookViewId="0">
      <selection activeCell="C10" sqref="C10"/>
    </sheetView>
  </sheetViews>
  <sheetFormatPr defaultColWidth="12.54296875" defaultRowHeight="12.5" x14ac:dyDescent="0.25"/>
  <cols>
    <col min="1" max="1" width="7.453125" style="538" customWidth="1"/>
    <col min="2" max="2" width="11.26953125" style="538" bestFit="1" customWidth="1"/>
    <col min="3" max="3" width="26.7265625" style="538" customWidth="1"/>
    <col min="4" max="16384" width="12.54296875" style="538"/>
  </cols>
  <sheetData>
    <row r="1" spans="1:4" ht="15.5" x14ac:dyDescent="0.35">
      <c r="A1" s="537" t="str">
        <f>TECNOLOGIAS!A1</f>
        <v>Proponente: TransPolitécnica</v>
      </c>
    </row>
    <row r="2" spans="1:4" ht="15.5" x14ac:dyDescent="0.35">
      <c r="A2" s="537" t="str">
        <f>TECNOLOGIAS!A2</f>
        <v>Área de Concessão: 5 (Cinco)</v>
      </c>
    </row>
    <row r="4" spans="1:4" ht="18" x14ac:dyDescent="0.4">
      <c r="A4" s="1" t="s">
        <v>8</v>
      </c>
      <c r="B4" s="2"/>
      <c r="C4" s="2"/>
      <c r="D4" s="2"/>
    </row>
    <row r="6" spans="1:4" ht="15.5" x14ac:dyDescent="0.35">
      <c r="A6" s="4" t="s">
        <v>0</v>
      </c>
      <c r="B6" s="5"/>
      <c r="C6" s="5"/>
      <c r="D6" s="5"/>
    </row>
    <row r="7" spans="1:4" x14ac:dyDescent="0.25">
      <c r="A7" s="5"/>
      <c r="B7" s="5"/>
      <c r="C7" s="5"/>
      <c r="D7" s="5"/>
    </row>
    <row r="8" spans="1:4" ht="15.5" x14ac:dyDescent="0.35">
      <c r="A8" s="2"/>
      <c r="B8" s="12" t="s">
        <v>371</v>
      </c>
      <c r="C8" s="10" t="s">
        <v>1</v>
      </c>
      <c r="D8" s="5"/>
    </row>
    <row r="9" spans="1:4" ht="15.5" x14ac:dyDescent="0.35">
      <c r="A9" s="2"/>
      <c r="B9" s="13"/>
      <c r="C9" s="11" t="s">
        <v>9</v>
      </c>
      <c r="D9" s="5"/>
    </row>
    <row r="10" spans="1:4" ht="17.25" customHeight="1" x14ac:dyDescent="0.35">
      <c r="A10" s="2"/>
      <c r="B10" s="308">
        <v>1</v>
      </c>
      <c r="C10" s="477">
        <f>15700000*6</f>
        <v>94200000</v>
      </c>
      <c r="D10" s="5"/>
    </row>
    <row r="11" spans="1:4" ht="17.25" customHeight="1" x14ac:dyDescent="0.35">
      <c r="A11" s="2"/>
      <c r="B11" s="309">
        <v>2</v>
      </c>
      <c r="C11" s="477">
        <f t="shared" ref="C11:C29" si="0">15700000*6</f>
        <v>94200000</v>
      </c>
      <c r="D11" s="5"/>
    </row>
    <row r="12" spans="1:4" ht="17.25" customHeight="1" x14ac:dyDescent="0.35">
      <c r="A12" s="2"/>
      <c r="B12" s="309">
        <v>3</v>
      </c>
      <c r="C12" s="477">
        <f t="shared" si="0"/>
        <v>94200000</v>
      </c>
      <c r="D12" s="5"/>
    </row>
    <row r="13" spans="1:4" ht="17.25" customHeight="1" x14ac:dyDescent="0.35">
      <c r="A13" s="2"/>
      <c r="B13" s="309">
        <v>4</v>
      </c>
      <c r="C13" s="477">
        <f t="shared" si="0"/>
        <v>94200000</v>
      </c>
      <c r="D13" s="5"/>
    </row>
    <row r="14" spans="1:4" ht="17.25" customHeight="1" x14ac:dyDescent="0.35">
      <c r="A14" s="2"/>
      <c r="B14" s="309">
        <v>5</v>
      </c>
      <c r="C14" s="477">
        <f t="shared" si="0"/>
        <v>94200000</v>
      </c>
      <c r="D14" s="5"/>
    </row>
    <row r="15" spans="1:4" ht="17.25" customHeight="1" x14ac:dyDescent="0.35">
      <c r="A15" s="2"/>
      <c r="B15" s="309">
        <v>6</v>
      </c>
      <c r="C15" s="477">
        <f t="shared" si="0"/>
        <v>94200000</v>
      </c>
      <c r="D15" s="5"/>
    </row>
    <row r="16" spans="1:4" ht="17.25" customHeight="1" x14ac:dyDescent="0.35">
      <c r="A16" s="2"/>
      <c r="B16" s="309">
        <v>7</v>
      </c>
      <c r="C16" s="477">
        <f t="shared" si="0"/>
        <v>94200000</v>
      </c>
      <c r="D16" s="5"/>
    </row>
    <row r="17" spans="1:4" ht="17.25" customHeight="1" x14ac:dyDescent="0.35">
      <c r="A17" s="2"/>
      <c r="B17" s="309">
        <v>8</v>
      </c>
      <c r="C17" s="477">
        <f t="shared" si="0"/>
        <v>94200000</v>
      </c>
      <c r="D17" s="5"/>
    </row>
    <row r="18" spans="1:4" ht="17.25" customHeight="1" x14ac:dyDescent="0.35">
      <c r="A18" s="2"/>
      <c r="B18" s="309">
        <v>9</v>
      </c>
      <c r="C18" s="477">
        <f t="shared" si="0"/>
        <v>94200000</v>
      </c>
      <c r="D18" s="5"/>
    </row>
    <row r="19" spans="1:4" ht="17.25" customHeight="1" x14ac:dyDescent="0.35">
      <c r="A19" s="2"/>
      <c r="B19" s="309">
        <v>10</v>
      </c>
      <c r="C19" s="477">
        <f t="shared" si="0"/>
        <v>94200000</v>
      </c>
      <c r="D19" s="5"/>
    </row>
    <row r="20" spans="1:4" ht="17.25" customHeight="1" x14ac:dyDescent="0.25">
      <c r="A20" s="5"/>
      <c r="B20" s="309">
        <v>11</v>
      </c>
      <c r="C20" s="477">
        <f t="shared" si="0"/>
        <v>94200000</v>
      </c>
      <c r="D20" s="5"/>
    </row>
    <row r="21" spans="1:4" ht="17.25" customHeight="1" x14ac:dyDescent="0.25">
      <c r="A21" s="5"/>
      <c r="B21" s="309">
        <v>12</v>
      </c>
      <c r="C21" s="477">
        <f t="shared" si="0"/>
        <v>94200000</v>
      </c>
      <c r="D21" s="5"/>
    </row>
    <row r="22" spans="1:4" ht="17.25" customHeight="1" x14ac:dyDescent="0.25">
      <c r="A22" s="5"/>
      <c r="B22" s="309">
        <v>13</v>
      </c>
      <c r="C22" s="477">
        <f t="shared" si="0"/>
        <v>94200000</v>
      </c>
      <c r="D22" s="5"/>
    </row>
    <row r="23" spans="1:4" ht="17.25" customHeight="1" x14ac:dyDescent="0.25">
      <c r="A23" s="5"/>
      <c r="B23" s="309">
        <v>14</v>
      </c>
      <c r="C23" s="477">
        <f t="shared" si="0"/>
        <v>94200000</v>
      </c>
      <c r="D23" s="5"/>
    </row>
    <row r="24" spans="1:4" ht="17.25" customHeight="1" x14ac:dyDescent="0.25">
      <c r="A24" s="5"/>
      <c r="B24" s="309">
        <v>15</v>
      </c>
      <c r="C24" s="477">
        <f t="shared" si="0"/>
        <v>94200000</v>
      </c>
      <c r="D24" s="5"/>
    </row>
    <row r="25" spans="1:4" ht="17.25" customHeight="1" x14ac:dyDescent="0.25">
      <c r="A25" s="5"/>
      <c r="B25" s="309">
        <v>16</v>
      </c>
      <c r="C25" s="477">
        <f t="shared" si="0"/>
        <v>94200000</v>
      </c>
      <c r="D25" s="5"/>
    </row>
    <row r="26" spans="1:4" ht="17.25" customHeight="1" x14ac:dyDescent="0.25">
      <c r="A26" s="5"/>
      <c r="B26" s="309">
        <v>17</v>
      </c>
      <c r="C26" s="477">
        <f t="shared" si="0"/>
        <v>94200000</v>
      </c>
      <c r="D26" s="5"/>
    </row>
    <row r="27" spans="1:4" ht="17.25" customHeight="1" x14ac:dyDescent="0.25">
      <c r="A27" s="5"/>
      <c r="B27" s="309">
        <v>18</v>
      </c>
      <c r="C27" s="477">
        <f t="shared" si="0"/>
        <v>94200000</v>
      </c>
      <c r="D27" s="5"/>
    </row>
    <row r="28" spans="1:4" ht="17.25" customHeight="1" x14ac:dyDescent="0.25">
      <c r="A28" s="5"/>
      <c r="B28" s="309">
        <v>19</v>
      </c>
      <c r="C28" s="477">
        <f t="shared" si="0"/>
        <v>94200000</v>
      </c>
      <c r="D28" s="5"/>
    </row>
    <row r="29" spans="1:4" ht="17.25" customHeight="1" x14ac:dyDescent="0.25">
      <c r="A29" s="5"/>
      <c r="B29" s="309">
        <v>20</v>
      </c>
      <c r="C29" s="477">
        <f t="shared" si="0"/>
        <v>94200000</v>
      </c>
      <c r="D29" s="5"/>
    </row>
    <row r="30" spans="1:4" x14ac:dyDescent="0.25">
      <c r="A30" s="490"/>
      <c r="B30" s="490"/>
      <c r="C30" s="490"/>
      <c r="D30" s="5"/>
    </row>
    <row r="31" spans="1:4" x14ac:dyDescent="0.25">
      <c r="A31" s="490" t="s">
        <v>447</v>
      </c>
      <c r="B31" s="490"/>
      <c r="C31" s="490"/>
      <c r="D31" s="5"/>
    </row>
    <row r="32" spans="1:4" x14ac:dyDescent="0.25">
      <c r="A32" s="490"/>
      <c r="B32" s="490"/>
      <c r="C32" s="490"/>
      <c r="D32" s="5"/>
    </row>
    <row r="33" spans="1:4" x14ac:dyDescent="0.25">
      <c r="A33" s="490"/>
      <c r="B33" s="490"/>
      <c r="C33" s="490"/>
      <c r="D33" s="5"/>
    </row>
    <row r="34" spans="1:4" x14ac:dyDescent="0.25">
      <c r="A34" s="5"/>
      <c r="B34" s="5"/>
      <c r="C34" s="5"/>
      <c r="D34" s="5"/>
    </row>
    <row r="35" spans="1:4" x14ac:dyDescent="0.25">
      <c r="A35" s="5"/>
      <c r="B35" s="5"/>
      <c r="C35" s="5"/>
      <c r="D35" s="5"/>
    </row>
    <row r="36" spans="1:4" x14ac:dyDescent="0.25">
      <c r="A36" s="5"/>
      <c r="B36" s="5"/>
      <c r="C36" s="5"/>
      <c r="D36" s="5"/>
    </row>
    <row r="37" spans="1:4" x14ac:dyDescent="0.25">
      <c r="A37" s="5"/>
      <c r="B37" s="5"/>
      <c r="C37" s="5"/>
      <c r="D37" s="5"/>
    </row>
    <row r="38" spans="1:4" x14ac:dyDescent="0.25">
      <c r="A38" s="5"/>
      <c r="B38" s="5"/>
      <c r="C38" s="5"/>
      <c r="D38" s="5"/>
    </row>
    <row r="39" spans="1:4" x14ac:dyDescent="0.25">
      <c r="A39" s="5"/>
      <c r="B39" s="5"/>
      <c r="C39" s="5"/>
      <c r="D39" s="5"/>
    </row>
    <row r="40" spans="1:4" x14ac:dyDescent="0.25">
      <c r="A40" s="5"/>
      <c r="B40" s="5"/>
      <c r="C40" s="5"/>
      <c r="D40" s="5"/>
    </row>
    <row r="41" spans="1:4" x14ac:dyDescent="0.25">
      <c r="A41" s="5"/>
      <c r="B41" s="5"/>
      <c r="C41" s="5"/>
      <c r="D41" s="5"/>
    </row>
    <row r="42" spans="1:4" x14ac:dyDescent="0.25">
      <c r="A42" s="5"/>
      <c r="B42" s="5"/>
      <c r="C42" s="5"/>
      <c r="D42" s="5"/>
    </row>
    <row r="43" spans="1:4" x14ac:dyDescent="0.25">
      <c r="A43" s="5"/>
      <c r="B43" s="5"/>
      <c r="C43" s="5"/>
      <c r="D43" s="5"/>
    </row>
    <row r="44" spans="1:4" x14ac:dyDescent="0.25">
      <c r="A44" s="5"/>
      <c r="B44" s="5"/>
      <c r="C44" s="5"/>
      <c r="D44" s="5"/>
    </row>
    <row r="45" spans="1:4" x14ac:dyDescent="0.25">
      <c r="A45" s="5"/>
      <c r="B45" s="5"/>
      <c r="C45" s="5"/>
      <c r="D45" s="5"/>
    </row>
    <row r="46" spans="1:4" x14ac:dyDescent="0.25">
      <c r="A46" s="5"/>
      <c r="B46" s="5"/>
      <c r="C46" s="5"/>
      <c r="D46" s="5"/>
    </row>
    <row r="47" spans="1:4" x14ac:dyDescent="0.25">
      <c r="A47" s="5"/>
      <c r="B47" s="5"/>
      <c r="C47" s="5"/>
      <c r="D47" s="5"/>
    </row>
    <row r="48" spans="1:4" x14ac:dyDescent="0.25">
      <c r="A48" s="5"/>
      <c r="B48" s="5"/>
      <c r="C48" s="5"/>
      <c r="D48" s="5"/>
    </row>
    <row r="49" spans="1:4" x14ac:dyDescent="0.25">
      <c r="A49" s="5"/>
      <c r="B49" s="5"/>
      <c r="C49" s="5"/>
      <c r="D49" s="5"/>
    </row>
    <row r="50" spans="1:4" x14ac:dyDescent="0.25">
      <c r="A50" s="5"/>
      <c r="B50" s="5"/>
      <c r="C50" s="5"/>
      <c r="D50" s="5"/>
    </row>
    <row r="51" spans="1:4" x14ac:dyDescent="0.25">
      <c r="A51" s="5"/>
      <c r="B51" s="5"/>
      <c r="C51" s="5"/>
      <c r="D51" s="5"/>
    </row>
    <row r="52" spans="1:4" x14ac:dyDescent="0.25">
      <c r="A52" s="5"/>
      <c r="B52" s="5"/>
      <c r="C52" s="5"/>
      <c r="D52" s="5"/>
    </row>
    <row r="53" spans="1:4" x14ac:dyDescent="0.25">
      <c r="A53" s="5"/>
      <c r="B53" s="5"/>
      <c r="C53" s="5"/>
      <c r="D53" s="5"/>
    </row>
    <row r="54" spans="1:4" x14ac:dyDescent="0.25">
      <c r="A54" s="5"/>
      <c r="B54" s="5"/>
      <c r="C54" s="5"/>
      <c r="D54" s="5"/>
    </row>
    <row r="55" spans="1:4" x14ac:dyDescent="0.25">
      <c r="A55" s="5"/>
      <c r="B55" s="5"/>
      <c r="C55" s="5"/>
      <c r="D55" s="5"/>
    </row>
    <row r="56" spans="1:4" x14ac:dyDescent="0.25">
      <c r="A56" s="5"/>
      <c r="B56" s="5"/>
      <c r="C56" s="5"/>
      <c r="D56" s="5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0">
    <pageSetUpPr fitToPage="1"/>
  </sheetPr>
  <dimension ref="A1:J33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1" width="11.453125" style="34" customWidth="1"/>
    <col min="2" max="10" width="15" style="34" customWidth="1"/>
    <col min="11" max="16384" width="12.54296875" style="34"/>
  </cols>
  <sheetData>
    <row r="1" spans="1:10" x14ac:dyDescent="0.35">
      <c r="A1" s="370" t="str">
        <f>TECNOLOGIAS!A1</f>
        <v>Proponente: TransPolitécnica</v>
      </c>
    </row>
    <row r="2" spans="1:10" x14ac:dyDescent="0.35">
      <c r="A2" s="370" t="str">
        <f>TECNOLOGIAS!A2</f>
        <v>Área de Concessão: 5 (Cinco)</v>
      </c>
    </row>
    <row r="4" spans="1:10" ht="18" x14ac:dyDescent="0.4">
      <c r="A4" s="32" t="s">
        <v>204</v>
      </c>
      <c r="B4" s="77"/>
      <c r="C4" s="77"/>
      <c r="D4" s="77"/>
      <c r="E4" s="77"/>
      <c r="F4" s="77"/>
      <c r="G4" s="77"/>
      <c r="H4" s="77"/>
      <c r="I4" s="77"/>
    </row>
    <row r="6" spans="1:10" x14ac:dyDescent="0.35">
      <c r="A6" s="35" t="s">
        <v>784</v>
      </c>
      <c r="B6" s="33"/>
      <c r="C6" s="33"/>
      <c r="D6" s="33"/>
      <c r="E6" s="33"/>
      <c r="F6" s="33"/>
      <c r="G6" s="33"/>
      <c r="H6" s="33"/>
      <c r="I6" s="33"/>
    </row>
    <row r="7" spans="1:10" x14ac:dyDescent="0.35">
      <c r="A7" s="33"/>
      <c r="B7" s="33"/>
      <c r="C7" s="33"/>
      <c r="D7" s="33"/>
      <c r="E7" s="33"/>
      <c r="F7" s="33"/>
      <c r="G7" s="33"/>
      <c r="H7" s="33"/>
      <c r="I7" s="33"/>
    </row>
    <row r="8" spans="1:10" x14ac:dyDescent="0.35">
      <c r="A8" s="36" t="s">
        <v>79</v>
      </c>
      <c r="B8" s="33"/>
      <c r="C8" s="33"/>
      <c r="D8" s="33"/>
      <c r="E8" s="33"/>
      <c r="F8" s="33"/>
      <c r="G8" s="33"/>
      <c r="H8" s="33"/>
      <c r="I8" s="33"/>
    </row>
    <row r="9" spans="1:10" ht="16" thickBot="1" x14ac:dyDescent="0.4">
      <c r="A9" s="33"/>
      <c r="B9" s="33"/>
      <c r="C9" s="33"/>
      <c r="D9" s="33"/>
      <c r="E9" s="33"/>
      <c r="F9" s="33"/>
      <c r="G9" s="33"/>
      <c r="H9" s="33"/>
      <c r="I9" s="33"/>
    </row>
    <row r="10" spans="1:10" ht="16" thickBot="1" x14ac:dyDescent="0.4">
      <c r="A10" s="95" t="s">
        <v>371</v>
      </c>
      <c r="B10" s="138" t="s">
        <v>434</v>
      </c>
      <c r="C10" s="38"/>
      <c r="D10" s="38"/>
      <c r="E10" s="38"/>
      <c r="F10" s="38"/>
      <c r="G10" s="38"/>
      <c r="H10" s="38"/>
      <c r="I10" s="39"/>
      <c r="J10" s="39"/>
    </row>
    <row r="11" spans="1:10" ht="16" thickBot="1" x14ac:dyDescent="0.4">
      <c r="A11" s="41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116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  <c r="J11" s="116" t="s">
        <v>59</v>
      </c>
    </row>
    <row r="12" spans="1:10" x14ac:dyDescent="0.35">
      <c r="A12" s="44">
        <v>1</v>
      </c>
      <c r="B12" s="45">
        <f>ROUND(+'21'!$B$16*'7'!B10,2)</f>
        <v>23092.71</v>
      </c>
      <c r="C12" s="45">
        <f>ROUND(+'21'!$C$16*'7'!C10,2)</f>
        <v>1089870.54</v>
      </c>
      <c r="D12" s="45">
        <f>ROUND(+'21'!$D$16*'7'!D10,2)</f>
        <v>88673.81</v>
      </c>
      <c r="E12" s="45">
        <f>ROUND(+'21'!$E$16*'7'!E10,2)</f>
        <v>0</v>
      </c>
      <c r="F12" s="45">
        <f>ROUND(+'21'!$F$16*'7'!F10,2)</f>
        <v>0</v>
      </c>
      <c r="G12" s="45">
        <f>ROUND(+'21'!$G$16*'7'!G10,2)</f>
        <v>51313.68</v>
      </c>
      <c r="H12" s="45">
        <f>ROUND(+'21'!$H$16*'7'!H10,2)</f>
        <v>0</v>
      </c>
      <c r="I12" s="45">
        <f>ROUND(+'21'!$I$16*'7'!I10,2)</f>
        <v>0</v>
      </c>
      <c r="J12" s="149">
        <f>SUM(B12:I12)</f>
        <v>1252950.74</v>
      </c>
    </row>
    <row r="13" spans="1:10" x14ac:dyDescent="0.35">
      <c r="A13" s="44">
        <v>2</v>
      </c>
      <c r="B13" s="45">
        <f>ROUND(+'21'!$B$16*'7'!B11,2)</f>
        <v>44409.06</v>
      </c>
      <c r="C13" s="45">
        <f>ROUND(+'21'!$C$16*'7'!C11,2)</f>
        <v>967152.66</v>
      </c>
      <c r="D13" s="45">
        <f>ROUND(+'21'!$D$16*'7'!D11,2)</f>
        <v>175940.1</v>
      </c>
      <c r="E13" s="45">
        <f>ROUND(+'21'!$E$16*'7'!E11,2)</f>
        <v>0</v>
      </c>
      <c r="F13" s="45">
        <f>ROUND(+'21'!$F$16*'7'!F11,2)</f>
        <v>17193.29</v>
      </c>
      <c r="G13" s="45">
        <f>ROUND(+'21'!$G$16*'7'!G11,2)</f>
        <v>51313.68</v>
      </c>
      <c r="H13" s="45">
        <f>ROUND(+'21'!$H$16*'7'!H11,2)</f>
        <v>0</v>
      </c>
      <c r="I13" s="45">
        <f>ROUND(+'21'!$I$16*'7'!I11,2)</f>
        <v>0</v>
      </c>
      <c r="J13" s="149">
        <f t="shared" ref="J13:J21" si="0">SUM(B13:I13)</f>
        <v>1256008.79</v>
      </c>
    </row>
    <row r="14" spans="1:10" x14ac:dyDescent="0.35">
      <c r="A14" s="44">
        <v>3</v>
      </c>
      <c r="B14" s="45">
        <f>ROUND(+'21'!$B$16*'7'!B12,2)</f>
        <v>65725.41</v>
      </c>
      <c r="C14" s="45">
        <f>ROUND(+'21'!$C$16*'7'!C12,2)</f>
        <v>861628.06</v>
      </c>
      <c r="D14" s="45">
        <f>ROUND(+'21'!$D$16*'7'!D12,2)</f>
        <v>263206.39</v>
      </c>
      <c r="E14" s="45">
        <f>ROUND(+'21'!$E$16*'7'!E12,2)</f>
        <v>0</v>
      </c>
      <c r="F14" s="45">
        <f>ROUND(+'21'!$F$16*'7'!F12,2)</f>
        <v>17193.29</v>
      </c>
      <c r="G14" s="45">
        <f>ROUND(+'21'!$G$16*'7'!G12,2)</f>
        <v>51313.68</v>
      </c>
      <c r="H14" s="45">
        <f>ROUND(+'21'!$H$16*'7'!H12,2)</f>
        <v>0</v>
      </c>
      <c r="I14" s="45">
        <f>ROUND(+'21'!$I$16*'7'!I12,2)</f>
        <v>0</v>
      </c>
      <c r="J14" s="149">
        <f t="shared" si="0"/>
        <v>1259066.83</v>
      </c>
    </row>
    <row r="15" spans="1:10" x14ac:dyDescent="0.35">
      <c r="A15" s="44">
        <v>4</v>
      </c>
      <c r="B15" s="45">
        <f>ROUND(+'21'!$B$16*'7'!B13,2)</f>
        <v>88818.12</v>
      </c>
      <c r="C15" s="45">
        <f>ROUND(+'21'!$C$16*'7'!C13,2)</f>
        <v>754581.94</v>
      </c>
      <c r="D15" s="45">
        <f>ROUND(+'21'!$D$16*'7'!D13,2)</f>
        <v>350472.68</v>
      </c>
      <c r="E15" s="45">
        <f>ROUND(+'21'!$E$16*'7'!E13,2)</f>
        <v>0</v>
      </c>
      <c r="F15" s="45">
        <f>ROUND(+'21'!$F$16*'7'!F13,2)</f>
        <v>17193.29</v>
      </c>
      <c r="G15" s="45">
        <f>ROUND(+'21'!$G$16*'7'!G13,2)</f>
        <v>51313.68</v>
      </c>
      <c r="H15" s="45">
        <f>ROUND(+'21'!$H$16*'7'!H13,2)</f>
        <v>0</v>
      </c>
      <c r="I15" s="45">
        <f>ROUND(+'21'!$I$16*'7'!I13,2)</f>
        <v>0</v>
      </c>
      <c r="J15" s="149">
        <f t="shared" si="0"/>
        <v>1262379.71</v>
      </c>
    </row>
    <row r="16" spans="1:10" x14ac:dyDescent="0.35">
      <c r="A16" s="44">
        <v>5</v>
      </c>
      <c r="B16" s="45">
        <f>ROUND(+'21'!$B$16*'7'!B14,2)</f>
        <v>110134.47</v>
      </c>
      <c r="C16" s="45">
        <f>ROUND(+'21'!$C$16*'7'!C14,2)</f>
        <v>625757.97</v>
      </c>
      <c r="D16" s="45">
        <f>ROUND(+'21'!$D$16*'7'!D14,2)</f>
        <v>439146.49</v>
      </c>
      <c r="E16" s="45">
        <f>ROUND(+'21'!$E$16*'7'!E14,2)</f>
        <v>36450.46</v>
      </c>
      <c r="F16" s="45">
        <f>ROUND(+'21'!$F$16*'7'!F14,2)</f>
        <v>17193.29</v>
      </c>
      <c r="G16" s="45">
        <f>ROUND(+'21'!$G$16*'7'!G14,2)</f>
        <v>51313.68</v>
      </c>
      <c r="H16" s="45">
        <f>ROUND(+'21'!$H$16*'7'!H14,2)</f>
        <v>0</v>
      </c>
      <c r="I16" s="45">
        <f>ROUND(+'21'!$I$16*'7'!I14,2)</f>
        <v>0</v>
      </c>
      <c r="J16" s="149">
        <f t="shared" si="0"/>
        <v>1279996.3599999999</v>
      </c>
    </row>
    <row r="17" spans="1:10" x14ac:dyDescent="0.35">
      <c r="A17" s="44">
        <v>6</v>
      </c>
      <c r="B17" s="45">
        <f>ROUND(+'21'!$B$16*'7'!B15,2)</f>
        <v>131450.82</v>
      </c>
      <c r="C17" s="45">
        <f>ROUND(+'21'!$C$16*'7'!C15,2)</f>
        <v>498341.53</v>
      </c>
      <c r="D17" s="45">
        <f>ROUND(+'21'!$D$16*'7'!D15,2)</f>
        <v>526412.78</v>
      </c>
      <c r="E17" s="45">
        <f>ROUND(+'21'!$E$16*'7'!E15,2)</f>
        <v>72900.92</v>
      </c>
      <c r="F17" s="45">
        <f>ROUND(+'21'!$F$16*'7'!F15,2)</f>
        <v>17193.29</v>
      </c>
      <c r="G17" s="45">
        <f>ROUND(+'21'!$G$16*'7'!G15,2)</f>
        <v>51313.68</v>
      </c>
      <c r="H17" s="45">
        <f>ROUND(+'21'!$H$16*'7'!H15,2)</f>
        <v>0</v>
      </c>
      <c r="I17" s="45">
        <f>ROUND(+'21'!$I$16*'7'!I15,2)</f>
        <v>0</v>
      </c>
      <c r="J17" s="149">
        <f t="shared" si="0"/>
        <v>1297613.02</v>
      </c>
    </row>
    <row r="18" spans="1:10" x14ac:dyDescent="0.35">
      <c r="A18" s="44">
        <v>7</v>
      </c>
      <c r="B18" s="45">
        <f>ROUND(+'21'!$B$16*'7'!B16,2)</f>
        <v>154543.53</v>
      </c>
      <c r="C18" s="45">
        <f>ROUND(+'21'!$C$16*'7'!C16,2)</f>
        <v>369403.57</v>
      </c>
      <c r="D18" s="45">
        <f>ROUND(+'21'!$D$16*'7'!D16,2)</f>
        <v>613679.06999999995</v>
      </c>
      <c r="E18" s="45">
        <f>ROUND(+'21'!$E$16*'7'!E16,2)</f>
        <v>109351.38</v>
      </c>
      <c r="F18" s="45">
        <f>ROUND(+'21'!$F$16*'7'!F16,2)</f>
        <v>17193.29</v>
      </c>
      <c r="G18" s="45">
        <f>ROUND(+'21'!$G$16*'7'!G16,2)</f>
        <v>51313.68</v>
      </c>
      <c r="H18" s="45">
        <f>ROUND(+'21'!$H$16*'7'!H16,2)</f>
        <v>0</v>
      </c>
      <c r="I18" s="45">
        <f>ROUND(+'21'!$I$16*'7'!I16,2)</f>
        <v>0</v>
      </c>
      <c r="J18" s="149">
        <f t="shared" si="0"/>
        <v>1315484.5199999998</v>
      </c>
    </row>
    <row r="19" spans="1:10" x14ac:dyDescent="0.35">
      <c r="A19" s="44">
        <v>8</v>
      </c>
      <c r="B19" s="45">
        <f>ROUND(+'21'!$B$16*'7'!B17,2)</f>
        <v>175859.88</v>
      </c>
      <c r="C19" s="45">
        <f>ROUND(+'21'!$C$16*'7'!C17,2)</f>
        <v>241987.12</v>
      </c>
      <c r="D19" s="45">
        <f>ROUND(+'21'!$D$16*'7'!D17,2)</f>
        <v>700945.36</v>
      </c>
      <c r="E19" s="45">
        <f>ROUND(+'21'!$E$16*'7'!E17,2)</f>
        <v>145801.84</v>
      </c>
      <c r="F19" s="45">
        <f>ROUND(+'21'!$F$16*'7'!F17,2)</f>
        <v>17193.29</v>
      </c>
      <c r="G19" s="45">
        <f>ROUND(+'21'!$G$16*'7'!G17,2)</f>
        <v>51313.68</v>
      </c>
      <c r="H19" s="45">
        <f>ROUND(+'21'!$H$16*'7'!H17,2)</f>
        <v>0</v>
      </c>
      <c r="I19" s="45">
        <f>ROUND(+'21'!$I$16*'7'!I17,2)</f>
        <v>0</v>
      </c>
      <c r="J19" s="149">
        <f t="shared" si="0"/>
        <v>1333101.17</v>
      </c>
    </row>
    <row r="20" spans="1:10" x14ac:dyDescent="0.35">
      <c r="A20" s="44">
        <v>9</v>
      </c>
      <c r="B20" s="45">
        <f>ROUND(+'21'!$B$16*'7'!B18,2)</f>
        <v>197176.23</v>
      </c>
      <c r="C20" s="45">
        <f>ROUND(+'21'!$C$16*'7'!C18,2)</f>
        <v>116395</v>
      </c>
      <c r="D20" s="45">
        <f>ROUND(+'21'!$D$16*'7'!D18,2)</f>
        <v>788211.65</v>
      </c>
      <c r="E20" s="45">
        <f>ROUND(+'21'!$E$16*'7'!E18,2)</f>
        <v>179214.77</v>
      </c>
      <c r="F20" s="45">
        <f>ROUND(+'21'!$F$16*'7'!F18,2)</f>
        <v>17193.29</v>
      </c>
      <c r="G20" s="45">
        <f>ROUND(+'21'!$G$16*'7'!G18,2)</f>
        <v>51313.68</v>
      </c>
      <c r="H20" s="45">
        <f>ROUND(+'21'!$H$16*'7'!H18,2)</f>
        <v>0</v>
      </c>
      <c r="I20" s="45">
        <f>ROUND(+'21'!$I$16*'7'!I18,2)</f>
        <v>0</v>
      </c>
      <c r="J20" s="149">
        <f t="shared" si="0"/>
        <v>1349504.6199999999</v>
      </c>
    </row>
    <row r="21" spans="1:10" x14ac:dyDescent="0.35">
      <c r="A21" s="44">
        <v>10</v>
      </c>
      <c r="B21" s="45">
        <f>ROUND(+'21'!$B$16*'7'!B19,2)</f>
        <v>197176.23</v>
      </c>
      <c r="C21" s="45">
        <f>ROUND(+'21'!$C$16*'7'!C19,2)</f>
        <v>116395</v>
      </c>
      <c r="D21" s="45">
        <f>ROUND(+'21'!$D$16*'7'!D19,2)</f>
        <v>788211.65</v>
      </c>
      <c r="E21" s="45">
        <f>ROUND(+'21'!$E$16*'7'!E19,2)</f>
        <v>179214.77</v>
      </c>
      <c r="F21" s="45">
        <f>ROUND(+'21'!$F$16*'7'!F19,2)</f>
        <v>17193.29</v>
      </c>
      <c r="G21" s="45">
        <f>ROUND(+'21'!$G$16*'7'!G19,2)</f>
        <v>51313.68</v>
      </c>
      <c r="H21" s="45">
        <f>ROUND(+'21'!$H$16*'7'!H19,2)</f>
        <v>0</v>
      </c>
      <c r="I21" s="45">
        <f>ROUND(+'21'!$I$16*'7'!I19,2)</f>
        <v>0</v>
      </c>
      <c r="J21" s="149">
        <f t="shared" si="0"/>
        <v>1349504.6199999999</v>
      </c>
    </row>
    <row r="22" spans="1:10" x14ac:dyDescent="0.35">
      <c r="A22" s="44">
        <v>11</v>
      </c>
      <c r="B22" s="45">
        <f>ROUND(+'21'!$B$16*'7'!B20,2)</f>
        <v>197176.23</v>
      </c>
      <c r="C22" s="45">
        <f>ROUND(+'21'!$C$16*'7'!C20,2)</f>
        <v>116395</v>
      </c>
      <c r="D22" s="45">
        <f>ROUND(+'21'!$D$16*'7'!D20,2)</f>
        <v>788211.65</v>
      </c>
      <c r="E22" s="45">
        <f>ROUND(+'21'!$E$16*'7'!E20,2)</f>
        <v>179214.77</v>
      </c>
      <c r="F22" s="45">
        <f>ROUND(+'21'!$F$16*'7'!F20,2)</f>
        <v>17193.29</v>
      </c>
      <c r="G22" s="45">
        <f>ROUND(+'21'!$G$16*'7'!G20,2)</f>
        <v>51313.68</v>
      </c>
      <c r="H22" s="45">
        <f>ROUND(+'21'!$H$16*'7'!H20,2)</f>
        <v>0</v>
      </c>
      <c r="I22" s="45">
        <f>ROUND(+'21'!$I$16*'7'!I20,2)</f>
        <v>0</v>
      </c>
      <c r="J22" s="149">
        <f t="shared" ref="J22:J31" si="1">SUM(B22:I22)</f>
        <v>1349504.6199999999</v>
      </c>
    </row>
    <row r="23" spans="1:10" x14ac:dyDescent="0.35">
      <c r="A23" s="44">
        <v>12</v>
      </c>
      <c r="B23" s="45">
        <f>ROUND(+'21'!$B$16*'7'!B21,2)</f>
        <v>197176.23</v>
      </c>
      <c r="C23" s="45">
        <f>ROUND(+'21'!$C$16*'7'!C21,2)</f>
        <v>116395</v>
      </c>
      <c r="D23" s="45">
        <f>ROUND(+'21'!$D$16*'7'!D21,2)</f>
        <v>788211.65</v>
      </c>
      <c r="E23" s="45">
        <f>ROUND(+'21'!$E$16*'7'!E21,2)</f>
        <v>179214.77</v>
      </c>
      <c r="F23" s="45">
        <f>ROUND(+'21'!$F$16*'7'!F21,2)</f>
        <v>17193.29</v>
      </c>
      <c r="G23" s="45">
        <f>ROUND(+'21'!$G$16*'7'!G21,2)</f>
        <v>51313.68</v>
      </c>
      <c r="H23" s="45">
        <f>ROUND(+'21'!$H$16*'7'!H21,2)</f>
        <v>0</v>
      </c>
      <c r="I23" s="45">
        <f>ROUND(+'21'!$I$16*'7'!I21,2)</f>
        <v>0</v>
      </c>
      <c r="J23" s="149">
        <f t="shared" si="1"/>
        <v>1349504.6199999999</v>
      </c>
    </row>
    <row r="24" spans="1:10" x14ac:dyDescent="0.35">
      <c r="A24" s="44">
        <v>13</v>
      </c>
      <c r="B24" s="45">
        <f>ROUND(+'21'!$B$16*'7'!B22,2)</f>
        <v>197176.23</v>
      </c>
      <c r="C24" s="45">
        <f>ROUND(+'21'!$C$16*'7'!C22,2)</f>
        <v>116395</v>
      </c>
      <c r="D24" s="45">
        <f>ROUND(+'21'!$D$16*'7'!D22,2)</f>
        <v>788211.65</v>
      </c>
      <c r="E24" s="45">
        <f>ROUND(+'21'!$E$16*'7'!E22,2)</f>
        <v>179214.77</v>
      </c>
      <c r="F24" s="45">
        <f>ROUND(+'21'!$F$16*'7'!F22,2)</f>
        <v>17193.29</v>
      </c>
      <c r="G24" s="45">
        <f>ROUND(+'21'!$G$16*'7'!G22,2)</f>
        <v>51313.68</v>
      </c>
      <c r="H24" s="45">
        <f>ROUND(+'21'!$H$16*'7'!H22,2)</f>
        <v>0</v>
      </c>
      <c r="I24" s="45">
        <f>ROUND(+'21'!$I$16*'7'!I22,2)</f>
        <v>0</v>
      </c>
      <c r="J24" s="149">
        <f t="shared" si="1"/>
        <v>1349504.6199999999</v>
      </c>
    </row>
    <row r="25" spans="1:10" x14ac:dyDescent="0.35">
      <c r="A25" s="44">
        <v>14</v>
      </c>
      <c r="B25" s="45">
        <f>ROUND(+'21'!$B$16*'7'!B23,2)</f>
        <v>197176.23</v>
      </c>
      <c r="C25" s="45">
        <f>ROUND(+'21'!$C$16*'7'!C23,2)</f>
        <v>116395</v>
      </c>
      <c r="D25" s="45">
        <f>ROUND(+'21'!$D$16*'7'!D23,2)</f>
        <v>788211.65</v>
      </c>
      <c r="E25" s="45">
        <f>ROUND(+'21'!$E$16*'7'!E23,2)</f>
        <v>179214.77</v>
      </c>
      <c r="F25" s="45">
        <f>ROUND(+'21'!$F$16*'7'!F23,2)</f>
        <v>17193.29</v>
      </c>
      <c r="G25" s="45">
        <f>ROUND(+'21'!$G$16*'7'!G23,2)</f>
        <v>51313.68</v>
      </c>
      <c r="H25" s="45">
        <f>ROUND(+'21'!$H$16*'7'!H23,2)</f>
        <v>0</v>
      </c>
      <c r="I25" s="45">
        <f>ROUND(+'21'!$I$16*'7'!I23,2)</f>
        <v>0</v>
      </c>
      <c r="J25" s="149">
        <f t="shared" si="1"/>
        <v>1349504.6199999999</v>
      </c>
    </row>
    <row r="26" spans="1:10" x14ac:dyDescent="0.35">
      <c r="A26" s="44">
        <v>15</v>
      </c>
      <c r="B26" s="45">
        <f>ROUND(+'21'!$B$16*'7'!B24,2)</f>
        <v>197176.23</v>
      </c>
      <c r="C26" s="45">
        <f>ROUND(+'21'!$C$16*'7'!C24,2)</f>
        <v>116395</v>
      </c>
      <c r="D26" s="45">
        <f>ROUND(+'21'!$D$16*'7'!D24,2)</f>
        <v>788211.65</v>
      </c>
      <c r="E26" s="45">
        <f>ROUND(+'21'!$E$16*'7'!E24,2)</f>
        <v>179214.77</v>
      </c>
      <c r="F26" s="45">
        <f>ROUND(+'21'!$F$16*'7'!F24,2)</f>
        <v>17193.29</v>
      </c>
      <c r="G26" s="45">
        <f>ROUND(+'21'!$G$16*'7'!G24,2)</f>
        <v>51313.68</v>
      </c>
      <c r="H26" s="45">
        <f>ROUND(+'21'!$H$16*'7'!H24,2)</f>
        <v>0</v>
      </c>
      <c r="I26" s="45">
        <f>ROUND(+'21'!$I$16*'7'!I24,2)</f>
        <v>0</v>
      </c>
      <c r="J26" s="149">
        <f t="shared" si="1"/>
        <v>1349504.6199999999</v>
      </c>
    </row>
    <row r="27" spans="1:10" x14ac:dyDescent="0.35">
      <c r="A27" s="44">
        <v>16</v>
      </c>
      <c r="B27" s="45">
        <f>ROUND(+'21'!$B$16*'7'!B25,2)</f>
        <v>197176.23</v>
      </c>
      <c r="C27" s="45">
        <f>ROUND(+'21'!$C$16*'7'!C25,2)</f>
        <v>116395</v>
      </c>
      <c r="D27" s="45">
        <f>ROUND(+'21'!$D$16*'7'!D25,2)</f>
        <v>788211.65</v>
      </c>
      <c r="E27" s="45">
        <f>ROUND(+'21'!$E$16*'7'!E25,2)</f>
        <v>179214.77</v>
      </c>
      <c r="F27" s="45">
        <f>ROUND(+'21'!$F$16*'7'!F25,2)</f>
        <v>17193.29</v>
      </c>
      <c r="G27" s="45">
        <f>ROUND(+'21'!$G$16*'7'!G25,2)</f>
        <v>51313.68</v>
      </c>
      <c r="H27" s="45">
        <f>ROUND(+'21'!$H$16*'7'!H25,2)</f>
        <v>0</v>
      </c>
      <c r="I27" s="45">
        <f>ROUND(+'21'!$I$16*'7'!I25,2)</f>
        <v>0</v>
      </c>
      <c r="J27" s="149">
        <f t="shared" si="1"/>
        <v>1349504.6199999999</v>
      </c>
    </row>
    <row r="28" spans="1:10" x14ac:dyDescent="0.35">
      <c r="A28" s="44">
        <v>17</v>
      </c>
      <c r="B28" s="45">
        <f>ROUND(+'21'!$B$16*'7'!B26,2)</f>
        <v>197176.23</v>
      </c>
      <c r="C28" s="45">
        <f>ROUND(+'21'!$C$16*'7'!C26,2)</f>
        <v>116395</v>
      </c>
      <c r="D28" s="45">
        <f>ROUND(+'21'!$D$16*'7'!D26,2)</f>
        <v>788211.65</v>
      </c>
      <c r="E28" s="45">
        <f>ROUND(+'21'!$E$16*'7'!E26,2)</f>
        <v>179214.77</v>
      </c>
      <c r="F28" s="45">
        <f>ROUND(+'21'!$F$16*'7'!F26,2)</f>
        <v>17193.29</v>
      </c>
      <c r="G28" s="45">
        <f>ROUND(+'21'!$G$16*'7'!G26,2)</f>
        <v>51313.68</v>
      </c>
      <c r="H28" s="45">
        <f>ROUND(+'21'!$H$16*'7'!H26,2)</f>
        <v>0</v>
      </c>
      <c r="I28" s="45">
        <f>ROUND(+'21'!$I$16*'7'!I26,2)</f>
        <v>0</v>
      </c>
      <c r="J28" s="149">
        <f t="shared" si="1"/>
        <v>1349504.6199999999</v>
      </c>
    </row>
    <row r="29" spans="1:10" x14ac:dyDescent="0.35">
      <c r="A29" s="44">
        <v>18</v>
      </c>
      <c r="B29" s="45">
        <f>ROUND(+'21'!$B$16*'7'!B27,2)</f>
        <v>197176.23</v>
      </c>
      <c r="C29" s="45">
        <f>ROUND(+'21'!$C$16*'7'!C27,2)</f>
        <v>116395</v>
      </c>
      <c r="D29" s="45">
        <f>ROUND(+'21'!$D$16*'7'!D27,2)</f>
        <v>788211.65</v>
      </c>
      <c r="E29" s="45">
        <f>ROUND(+'21'!$E$16*'7'!E27,2)</f>
        <v>179214.77</v>
      </c>
      <c r="F29" s="45">
        <f>ROUND(+'21'!$F$16*'7'!F27,2)</f>
        <v>17193.29</v>
      </c>
      <c r="G29" s="45">
        <f>ROUND(+'21'!$G$16*'7'!G27,2)</f>
        <v>51313.68</v>
      </c>
      <c r="H29" s="45">
        <f>ROUND(+'21'!$H$16*'7'!H27,2)</f>
        <v>0</v>
      </c>
      <c r="I29" s="45">
        <f>ROUND(+'21'!$I$16*'7'!I27,2)</f>
        <v>0</v>
      </c>
      <c r="J29" s="149">
        <f t="shared" si="1"/>
        <v>1349504.6199999999</v>
      </c>
    </row>
    <row r="30" spans="1:10" x14ac:dyDescent="0.35">
      <c r="A30" s="44">
        <v>19</v>
      </c>
      <c r="B30" s="45">
        <f>ROUND(+'21'!$B$16*'7'!B28,2)</f>
        <v>197176.23</v>
      </c>
      <c r="C30" s="45">
        <f>ROUND(+'21'!$C$16*'7'!C28,2)</f>
        <v>116395</v>
      </c>
      <c r="D30" s="45">
        <f>ROUND(+'21'!$D$16*'7'!D28,2)</f>
        <v>788211.65</v>
      </c>
      <c r="E30" s="45">
        <f>ROUND(+'21'!$E$16*'7'!E28,2)</f>
        <v>179214.77</v>
      </c>
      <c r="F30" s="45">
        <f>ROUND(+'21'!$F$16*'7'!F28,2)</f>
        <v>17193.29</v>
      </c>
      <c r="G30" s="45">
        <f>ROUND(+'21'!$G$16*'7'!G28,2)</f>
        <v>51313.68</v>
      </c>
      <c r="H30" s="45">
        <f>ROUND(+'21'!$H$16*'7'!H28,2)</f>
        <v>0</v>
      </c>
      <c r="I30" s="45">
        <f>ROUND(+'21'!$I$16*'7'!I28,2)</f>
        <v>0</v>
      </c>
      <c r="J30" s="149">
        <f t="shared" si="1"/>
        <v>1349504.6199999999</v>
      </c>
    </row>
    <row r="31" spans="1:10" x14ac:dyDescent="0.35">
      <c r="A31" s="44">
        <v>20</v>
      </c>
      <c r="B31" s="45">
        <f>ROUND(+'21'!$B$16*'7'!B29,2)</f>
        <v>197176.23</v>
      </c>
      <c r="C31" s="45">
        <f>ROUND(+'21'!$C$16*'7'!C29,2)</f>
        <v>116395</v>
      </c>
      <c r="D31" s="45">
        <f>ROUND(+'21'!$D$16*'7'!D29,2)</f>
        <v>788211.65</v>
      </c>
      <c r="E31" s="45">
        <f>ROUND(+'21'!$E$16*'7'!E29,2)</f>
        <v>179214.77</v>
      </c>
      <c r="F31" s="45">
        <f>ROUND(+'21'!$F$16*'7'!F29,2)</f>
        <v>17193.29</v>
      </c>
      <c r="G31" s="45">
        <f>ROUND(+'21'!$G$16*'7'!G29,2)</f>
        <v>51313.68</v>
      </c>
      <c r="H31" s="45">
        <f>ROUND(+'21'!$H$16*'7'!H29,2)</f>
        <v>0</v>
      </c>
      <c r="I31" s="45">
        <f>ROUND(+'21'!$I$16*'7'!I29,2)</f>
        <v>0</v>
      </c>
      <c r="J31" s="149">
        <f t="shared" si="1"/>
        <v>1349504.6199999999</v>
      </c>
    </row>
    <row r="33" spans="1:1" x14ac:dyDescent="0.35">
      <c r="A33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9" orientation="landscape" horizontalDpi="300" verticalDpi="300" r:id="rId1"/>
  <headerFooter alignWithMargins="0"/>
  <rowBreaks count="1" manualBreakCount="1">
    <brk id="44" max="16383" man="1"/>
  </rowBreaks>
  <colBreaks count="1" manualBreakCount="1">
    <brk id="19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1">
    <pageSetUpPr fitToPage="1"/>
  </sheetPr>
  <dimension ref="A1:H21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1" width="26.7265625" style="34" customWidth="1"/>
    <col min="2" max="6" width="16.453125" style="34" customWidth="1"/>
    <col min="7" max="7" width="17.7265625" style="34" customWidth="1"/>
    <col min="8" max="8" width="16.453125" style="34" customWidth="1"/>
    <col min="9" max="16384" width="12.54296875" style="34"/>
  </cols>
  <sheetData>
    <row r="1" spans="1:8" x14ac:dyDescent="0.35">
      <c r="A1" s="370" t="str">
        <f>TECNOLOGIAS!A1</f>
        <v>Proponente: TransPolitécnica</v>
      </c>
    </row>
    <row r="2" spans="1:8" x14ac:dyDescent="0.35">
      <c r="A2" s="370" t="str">
        <f>TECNOLOGIAS!A2</f>
        <v>Área de Concessão: 5 (Cinco)</v>
      </c>
    </row>
    <row r="4" spans="1:8" ht="18" x14ac:dyDescent="0.4">
      <c r="A4" s="32" t="s">
        <v>205</v>
      </c>
      <c r="B4" s="77"/>
      <c r="C4" s="77"/>
      <c r="D4" s="77"/>
      <c r="E4" s="77"/>
      <c r="F4" s="77"/>
      <c r="G4" s="77"/>
      <c r="H4" s="77"/>
    </row>
    <row r="6" spans="1:8" x14ac:dyDescent="0.35">
      <c r="A6" s="35" t="s">
        <v>786</v>
      </c>
      <c r="B6" s="33"/>
      <c r="C6" s="33"/>
      <c r="D6" s="33"/>
      <c r="E6" s="33"/>
      <c r="F6" s="33"/>
      <c r="G6" s="33"/>
      <c r="H6" s="77"/>
    </row>
    <row r="7" spans="1:8" x14ac:dyDescent="0.35">
      <c r="A7" s="33"/>
      <c r="B7" s="33"/>
      <c r="C7" s="33"/>
      <c r="D7" s="33"/>
      <c r="E7" s="33"/>
      <c r="F7" s="33"/>
      <c r="G7" s="33"/>
      <c r="H7" s="77"/>
    </row>
    <row r="8" spans="1:8" x14ac:dyDescent="0.35">
      <c r="A8" s="36" t="s">
        <v>90</v>
      </c>
      <c r="B8" s="33"/>
      <c r="C8" s="33"/>
      <c r="D8" s="33"/>
      <c r="E8" s="33"/>
      <c r="F8" s="33"/>
      <c r="G8" s="33"/>
      <c r="H8" s="77"/>
    </row>
    <row r="9" spans="1:8" ht="16" thickBot="1" x14ac:dyDescent="0.4">
      <c r="A9" s="33"/>
      <c r="B9" s="33"/>
      <c r="C9" s="33"/>
      <c r="D9" s="33"/>
      <c r="E9" s="33"/>
      <c r="F9" s="33"/>
      <c r="G9" s="33"/>
      <c r="H9" s="77"/>
    </row>
    <row r="10" spans="1:8" ht="16" thickBot="1" x14ac:dyDescent="0.4">
      <c r="A10" s="104" t="s">
        <v>135</v>
      </c>
      <c r="B10" s="278" t="s">
        <v>438</v>
      </c>
      <c r="C10" s="150"/>
      <c r="D10" s="139"/>
      <c r="E10" s="139"/>
      <c r="F10" s="139"/>
      <c r="G10" s="139"/>
      <c r="H10" s="151"/>
    </row>
    <row r="11" spans="1:8" ht="16" thickBot="1" x14ac:dyDescent="0.4">
      <c r="A11" s="152"/>
      <c r="B11" s="277" t="s">
        <v>206</v>
      </c>
      <c r="C11" s="116" t="s">
        <v>207</v>
      </c>
      <c r="D11" s="116" t="s">
        <v>208</v>
      </c>
      <c r="E11" s="116" t="s">
        <v>96</v>
      </c>
      <c r="F11" s="116" t="s">
        <v>97</v>
      </c>
      <c r="G11" s="116" t="s">
        <v>105</v>
      </c>
      <c r="H11" s="116" t="s">
        <v>59</v>
      </c>
    </row>
    <row r="12" spans="1:8" x14ac:dyDescent="0.35">
      <c r="A12" s="29" t="s">
        <v>93</v>
      </c>
      <c r="B12" s="141">
        <f>+'8'!C55*'13'!B11*6</f>
        <v>14029.756902000001</v>
      </c>
      <c r="C12" s="141">
        <f>+B12*'13'!C11</f>
        <v>8671.2596103639262</v>
      </c>
      <c r="D12" s="141">
        <f>+'8'!$B$66*'13'!B11*6</f>
        <v>2653.7370299999998</v>
      </c>
      <c r="E12" s="141">
        <f>+'8'!$B$67*'13'!B11*6</f>
        <v>572.23439999999994</v>
      </c>
      <c r="F12" s="141">
        <f>+'8'!$B$68*'13'!B11*6</f>
        <v>429.17579999999998</v>
      </c>
      <c r="G12" s="141">
        <f>+'8'!$B$69*'13'!B11*6</f>
        <v>143.05859999999998</v>
      </c>
      <c r="H12" s="141">
        <f t="shared" ref="H12:H17" si="0">ROUND(SUM(B12:G12),2)</f>
        <v>26499.22</v>
      </c>
    </row>
    <row r="13" spans="1:8" x14ac:dyDescent="0.35">
      <c r="A13" s="29" t="s">
        <v>94</v>
      </c>
      <c r="B13" s="141">
        <f>+'8'!C56*'13'!B12*6</f>
        <v>6776.0884800000003</v>
      </c>
      <c r="C13" s="141">
        <f>+B13*'13'!C12</f>
        <v>4188.0427981257608</v>
      </c>
      <c r="D13" s="141">
        <f>+'8'!$B$66*'13'!B12*6</f>
        <v>2225.1096000000002</v>
      </c>
      <c r="E13" s="141">
        <f>+'8'!$B$67*'13'!B12*6</f>
        <v>479.80799999999999</v>
      </c>
      <c r="F13" s="141">
        <f>+'8'!$B$68*'13'!B12*6</f>
        <v>359.85599999999999</v>
      </c>
      <c r="G13" s="141">
        <f>+'8'!$B$69*'13'!B12*6</f>
        <v>119.952</v>
      </c>
      <c r="H13" s="141">
        <f t="shared" si="0"/>
        <v>14148.86</v>
      </c>
    </row>
    <row r="14" spans="1:8" x14ac:dyDescent="0.35">
      <c r="A14" s="29" t="s">
        <v>103</v>
      </c>
      <c r="B14" s="141">
        <f>+'8'!C57*'13'!B13*6</f>
        <v>931.51906200000008</v>
      </c>
      <c r="C14" s="141">
        <f>+B14*'13'!C13</f>
        <v>575.7365344978441</v>
      </c>
      <c r="D14" s="141">
        <f>+'8'!$B$66*'13'!B13*6</f>
        <v>222.54435000000004</v>
      </c>
      <c r="E14" s="141">
        <f>+'8'!$B$67*'13'!B13*6</f>
        <v>47.988000000000007</v>
      </c>
      <c r="F14" s="141">
        <f>+'8'!$B$68*'13'!B13*6</f>
        <v>35.991000000000007</v>
      </c>
      <c r="G14" s="141">
        <f>+'8'!$B$69*'13'!B13*6</f>
        <v>11.997000000000002</v>
      </c>
      <c r="H14" s="141">
        <f t="shared" si="0"/>
        <v>1825.78</v>
      </c>
    </row>
    <row r="15" spans="1:8" x14ac:dyDescent="0.35">
      <c r="A15" s="154" t="s">
        <v>95</v>
      </c>
      <c r="B15" s="141">
        <f>+'8'!C58*'13'!B14*6</f>
        <v>2537.1690960000005</v>
      </c>
      <c r="C15" s="141">
        <f>+B15*'13'!C14</f>
        <v>1568.1278058119526</v>
      </c>
      <c r="D15" s="141">
        <f>+'8'!$B$66*'13'!B14*6</f>
        <v>608.47710000000006</v>
      </c>
      <c r="E15" s="141">
        <f>+'8'!$B$67*'13'!B14*6</f>
        <v>131.20800000000003</v>
      </c>
      <c r="F15" s="141">
        <f>+'8'!$B$68*'13'!B14*6</f>
        <v>98.40600000000002</v>
      </c>
      <c r="G15" s="141">
        <f>+'8'!$B$69*'13'!B14*6</f>
        <v>32.802000000000007</v>
      </c>
      <c r="H15" s="141">
        <f t="shared" si="0"/>
        <v>4976.1899999999996</v>
      </c>
    </row>
    <row r="16" spans="1:8" x14ac:dyDescent="0.35">
      <c r="A16" s="44" t="str">
        <f>+'8'!A59</f>
        <v>TÉCNICO</v>
      </c>
      <c r="B16" s="155">
        <f>+'8'!C59*'13'!B15*6</f>
        <v>29.681978798586577</v>
      </c>
      <c r="C16" s="141">
        <f>+B16*'13'!C15</f>
        <v>18.345303180212021</v>
      </c>
      <c r="D16" s="141">
        <f>+'8'!$B$66*'13'!B15*6</f>
        <v>2.7530035335689047</v>
      </c>
      <c r="E16" s="141">
        <f>+'8'!$B$67*'13'!B15*6</f>
        <v>0.59363957597173145</v>
      </c>
      <c r="F16" s="141">
        <f>+'8'!$B$68*'13'!B15*6</f>
        <v>0.44522968197879859</v>
      </c>
      <c r="G16" s="141">
        <f>+'8'!$B$69*'13'!B15*6</f>
        <v>0.14840989399293286</v>
      </c>
      <c r="H16" s="141">
        <f t="shared" si="0"/>
        <v>51.97</v>
      </c>
    </row>
    <row r="17" spans="1:8" x14ac:dyDescent="0.35">
      <c r="A17" s="44">
        <f>+'8'!A60</f>
        <v>0</v>
      </c>
      <c r="B17" s="155">
        <f>+'8'!C60*'13'!B16*6</f>
        <v>0</v>
      </c>
      <c r="C17" s="141">
        <f>+B17*'13'!C16</f>
        <v>0</v>
      </c>
      <c r="D17" s="141">
        <f>+'8'!$B$66*'13'!B16*6</f>
        <v>0</v>
      </c>
      <c r="E17" s="141">
        <f>+'8'!$B$67*'13'!B16*6</f>
        <v>0</v>
      </c>
      <c r="F17" s="141">
        <f>+'8'!$B$68*'13'!B16*6</f>
        <v>0</v>
      </c>
      <c r="G17" s="141">
        <f>+'8'!$B$69*'13'!B16*6</f>
        <v>0</v>
      </c>
      <c r="H17" s="141">
        <f t="shared" si="0"/>
        <v>0</v>
      </c>
    </row>
    <row r="18" spans="1:8" x14ac:dyDescent="0.35">
      <c r="A18" s="33"/>
      <c r="B18" s="133"/>
      <c r="C18" s="133"/>
      <c r="D18" s="133"/>
      <c r="E18" s="133"/>
      <c r="F18" s="133"/>
      <c r="G18" s="133"/>
      <c r="H18" s="133"/>
    </row>
    <row r="19" spans="1:8" x14ac:dyDescent="0.35">
      <c r="A19" s="119" t="s">
        <v>59</v>
      </c>
      <c r="B19" s="144">
        <f t="shared" ref="B19:H19" si="1">SUM(B12:B17)</f>
        <v>24304.215518798588</v>
      </c>
      <c r="C19" s="144">
        <f t="shared" si="1"/>
        <v>15021.512051979696</v>
      </c>
      <c r="D19" s="144">
        <f t="shared" si="1"/>
        <v>5712.6210835335687</v>
      </c>
      <c r="E19" s="144">
        <f t="shared" si="1"/>
        <v>1231.8320395759717</v>
      </c>
      <c r="F19" s="144">
        <f t="shared" si="1"/>
        <v>923.87402968197887</v>
      </c>
      <c r="G19" s="144">
        <f t="shared" si="1"/>
        <v>307.95800989399294</v>
      </c>
      <c r="H19" s="144">
        <f t="shared" si="1"/>
        <v>47502.020000000004</v>
      </c>
    </row>
    <row r="20" spans="1:8" x14ac:dyDescent="0.35">
      <c r="A20" s="93"/>
      <c r="B20" s="77"/>
      <c r="C20" s="77"/>
      <c r="D20" s="77"/>
      <c r="E20" s="77"/>
      <c r="F20" s="77"/>
      <c r="G20" s="77"/>
      <c r="H20" s="77"/>
    </row>
    <row r="21" spans="1:8" x14ac:dyDescent="0.35">
      <c r="A21" t="s">
        <v>447</v>
      </c>
      <c r="B21" s="77"/>
      <c r="C21" s="77"/>
      <c r="D21" s="77"/>
      <c r="E21" s="77"/>
      <c r="F21" s="77"/>
      <c r="G21" s="77"/>
      <c r="H21" s="77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9" orientation="landscape" horizontalDpi="300" verticalDpi="300" r:id="rId1"/>
  <headerFooter alignWithMargins="0"/>
  <colBreaks count="1" manualBreakCount="1">
    <brk id="16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2">
    <pageSetUpPr fitToPage="1"/>
  </sheetPr>
  <dimension ref="A1:J33"/>
  <sheetViews>
    <sheetView showGridLines="0" showZeros="0" defaultGridColor="0" view="pageBreakPreview" topLeftCell="A8" colorId="22" zoomScale="75" zoomScaleNormal="87" workbookViewId="0">
      <selection activeCell="A24" sqref="A24"/>
    </sheetView>
  </sheetViews>
  <sheetFormatPr defaultColWidth="12.54296875" defaultRowHeight="15.5" x14ac:dyDescent="0.35"/>
  <cols>
    <col min="1" max="1" width="11.1796875" style="34" customWidth="1"/>
    <col min="2" max="2" width="14.54296875" style="34" bestFit="1" customWidth="1"/>
    <col min="3" max="4" width="14" style="34" bestFit="1" customWidth="1"/>
    <col min="5" max="5" width="12.81640625" style="34" bestFit="1" customWidth="1"/>
    <col min="6" max="6" width="20.26953125" style="34" bestFit="1" customWidth="1"/>
    <col min="7" max="7" width="12.81640625" style="34" bestFit="1" customWidth="1"/>
    <col min="8" max="9" width="8.26953125" style="34" bestFit="1" customWidth="1"/>
    <col min="10" max="10" width="14" style="34" bestFit="1" customWidth="1"/>
    <col min="11" max="16384" width="12.54296875" style="34"/>
  </cols>
  <sheetData>
    <row r="1" spans="1:10" x14ac:dyDescent="0.35">
      <c r="A1" s="370" t="str">
        <f>TECNOLOGIAS!A1</f>
        <v>Proponente: TransPolitécnica</v>
      </c>
    </row>
    <row r="2" spans="1:10" x14ac:dyDescent="0.35">
      <c r="A2" s="370" t="str">
        <f>TECNOLOGIAS!A2</f>
        <v>Área de Concessão: 5 (Cinco)</v>
      </c>
    </row>
    <row r="4" spans="1:10" ht="18" x14ac:dyDescent="0.4">
      <c r="A4" s="32" t="s">
        <v>209</v>
      </c>
      <c r="B4" s="77"/>
      <c r="C4" s="77"/>
      <c r="D4" s="77"/>
      <c r="E4" s="77"/>
      <c r="F4" s="77"/>
      <c r="G4" s="77"/>
    </row>
    <row r="6" spans="1:10" x14ac:dyDescent="0.35">
      <c r="A6" s="35" t="s">
        <v>784</v>
      </c>
      <c r="B6" s="33"/>
      <c r="C6" s="33"/>
      <c r="D6" s="33"/>
      <c r="E6" s="33"/>
      <c r="F6" s="33"/>
      <c r="G6" s="33"/>
    </row>
    <row r="7" spans="1:10" x14ac:dyDescent="0.35">
      <c r="A7" s="33"/>
      <c r="B7" s="33"/>
      <c r="C7" s="33"/>
      <c r="D7" s="33"/>
      <c r="E7" s="33"/>
      <c r="F7" s="33"/>
      <c r="G7" s="33"/>
    </row>
    <row r="8" spans="1:10" x14ac:dyDescent="0.35">
      <c r="A8" s="36" t="s">
        <v>90</v>
      </c>
      <c r="B8" s="33"/>
      <c r="C8" s="33"/>
      <c r="D8" s="33"/>
      <c r="E8" s="33"/>
      <c r="F8" s="33"/>
      <c r="G8" s="33"/>
    </row>
    <row r="9" spans="1:10" ht="16" thickBot="1" x14ac:dyDescent="0.4">
      <c r="A9" s="33"/>
      <c r="B9" s="33"/>
      <c r="C9" s="33"/>
      <c r="D9" s="33"/>
      <c r="E9" s="33"/>
      <c r="F9" s="33"/>
      <c r="G9" s="33"/>
    </row>
    <row r="10" spans="1:10" ht="16" thickBot="1" x14ac:dyDescent="0.4">
      <c r="A10" s="95" t="s">
        <v>371</v>
      </c>
      <c r="B10" s="37" t="s">
        <v>434</v>
      </c>
      <c r="C10" s="146"/>
      <c r="D10" s="38"/>
      <c r="E10" s="38"/>
      <c r="F10" s="38"/>
      <c r="G10" s="38"/>
      <c r="H10" s="38"/>
      <c r="I10" s="39"/>
      <c r="J10" s="39"/>
    </row>
    <row r="11" spans="1:10" ht="16" thickBot="1" x14ac:dyDescent="0.4">
      <c r="A11" s="41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116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  <c r="J11" s="116" t="s">
        <v>59</v>
      </c>
    </row>
    <row r="12" spans="1:10" x14ac:dyDescent="0.35">
      <c r="A12" s="44">
        <v>1</v>
      </c>
      <c r="B12" s="147">
        <f>'23'!$H$19*'3'!B11</f>
        <v>617526.26</v>
      </c>
      <c r="C12" s="147">
        <f>'23'!$H$19*'3'!D11</f>
        <v>35436506.920000002</v>
      </c>
      <c r="D12" s="147">
        <f>'23'!$H$19*'3'!F11</f>
        <v>2992627.2600000002</v>
      </c>
      <c r="E12" s="147">
        <f>'23'!$H$19*'3'!H11</f>
        <v>0</v>
      </c>
      <c r="F12" s="147">
        <f>'23'!$H$19*'3'!J11</f>
        <v>0</v>
      </c>
      <c r="G12" s="147">
        <f>'23'!$H$19*'3'!L11</f>
        <v>1567566.6600000001</v>
      </c>
      <c r="H12" s="147">
        <f>'23'!$H$19*'3'!N11</f>
        <v>0</v>
      </c>
      <c r="I12" s="147">
        <f>'23'!$H$19*'3'!P11</f>
        <v>0</v>
      </c>
      <c r="J12" s="147">
        <f>SUM(B12:I12)</f>
        <v>40614227.099999994</v>
      </c>
    </row>
    <row r="13" spans="1:10" x14ac:dyDescent="0.35">
      <c r="A13" s="44">
        <v>2</v>
      </c>
      <c r="B13" s="147">
        <f>'23'!$H$19*'3'!B12</f>
        <v>1187550.5</v>
      </c>
      <c r="C13" s="147">
        <f>'23'!$H$19*'3'!D12</f>
        <v>31446337.240000002</v>
      </c>
      <c r="D13" s="147">
        <f>'23'!$H$19*'3'!F12</f>
        <v>5937752.5000000009</v>
      </c>
      <c r="E13" s="147">
        <f>'23'!$H$19*'3'!H12</f>
        <v>0</v>
      </c>
      <c r="F13" s="147">
        <f>'23'!$H$19*'3'!J12</f>
        <v>475020.20000000007</v>
      </c>
      <c r="G13" s="147">
        <f>'23'!$H$19*'3'!L12</f>
        <v>1567566.6600000001</v>
      </c>
      <c r="H13" s="147">
        <f>'23'!$H$19*'3'!N12</f>
        <v>0</v>
      </c>
      <c r="I13" s="147">
        <f>'23'!$H$19*'3'!P12</f>
        <v>0</v>
      </c>
      <c r="J13" s="147">
        <f t="shared" ref="J13:J21" si="0">SUM(B13:I13)</f>
        <v>40614227.100000009</v>
      </c>
    </row>
    <row r="14" spans="1:10" x14ac:dyDescent="0.35">
      <c r="A14" s="44">
        <v>3</v>
      </c>
      <c r="B14" s="147">
        <f>'23'!$H$19*'3'!B13</f>
        <v>1757574.7400000002</v>
      </c>
      <c r="C14" s="147">
        <f>'23'!$H$19*'3'!D13</f>
        <v>27931187.760000002</v>
      </c>
      <c r="D14" s="147">
        <f>'23'!$H$19*'3'!F13</f>
        <v>8882877.7400000002</v>
      </c>
      <c r="E14" s="147">
        <f>'23'!$H$19*'3'!H13</f>
        <v>0</v>
      </c>
      <c r="F14" s="147">
        <f>'23'!$H$19*'3'!J13</f>
        <v>475020.20000000007</v>
      </c>
      <c r="G14" s="147">
        <f>'23'!$H$19*'3'!L13</f>
        <v>1567566.6600000001</v>
      </c>
      <c r="H14" s="147">
        <f>'23'!$H$19*'3'!N13</f>
        <v>0</v>
      </c>
      <c r="I14" s="147">
        <f>'23'!$H$19*'3'!P13</f>
        <v>0</v>
      </c>
      <c r="J14" s="147">
        <f t="shared" si="0"/>
        <v>40614227.100000009</v>
      </c>
    </row>
    <row r="15" spans="1:10" x14ac:dyDescent="0.35">
      <c r="A15" s="44">
        <v>4</v>
      </c>
      <c r="B15" s="147">
        <f>'23'!$H$19*'3'!B14</f>
        <v>2375101</v>
      </c>
      <c r="C15" s="147">
        <f>'23'!$H$19*'3'!D14</f>
        <v>24368536.260000002</v>
      </c>
      <c r="D15" s="147">
        <f>'23'!$H$19*'3'!F14</f>
        <v>11828002.98</v>
      </c>
      <c r="E15" s="147">
        <f>'23'!$H$19*'3'!H14</f>
        <v>0</v>
      </c>
      <c r="F15" s="147">
        <f>'23'!$H$19*'3'!J14</f>
        <v>475020.20000000007</v>
      </c>
      <c r="G15" s="147">
        <f>'23'!$H$19*'3'!L14</f>
        <v>1567566.6600000001</v>
      </c>
      <c r="H15" s="147">
        <f>'23'!$H$19*'3'!N14</f>
        <v>0</v>
      </c>
      <c r="I15" s="147">
        <f>'23'!$H$19*'3'!P14</f>
        <v>0</v>
      </c>
      <c r="J15" s="147">
        <f t="shared" si="0"/>
        <v>40614227.100000009</v>
      </c>
    </row>
    <row r="16" spans="1:10" x14ac:dyDescent="0.35">
      <c r="A16" s="44">
        <v>5</v>
      </c>
      <c r="B16" s="147">
        <f>'23'!$H$19*'3'!B15</f>
        <v>2945125.24</v>
      </c>
      <c r="C16" s="147">
        <f>'23'!$H$19*'3'!D15</f>
        <v>20235860.520000003</v>
      </c>
      <c r="D16" s="147">
        <f>'23'!$H$19*'3'!F15</f>
        <v>14820630.240000002</v>
      </c>
      <c r="E16" s="147">
        <f>'23'!$H$19*'3'!H15</f>
        <v>570024.24</v>
      </c>
      <c r="F16" s="147">
        <f>'23'!$H$19*'3'!J15</f>
        <v>475020.20000000007</v>
      </c>
      <c r="G16" s="147">
        <f>'23'!$H$19*'3'!L15</f>
        <v>1567566.6600000001</v>
      </c>
      <c r="H16" s="147">
        <f>'23'!$H$19*'3'!N15</f>
        <v>0</v>
      </c>
      <c r="I16" s="147">
        <f>'23'!$H$19*'3'!P15</f>
        <v>0</v>
      </c>
      <c r="J16" s="147">
        <f t="shared" si="0"/>
        <v>40614227.100000009</v>
      </c>
    </row>
    <row r="17" spans="1:10" x14ac:dyDescent="0.35">
      <c r="A17" s="44">
        <v>6</v>
      </c>
      <c r="B17" s="147">
        <f>'23'!$H$19*'3'!B16</f>
        <v>3515149.4800000004</v>
      </c>
      <c r="C17" s="147">
        <f>'23'!$H$19*'3'!D16</f>
        <v>16150686.800000001</v>
      </c>
      <c r="D17" s="147">
        <f>'23'!$H$19*'3'!F16</f>
        <v>17765755.48</v>
      </c>
      <c r="E17" s="147">
        <f>'23'!$H$19*'3'!H16</f>
        <v>1140048.48</v>
      </c>
      <c r="F17" s="147">
        <f>'23'!$H$19*'3'!J16</f>
        <v>475020.20000000007</v>
      </c>
      <c r="G17" s="147">
        <f>'23'!$H$19*'3'!L16</f>
        <v>1567566.6600000001</v>
      </c>
      <c r="H17" s="147">
        <f>'23'!$H$19*'3'!N16</f>
        <v>0</v>
      </c>
      <c r="I17" s="147">
        <f>'23'!$H$19*'3'!P16</f>
        <v>0</v>
      </c>
      <c r="J17" s="147">
        <f t="shared" si="0"/>
        <v>40614227.100000009</v>
      </c>
    </row>
    <row r="18" spans="1:10" x14ac:dyDescent="0.35">
      <c r="A18" s="44">
        <v>7</v>
      </c>
      <c r="B18" s="147">
        <f>'23'!$H$19*'3'!B17</f>
        <v>4132675.74</v>
      </c>
      <c r="C18" s="147">
        <f>'23'!$H$19*'3'!D17</f>
        <v>12018011.060000001</v>
      </c>
      <c r="D18" s="147">
        <f>'23'!$H$19*'3'!F17</f>
        <v>20710880.720000003</v>
      </c>
      <c r="E18" s="147">
        <f>'23'!$H$19*'3'!H17</f>
        <v>1710072.7200000002</v>
      </c>
      <c r="F18" s="147">
        <f>'23'!$H$19*'3'!J17</f>
        <v>475020.20000000007</v>
      </c>
      <c r="G18" s="147">
        <f>'23'!$H$19*'3'!L17</f>
        <v>1567566.6600000001</v>
      </c>
      <c r="H18" s="147">
        <f>'23'!$H$19*'3'!N17</f>
        <v>0</v>
      </c>
      <c r="I18" s="147">
        <f>'23'!$H$19*'3'!P17</f>
        <v>0</v>
      </c>
      <c r="J18" s="147">
        <f t="shared" si="0"/>
        <v>40614227.100000009</v>
      </c>
    </row>
    <row r="19" spans="1:10" x14ac:dyDescent="0.35">
      <c r="A19" s="44">
        <v>8</v>
      </c>
      <c r="B19" s="147">
        <f>'23'!$H$19*'3'!B18</f>
        <v>4702699.9800000004</v>
      </c>
      <c r="C19" s="147">
        <f>'23'!$H$19*'3'!D18</f>
        <v>7932837.3400000008</v>
      </c>
      <c r="D19" s="147">
        <f>'23'!$H$19*'3'!F18</f>
        <v>23656005.960000001</v>
      </c>
      <c r="E19" s="147">
        <f>'23'!$H$19*'3'!H18</f>
        <v>2280096.96</v>
      </c>
      <c r="F19" s="147">
        <f>'23'!$H$19*'3'!J18</f>
        <v>475020.20000000007</v>
      </c>
      <c r="G19" s="147">
        <f>'23'!$H$19*'3'!L18</f>
        <v>1567566.6600000001</v>
      </c>
      <c r="H19" s="147">
        <f>'23'!$H$19*'3'!N18</f>
        <v>0</v>
      </c>
      <c r="I19" s="147">
        <f>'23'!$H$19*'3'!P18</f>
        <v>0</v>
      </c>
      <c r="J19" s="147">
        <f t="shared" si="0"/>
        <v>40614227.100000009</v>
      </c>
    </row>
    <row r="20" spans="1:10" x14ac:dyDescent="0.35">
      <c r="A20" s="44">
        <v>9</v>
      </c>
      <c r="B20" s="147">
        <f>'23'!$H$19*'3'!B19</f>
        <v>5272724.2200000007</v>
      </c>
      <c r="C20" s="147">
        <f>'23'!$H$19*'3'!D19</f>
        <v>3610153.5200000005</v>
      </c>
      <c r="D20" s="147">
        <f>'23'!$H$19*'3'!F19</f>
        <v>26601131.200000003</v>
      </c>
      <c r="E20" s="147">
        <f>'23'!$H$19*'3'!H19</f>
        <v>2802619.18</v>
      </c>
      <c r="F20" s="147">
        <f>'23'!$H$19*'3'!J19</f>
        <v>475020.20000000007</v>
      </c>
      <c r="G20" s="147">
        <f>'23'!$H$19*'3'!L19</f>
        <v>1567566.6600000001</v>
      </c>
      <c r="H20" s="147">
        <f>'23'!$H$19*'3'!N19</f>
        <v>0</v>
      </c>
      <c r="I20" s="147">
        <f>'23'!$H$19*'3'!P19</f>
        <v>0</v>
      </c>
      <c r="J20" s="147">
        <f t="shared" si="0"/>
        <v>40329214.980000004</v>
      </c>
    </row>
    <row r="21" spans="1:10" x14ac:dyDescent="0.35">
      <c r="A21" s="44">
        <v>10</v>
      </c>
      <c r="B21" s="147">
        <f>'23'!$H$19*'3'!B20</f>
        <v>5272724.2200000007</v>
      </c>
      <c r="C21" s="147">
        <f>'23'!$H$19*'3'!D20</f>
        <v>3610153.5200000005</v>
      </c>
      <c r="D21" s="147">
        <f>'23'!$H$19*'3'!F20</f>
        <v>26601131.200000003</v>
      </c>
      <c r="E21" s="147">
        <f>'23'!$H$19*'3'!H20</f>
        <v>2802619.18</v>
      </c>
      <c r="F21" s="147">
        <f>'23'!$H$19*'3'!J20</f>
        <v>475020.20000000007</v>
      </c>
      <c r="G21" s="147">
        <f>'23'!$H$19*'3'!L20</f>
        <v>1567566.6600000001</v>
      </c>
      <c r="H21" s="147">
        <f>'23'!$H$19*'3'!N20</f>
        <v>0</v>
      </c>
      <c r="I21" s="147">
        <f>'23'!$H$19*'3'!P20</f>
        <v>0</v>
      </c>
      <c r="J21" s="147">
        <f t="shared" si="0"/>
        <v>40329214.980000004</v>
      </c>
    </row>
    <row r="22" spans="1:10" x14ac:dyDescent="0.35">
      <c r="A22" s="44">
        <v>11</v>
      </c>
      <c r="B22" s="147">
        <f>'23'!$H$19*'3'!B21</f>
        <v>5272724.2200000007</v>
      </c>
      <c r="C22" s="147">
        <f>'23'!$H$19*'3'!D21</f>
        <v>3610153.5200000005</v>
      </c>
      <c r="D22" s="147">
        <f>'23'!$H$19*'3'!F21</f>
        <v>26601131.200000003</v>
      </c>
      <c r="E22" s="147">
        <f>'23'!$H$19*'3'!H21</f>
        <v>2802619.18</v>
      </c>
      <c r="F22" s="147">
        <f>'23'!$H$19*'3'!J21</f>
        <v>475020.20000000007</v>
      </c>
      <c r="G22" s="147">
        <f>'23'!$H$19*'3'!L21</f>
        <v>1567566.6600000001</v>
      </c>
      <c r="H22" s="147">
        <f>'23'!$H$19*'3'!N21</f>
        <v>0</v>
      </c>
      <c r="I22" s="147">
        <f>'23'!$H$19*'3'!P21</f>
        <v>0</v>
      </c>
      <c r="J22" s="147">
        <f t="shared" ref="J22:J31" si="1">SUM(B22:I22)</f>
        <v>40329214.980000004</v>
      </c>
    </row>
    <row r="23" spans="1:10" x14ac:dyDescent="0.35">
      <c r="A23" s="44">
        <v>12</v>
      </c>
      <c r="B23" s="147">
        <f>'23'!$H$19*'3'!B22</f>
        <v>5272724.2200000007</v>
      </c>
      <c r="C23" s="147">
        <f>'23'!$H$19*'3'!D22</f>
        <v>3610153.5200000005</v>
      </c>
      <c r="D23" s="147">
        <f>'23'!$H$19*'3'!F22</f>
        <v>26601131.200000003</v>
      </c>
      <c r="E23" s="147">
        <f>'23'!$H$19*'3'!H22</f>
        <v>2802619.18</v>
      </c>
      <c r="F23" s="147">
        <f>'23'!$H$19*'3'!J22</f>
        <v>475020.20000000007</v>
      </c>
      <c r="G23" s="147">
        <f>'23'!$H$19*'3'!L22</f>
        <v>1567566.6600000001</v>
      </c>
      <c r="H23" s="147">
        <f>'23'!$H$19*'3'!N22</f>
        <v>0</v>
      </c>
      <c r="I23" s="147">
        <f>'23'!$H$19*'3'!P22</f>
        <v>0</v>
      </c>
      <c r="J23" s="147">
        <f t="shared" si="1"/>
        <v>40329214.980000004</v>
      </c>
    </row>
    <row r="24" spans="1:10" x14ac:dyDescent="0.35">
      <c r="A24" s="44">
        <v>13</v>
      </c>
      <c r="B24" s="147">
        <f>'23'!$H$19*'3'!B23</f>
        <v>5272724.2200000007</v>
      </c>
      <c r="C24" s="147">
        <f>'23'!$H$19*'3'!D23</f>
        <v>3610153.5200000005</v>
      </c>
      <c r="D24" s="147">
        <f>'23'!$H$19*'3'!F23</f>
        <v>26601131.200000003</v>
      </c>
      <c r="E24" s="147">
        <f>'23'!$H$19*'3'!H23</f>
        <v>2802619.18</v>
      </c>
      <c r="F24" s="147">
        <f>'23'!$H$19*'3'!J23</f>
        <v>475020.20000000007</v>
      </c>
      <c r="G24" s="147">
        <f>'23'!$H$19*'3'!L23</f>
        <v>1567566.6600000001</v>
      </c>
      <c r="H24" s="147">
        <f>'23'!$H$19*'3'!N23</f>
        <v>0</v>
      </c>
      <c r="I24" s="147">
        <f>'23'!$H$19*'3'!P23</f>
        <v>0</v>
      </c>
      <c r="J24" s="147">
        <f t="shared" si="1"/>
        <v>40329214.980000004</v>
      </c>
    </row>
    <row r="25" spans="1:10" x14ac:dyDescent="0.35">
      <c r="A25" s="44">
        <v>14</v>
      </c>
      <c r="B25" s="147">
        <f>'23'!$H$19*'3'!B24</f>
        <v>5272724.2200000007</v>
      </c>
      <c r="C25" s="147">
        <f>'23'!$H$19*'3'!D24</f>
        <v>3610153.5200000005</v>
      </c>
      <c r="D25" s="147">
        <f>'23'!$H$19*'3'!F24</f>
        <v>26601131.200000003</v>
      </c>
      <c r="E25" s="147">
        <f>'23'!$H$19*'3'!H24</f>
        <v>2802619.18</v>
      </c>
      <c r="F25" s="147">
        <f>'23'!$H$19*'3'!J24</f>
        <v>475020.20000000007</v>
      </c>
      <c r="G25" s="147">
        <f>'23'!$H$19*'3'!L24</f>
        <v>1567566.6600000001</v>
      </c>
      <c r="H25" s="147">
        <f>'23'!$H$19*'3'!N24</f>
        <v>0</v>
      </c>
      <c r="I25" s="147">
        <f>'23'!$H$19*'3'!P24</f>
        <v>0</v>
      </c>
      <c r="J25" s="147">
        <f t="shared" si="1"/>
        <v>40329214.980000004</v>
      </c>
    </row>
    <row r="26" spans="1:10" x14ac:dyDescent="0.35">
      <c r="A26" s="44">
        <v>15</v>
      </c>
      <c r="B26" s="147">
        <f>'23'!$H$19*'3'!B25</f>
        <v>5272724.2200000007</v>
      </c>
      <c r="C26" s="147">
        <f>'23'!$H$19*'3'!D25</f>
        <v>3610153.5200000005</v>
      </c>
      <c r="D26" s="147">
        <f>'23'!$H$19*'3'!F25</f>
        <v>26601131.200000003</v>
      </c>
      <c r="E26" s="147">
        <f>'23'!$H$19*'3'!H25</f>
        <v>2802619.18</v>
      </c>
      <c r="F26" s="147">
        <f>'23'!$H$19*'3'!J25</f>
        <v>475020.20000000007</v>
      </c>
      <c r="G26" s="147">
        <f>'23'!$H$19*'3'!L25</f>
        <v>1567566.6600000001</v>
      </c>
      <c r="H26" s="147">
        <f>'23'!$H$19*'3'!N25</f>
        <v>0</v>
      </c>
      <c r="I26" s="147">
        <f>'23'!$H$19*'3'!P25</f>
        <v>0</v>
      </c>
      <c r="J26" s="147">
        <f t="shared" si="1"/>
        <v>40329214.980000004</v>
      </c>
    </row>
    <row r="27" spans="1:10" x14ac:dyDescent="0.35">
      <c r="A27" s="44">
        <v>16</v>
      </c>
      <c r="B27" s="147">
        <f>'23'!$H$19*'3'!B26</f>
        <v>5272724.2200000007</v>
      </c>
      <c r="C27" s="147">
        <f>'23'!$H$19*'3'!D26</f>
        <v>3610153.5200000005</v>
      </c>
      <c r="D27" s="147">
        <f>'23'!$H$19*'3'!F26</f>
        <v>26601131.200000003</v>
      </c>
      <c r="E27" s="147">
        <f>'23'!$H$19*'3'!H26</f>
        <v>2802619.18</v>
      </c>
      <c r="F27" s="147">
        <f>'23'!$H$19*'3'!J26</f>
        <v>475020.20000000007</v>
      </c>
      <c r="G27" s="147">
        <f>'23'!$H$19*'3'!L26</f>
        <v>1567566.6600000001</v>
      </c>
      <c r="H27" s="147">
        <f>'23'!$H$19*'3'!N26</f>
        <v>0</v>
      </c>
      <c r="I27" s="147">
        <f>'23'!$H$19*'3'!P26</f>
        <v>0</v>
      </c>
      <c r="J27" s="147">
        <f t="shared" si="1"/>
        <v>40329214.980000004</v>
      </c>
    </row>
    <row r="28" spans="1:10" x14ac:dyDescent="0.35">
      <c r="A28" s="44">
        <v>17</v>
      </c>
      <c r="B28" s="147">
        <f>'23'!$H$19*'3'!B27</f>
        <v>5272724.2200000007</v>
      </c>
      <c r="C28" s="147">
        <f>'23'!$H$19*'3'!D27</f>
        <v>3610153.5200000005</v>
      </c>
      <c r="D28" s="147">
        <f>'23'!$H$19*'3'!F27</f>
        <v>26601131.200000003</v>
      </c>
      <c r="E28" s="147">
        <f>'23'!$H$19*'3'!H27</f>
        <v>2802619.18</v>
      </c>
      <c r="F28" s="147">
        <f>'23'!$H$19*'3'!J27</f>
        <v>475020.20000000007</v>
      </c>
      <c r="G28" s="147">
        <f>'23'!$H$19*'3'!L27</f>
        <v>1567566.6600000001</v>
      </c>
      <c r="H28" s="147">
        <f>'23'!$H$19*'3'!N27</f>
        <v>0</v>
      </c>
      <c r="I28" s="147">
        <f>'23'!$H$19*'3'!P27</f>
        <v>0</v>
      </c>
      <c r="J28" s="147">
        <f t="shared" si="1"/>
        <v>40329214.980000004</v>
      </c>
    </row>
    <row r="29" spans="1:10" x14ac:dyDescent="0.35">
      <c r="A29" s="44">
        <v>18</v>
      </c>
      <c r="B29" s="147">
        <f>'23'!$H$19*'3'!B28</f>
        <v>5272724.2200000007</v>
      </c>
      <c r="C29" s="147">
        <f>'23'!$H$19*'3'!D28</f>
        <v>3610153.5200000005</v>
      </c>
      <c r="D29" s="147">
        <f>'23'!$H$19*'3'!F28</f>
        <v>26601131.200000003</v>
      </c>
      <c r="E29" s="147">
        <f>'23'!$H$19*'3'!H28</f>
        <v>2802619.18</v>
      </c>
      <c r="F29" s="147">
        <f>'23'!$H$19*'3'!J28</f>
        <v>475020.20000000007</v>
      </c>
      <c r="G29" s="147">
        <f>'23'!$H$19*'3'!L28</f>
        <v>1567566.6600000001</v>
      </c>
      <c r="H29" s="147">
        <f>'23'!$H$19*'3'!N28</f>
        <v>0</v>
      </c>
      <c r="I29" s="147">
        <f>'23'!$H$19*'3'!P28</f>
        <v>0</v>
      </c>
      <c r="J29" s="147">
        <f t="shared" si="1"/>
        <v>40329214.980000004</v>
      </c>
    </row>
    <row r="30" spans="1:10" x14ac:dyDescent="0.35">
      <c r="A30" s="44">
        <v>19</v>
      </c>
      <c r="B30" s="147">
        <f>'23'!$H$19*'3'!B29</f>
        <v>5272724.2200000007</v>
      </c>
      <c r="C30" s="147">
        <f>'23'!$H$19*'3'!D29</f>
        <v>3610153.5200000005</v>
      </c>
      <c r="D30" s="147">
        <f>'23'!$H$19*'3'!F29</f>
        <v>26601131.200000003</v>
      </c>
      <c r="E30" s="147">
        <f>'23'!$H$19*'3'!H29</f>
        <v>2802619.18</v>
      </c>
      <c r="F30" s="147">
        <f>'23'!$H$19*'3'!J29</f>
        <v>475020.20000000007</v>
      </c>
      <c r="G30" s="147">
        <f>'23'!$H$19*'3'!L29</f>
        <v>1567566.6600000001</v>
      </c>
      <c r="H30" s="147">
        <f>'23'!$H$19*'3'!N29</f>
        <v>0</v>
      </c>
      <c r="I30" s="147">
        <f>'23'!$H$19*'3'!P29</f>
        <v>0</v>
      </c>
      <c r="J30" s="147">
        <f t="shared" si="1"/>
        <v>40329214.980000004</v>
      </c>
    </row>
    <row r="31" spans="1:10" x14ac:dyDescent="0.35">
      <c r="A31" s="44">
        <v>20</v>
      </c>
      <c r="B31" s="147">
        <f>'23'!$H$19*'3'!B30</f>
        <v>5272724.2200000007</v>
      </c>
      <c r="C31" s="147">
        <f>'23'!$H$19*'3'!D30</f>
        <v>3610153.5200000005</v>
      </c>
      <c r="D31" s="147">
        <f>'23'!$H$19*'3'!F30</f>
        <v>26601131.200000003</v>
      </c>
      <c r="E31" s="147">
        <f>'23'!$H$19*'3'!H30</f>
        <v>2802619.18</v>
      </c>
      <c r="F31" s="147">
        <f>'23'!$H$19*'3'!J30</f>
        <v>475020.20000000007</v>
      </c>
      <c r="G31" s="147">
        <f>'23'!$H$19*'3'!L30</f>
        <v>1567566.6600000001</v>
      </c>
      <c r="H31" s="147">
        <f>'23'!$H$19*'3'!N30</f>
        <v>0</v>
      </c>
      <c r="I31" s="147">
        <f>'23'!$H$19*'3'!P30</f>
        <v>0</v>
      </c>
      <c r="J31" s="147">
        <f t="shared" si="1"/>
        <v>40329214.980000004</v>
      </c>
    </row>
    <row r="33" spans="1:1" x14ac:dyDescent="0.35">
      <c r="A33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8" orientation="landscape" horizontalDpi="300" verticalDpi="300" r:id="rId1"/>
  <headerFooter alignWithMargins="0"/>
  <colBreaks count="1" manualBreakCount="1">
    <brk id="17" max="1048575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3">
    <pageSetUpPr fitToPage="1"/>
  </sheetPr>
  <dimension ref="A1:J33"/>
  <sheetViews>
    <sheetView showGridLines="0" showZeros="0" defaultGridColor="0" view="pageBreakPreview" topLeftCell="A2" colorId="22" zoomScale="60" zoomScaleNormal="87" workbookViewId="0">
      <selection activeCell="A2" sqref="A2"/>
    </sheetView>
  </sheetViews>
  <sheetFormatPr defaultColWidth="12.54296875" defaultRowHeight="15.5" x14ac:dyDescent="0.35"/>
  <cols>
    <col min="1" max="1" width="10.54296875" style="334" customWidth="1"/>
    <col min="2" max="2" width="16.54296875" style="34" bestFit="1" customWidth="1"/>
    <col min="3" max="5" width="15.1796875" style="34" bestFit="1" customWidth="1"/>
    <col min="6" max="6" width="23" style="34" bestFit="1" customWidth="1"/>
    <col min="7" max="7" width="14.453125" style="34" bestFit="1" customWidth="1"/>
    <col min="8" max="9" width="9.453125" style="34" bestFit="1" customWidth="1"/>
    <col min="10" max="10" width="16.26953125" style="34" bestFit="1" customWidth="1"/>
    <col min="11" max="16384" width="12.54296875" style="34"/>
  </cols>
  <sheetData>
    <row r="1" spans="1:10" x14ac:dyDescent="0.35">
      <c r="A1" s="371" t="str">
        <f>TECNOLOGIAS!A1</f>
        <v>Proponente: TransPolitécnica</v>
      </c>
    </row>
    <row r="2" spans="1:10" x14ac:dyDescent="0.35">
      <c r="A2" s="371" t="str">
        <f>TECNOLOGIAS!A2</f>
        <v>Área de Concessão: 5 (Cinco)</v>
      </c>
    </row>
    <row r="4" spans="1:10" ht="18" x14ac:dyDescent="0.4">
      <c r="A4" s="327" t="s">
        <v>220</v>
      </c>
      <c r="B4" s="77"/>
      <c r="C4" s="77"/>
      <c r="D4" s="77"/>
      <c r="E4" s="77"/>
      <c r="F4" s="77"/>
      <c r="G4" s="77"/>
    </row>
    <row r="6" spans="1:10" x14ac:dyDescent="0.35">
      <c r="A6" s="328" t="s">
        <v>784</v>
      </c>
      <c r="B6" s="33"/>
      <c r="C6" s="33"/>
      <c r="D6" s="33"/>
      <c r="E6" s="33"/>
      <c r="F6" s="33"/>
      <c r="G6" s="33"/>
    </row>
    <row r="7" spans="1:10" x14ac:dyDescent="0.35">
      <c r="A7" s="329"/>
      <c r="B7" s="33"/>
      <c r="C7" s="33"/>
      <c r="D7" s="33"/>
      <c r="E7" s="33"/>
      <c r="F7" s="33"/>
      <c r="G7" s="33"/>
    </row>
    <row r="8" spans="1:10" x14ac:dyDescent="0.35">
      <c r="A8" s="330" t="s">
        <v>210</v>
      </c>
      <c r="B8" s="33"/>
      <c r="C8" s="33"/>
      <c r="D8" s="33"/>
      <c r="E8" s="33"/>
      <c r="F8" s="33"/>
      <c r="G8" s="33"/>
    </row>
    <row r="9" spans="1:10" ht="16" thickBot="1" x14ac:dyDescent="0.4">
      <c r="A9" s="329"/>
      <c r="B9" s="33"/>
      <c r="C9" s="33"/>
      <c r="D9" s="33"/>
      <c r="E9" s="33"/>
      <c r="F9" s="33"/>
      <c r="G9" s="33"/>
    </row>
    <row r="10" spans="1:10" ht="16" thickBot="1" x14ac:dyDescent="0.4">
      <c r="A10" s="331" t="s">
        <v>371</v>
      </c>
      <c r="B10" s="138" t="s">
        <v>434</v>
      </c>
      <c r="C10" s="38"/>
      <c r="D10" s="38"/>
      <c r="E10" s="38"/>
      <c r="F10" s="38"/>
      <c r="G10" s="38"/>
      <c r="H10" s="38"/>
      <c r="I10" s="38"/>
      <c r="J10" s="39"/>
    </row>
    <row r="11" spans="1:10" ht="16" thickBot="1" x14ac:dyDescent="0.4">
      <c r="A11" s="332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116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  <c r="J11" s="116" t="s">
        <v>59</v>
      </c>
    </row>
    <row r="12" spans="1:10" x14ac:dyDescent="0.35">
      <c r="A12" s="333">
        <v>1</v>
      </c>
      <c r="B12" s="314">
        <v>116200</v>
      </c>
      <c r="C12" s="314">
        <v>5488000</v>
      </c>
      <c r="D12" s="314">
        <v>837500</v>
      </c>
      <c r="E12" s="314">
        <v>0</v>
      </c>
      <c r="F12" s="314">
        <v>0</v>
      </c>
      <c r="G12" s="314">
        <v>164236</v>
      </c>
      <c r="H12" s="314"/>
      <c r="I12" s="314"/>
      <c r="J12" s="159">
        <f>SUM(B12:I12)</f>
        <v>6605936</v>
      </c>
    </row>
    <row r="13" spans="1:10" x14ac:dyDescent="0.35">
      <c r="A13" s="333">
        <v>2</v>
      </c>
      <c r="B13" s="314">
        <v>224100</v>
      </c>
      <c r="C13" s="314">
        <v>5788000</v>
      </c>
      <c r="D13" s="314">
        <v>1650000</v>
      </c>
      <c r="E13" s="314">
        <v>0</v>
      </c>
      <c r="F13" s="314">
        <v>464200</v>
      </c>
      <c r="G13" s="314">
        <v>164236</v>
      </c>
      <c r="H13" s="314"/>
      <c r="I13" s="314"/>
      <c r="J13" s="159">
        <f t="shared" ref="J13:J21" si="0">SUM(B13:I13)</f>
        <v>8290536</v>
      </c>
    </row>
    <row r="14" spans="1:10" x14ac:dyDescent="0.35">
      <c r="A14" s="333">
        <v>3</v>
      </c>
      <c r="B14" s="314">
        <v>323700</v>
      </c>
      <c r="C14" s="314">
        <v>5788000</v>
      </c>
      <c r="D14" s="314">
        <v>2462500</v>
      </c>
      <c r="E14" s="314">
        <v>0</v>
      </c>
      <c r="F14" s="314">
        <v>464200</v>
      </c>
      <c r="G14" s="314">
        <v>188236</v>
      </c>
      <c r="H14" s="314"/>
      <c r="I14" s="314"/>
      <c r="J14" s="159">
        <f t="shared" si="0"/>
        <v>9226636</v>
      </c>
    </row>
    <row r="15" spans="1:10" x14ac:dyDescent="0.35">
      <c r="A15" s="333">
        <v>4</v>
      </c>
      <c r="B15" s="314">
        <v>439900</v>
      </c>
      <c r="C15" s="314">
        <v>6088000</v>
      </c>
      <c r="D15" s="314">
        <v>3275000</v>
      </c>
      <c r="E15" s="314">
        <v>0</v>
      </c>
      <c r="F15" s="314">
        <v>464200</v>
      </c>
      <c r="G15" s="314">
        <v>188236</v>
      </c>
      <c r="H15" s="314"/>
      <c r="I15" s="314"/>
      <c r="J15" s="159">
        <f t="shared" si="0"/>
        <v>10455336</v>
      </c>
    </row>
    <row r="16" spans="1:10" x14ac:dyDescent="0.35">
      <c r="A16" s="333">
        <v>5</v>
      </c>
      <c r="B16" s="314">
        <v>547800</v>
      </c>
      <c r="C16" s="314">
        <v>6088000</v>
      </c>
      <c r="D16" s="314">
        <v>4100000</v>
      </c>
      <c r="E16" s="314">
        <v>364000</v>
      </c>
      <c r="F16" s="314">
        <v>464200</v>
      </c>
      <c r="G16" s="314">
        <v>212236</v>
      </c>
      <c r="H16" s="314"/>
      <c r="I16" s="314"/>
      <c r="J16" s="159">
        <f t="shared" si="0"/>
        <v>11776236</v>
      </c>
    </row>
    <row r="17" spans="1:10" x14ac:dyDescent="0.35">
      <c r="A17" s="333">
        <v>6</v>
      </c>
      <c r="B17" s="314">
        <v>647400</v>
      </c>
      <c r="C17" s="314">
        <v>600000</v>
      </c>
      <c r="D17" s="314">
        <v>4912500</v>
      </c>
      <c r="E17" s="314">
        <v>728000</v>
      </c>
      <c r="F17" s="314">
        <v>464200</v>
      </c>
      <c r="G17" s="314">
        <v>117340</v>
      </c>
      <c r="H17" s="314"/>
      <c r="I17" s="314"/>
      <c r="J17" s="159">
        <f t="shared" si="0"/>
        <v>7469440</v>
      </c>
    </row>
    <row r="18" spans="1:10" x14ac:dyDescent="0.35">
      <c r="A18" s="333">
        <v>7</v>
      </c>
      <c r="B18" s="314">
        <v>763600</v>
      </c>
      <c r="C18" s="314">
        <v>600000</v>
      </c>
      <c r="D18" s="314">
        <v>5725000</v>
      </c>
      <c r="E18" s="314">
        <v>1064000</v>
      </c>
      <c r="F18" s="314">
        <v>464200</v>
      </c>
      <c r="G18" s="314">
        <v>114660</v>
      </c>
      <c r="H18" s="314"/>
      <c r="I18" s="314"/>
      <c r="J18" s="159">
        <f t="shared" si="0"/>
        <v>8731460</v>
      </c>
    </row>
    <row r="19" spans="1:10" x14ac:dyDescent="0.35">
      <c r="A19" s="333">
        <v>8</v>
      </c>
      <c r="B19" s="314">
        <v>863200</v>
      </c>
      <c r="C19" s="314">
        <v>600000</v>
      </c>
      <c r="D19" s="314">
        <v>6537500</v>
      </c>
      <c r="E19" s="314">
        <v>1428000</v>
      </c>
      <c r="F19" s="314">
        <v>464200</v>
      </c>
      <c r="G19" s="314">
        <v>114660</v>
      </c>
      <c r="H19" s="314"/>
      <c r="I19" s="314"/>
      <c r="J19" s="159">
        <f t="shared" si="0"/>
        <v>10007560</v>
      </c>
    </row>
    <row r="20" spans="1:10" x14ac:dyDescent="0.35">
      <c r="A20" s="333">
        <v>9</v>
      </c>
      <c r="B20" s="314">
        <v>971100</v>
      </c>
      <c r="C20" s="314">
        <v>600000</v>
      </c>
      <c r="D20" s="314">
        <v>7350000</v>
      </c>
      <c r="E20" s="314">
        <v>1736000</v>
      </c>
      <c r="F20" s="314">
        <v>464200</v>
      </c>
      <c r="G20" s="314">
        <v>114000</v>
      </c>
      <c r="H20" s="314"/>
      <c r="I20" s="314"/>
      <c r="J20" s="159">
        <f t="shared" si="0"/>
        <v>11235300</v>
      </c>
    </row>
    <row r="21" spans="1:10" x14ac:dyDescent="0.35">
      <c r="A21" s="333">
        <v>10</v>
      </c>
      <c r="B21" s="314">
        <v>971100</v>
      </c>
      <c r="C21" s="314">
        <v>600000</v>
      </c>
      <c r="D21" s="314">
        <v>7350000</v>
      </c>
      <c r="E21" s="314">
        <v>1736000</v>
      </c>
      <c r="F21" s="314">
        <v>464200</v>
      </c>
      <c r="G21" s="314">
        <v>114000</v>
      </c>
      <c r="H21" s="314"/>
      <c r="I21" s="314"/>
      <c r="J21" s="159">
        <f t="shared" si="0"/>
        <v>11235300</v>
      </c>
    </row>
    <row r="22" spans="1:10" x14ac:dyDescent="0.35">
      <c r="A22" s="333">
        <v>11</v>
      </c>
      <c r="B22" s="314">
        <v>854900</v>
      </c>
      <c r="C22" s="314">
        <v>600000</v>
      </c>
      <c r="D22" s="314">
        <v>6512500</v>
      </c>
      <c r="E22" s="314">
        <v>1736000</v>
      </c>
      <c r="F22" s="314">
        <v>464200</v>
      </c>
      <c r="G22" s="314">
        <v>120000</v>
      </c>
      <c r="H22" s="314"/>
      <c r="I22" s="314"/>
      <c r="J22" s="159">
        <f t="shared" ref="J22:J31" si="1">SUM(B22:I22)</f>
        <v>10287600</v>
      </c>
    </row>
    <row r="23" spans="1:10" x14ac:dyDescent="0.35">
      <c r="A23" s="333">
        <v>12</v>
      </c>
      <c r="B23" s="314">
        <v>747000</v>
      </c>
      <c r="C23" s="314">
        <v>400000</v>
      </c>
      <c r="D23" s="314">
        <v>5700000</v>
      </c>
      <c r="E23" s="314">
        <v>1736000</v>
      </c>
      <c r="F23" s="314">
        <v>84400</v>
      </c>
      <c r="G23" s="314">
        <v>120000</v>
      </c>
      <c r="H23" s="314"/>
      <c r="I23" s="314"/>
      <c r="J23" s="159">
        <f t="shared" si="1"/>
        <v>8787400</v>
      </c>
    </row>
    <row r="24" spans="1:10" x14ac:dyDescent="0.35">
      <c r="A24" s="333">
        <v>13</v>
      </c>
      <c r="B24" s="314">
        <v>647400</v>
      </c>
      <c r="C24" s="314">
        <v>400000</v>
      </c>
      <c r="D24" s="314">
        <v>4887500</v>
      </c>
      <c r="E24" s="314">
        <v>1736000</v>
      </c>
      <c r="F24" s="314">
        <v>84400</v>
      </c>
      <c r="G24" s="314">
        <v>120000</v>
      </c>
      <c r="H24" s="314"/>
      <c r="I24" s="314"/>
      <c r="J24" s="159">
        <f t="shared" si="1"/>
        <v>7875300</v>
      </c>
    </row>
    <row r="25" spans="1:10" x14ac:dyDescent="0.35">
      <c r="A25" s="333">
        <v>14</v>
      </c>
      <c r="B25" s="314">
        <v>531200</v>
      </c>
      <c r="C25" s="314">
        <v>200000</v>
      </c>
      <c r="D25" s="314">
        <v>4075000</v>
      </c>
      <c r="E25" s="314">
        <v>1736000</v>
      </c>
      <c r="F25" s="314">
        <v>168800</v>
      </c>
      <c r="G25" s="314">
        <v>120000</v>
      </c>
      <c r="H25" s="314"/>
      <c r="I25" s="314"/>
      <c r="J25" s="159">
        <f t="shared" si="1"/>
        <v>6831000</v>
      </c>
    </row>
    <row r="26" spans="1:10" x14ac:dyDescent="0.35">
      <c r="A26" s="333">
        <v>15</v>
      </c>
      <c r="B26" s="314">
        <v>481400</v>
      </c>
      <c r="C26" s="314">
        <v>200000</v>
      </c>
      <c r="D26" s="314">
        <v>3625000</v>
      </c>
      <c r="E26" s="314">
        <v>1372000</v>
      </c>
      <c r="F26" s="314">
        <v>168800</v>
      </c>
      <c r="G26" s="314">
        <v>120000</v>
      </c>
      <c r="H26" s="314"/>
      <c r="I26" s="314"/>
      <c r="J26" s="159">
        <f t="shared" si="1"/>
        <v>5967200</v>
      </c>
    </row>
    <row r="27" spans="1:10" x14ac:dyDescent="0.35">
      <c r="A27" s="333">
        <v>16</v>
      </c>
      <c r="B27" s="314">
        <v>439900</v>
      </c>
      <c r="C27" s="314">
        <v>300000</v>
      </c>
      <c r="D27" s="314">
        <v>3275000</v>
      </c>
      <c r="E27" s="314">
        <v>1008000</v>
      </c>
      <c r="F27" s="314">
        <v>211000</v>
      </c>
      <c r="G27" s="314">
        <v>120000</v>
      </c>
      <c r="H27" s="314"/>
      <c r="I27" s="314"/>
      <c r="J27" s="159">
        <f t="shared" si="1"/>
        <v>5353900</v>
      </c>
    </row>
    <row r="28" spans="1:10" x14ac:dyDescent="0.35">
      <c r="A28" s="333">
        <v>17</v>
      </c>
      <c r="B28" s="314">
        <v>381800</v>
      </c>
      <c r="C28" s="314">
        <v>300000</v>
      </c>
      <c r="D28" s="314">
        <v>2962500</v>
      </c>
      <c r="E28" s="314">
        <v>812000</v>
      </c>
      <c r="F28" s="314">
        <v>211000</v>
      </c>
      <c r="G28" s="314">
        <v>120000</v>
      </c>
      <c r="H28" s="314"/>
      <c r="I28" s="314"/>
      <c r="J28" s="159">
        <f t="shared" si="1"/>
        <v>4787300</v>
      </c>
    </row>
    <row r="29" spans="1:10" x14ac:dyDescent="0.35">
      <c r="A29" s="333">
        <v>18</v>
      </c>
      <c r="B29" s="314">
        <v>340300</v>
      </c>
      <c r="C29" s="314">
        <v>400000</v>
      </c>
      <c r="D29" s="314">
        <v>2525000</v>
      </c>
      <c r="E29" s="314">
        <v>560000</v>
      </c>
      <c r="F29" s="314">
        <v>295400</v>
      </c>
      <c r="G29" s="314">
        <v>120000</v>
      </c>
      <c r="H29" s="314"/>
      <c r="I29" s="314"/>
      <c r="J29" s="159">
        <f t="shared" si="1"/>
        <v>4240700</v>
      </c>
    </row>
    <row r="30" spans="1:10" x14ac:dyDescent="0.35">
      <c r="A30" s="333">
        <v>19</v>
      </c>
      <c r="B30" s="314">
        <v>298800</v>
      </c>
      <c r="C30" s="314">
        <v>400000</v>
      </c>
      <c r="D30" s="314">
        <v>2212500</v>
      </c>
      <c r="E30" s="314">
        <v>364000</v>
      </c>
      <c r="F30" s="314">
        <v>295400</v>
      </c>
      <c r="G30" s="314">
        <v>114000</v>
      </c>
      <c r="H30" s="314"/>
      <c r="I30" s="314"/>
      <c r="J30" s="159">
        <f t="shared" si="1"/>
        <v>3684700</v>
      </c>
    </row>
    <row r="31" spans="1:10" x14ac:dyDescent="0.35">
      <c r="A31" s="333">
        <v>20</v>
      </c>
      <c r="B31" s="314">
        <v>356900</v>
      </c>
      <c r="C31" s="314">
        <v>400000</v>
      </c>
      <c r="D31" s="314">
        <v>2650000</v>
      </c>
      <c r="E31" s="314">
        <v>476000</v>
      </c>
      <c r="F31" s="314">
        <v>337600</v>
      </c>
      <c r="G31" s="314">
        <v>114000</v>
      </c>
      <c r="H31" s="314"/>
      <c r="I31" s="314"/>
      <c r="J31" s="159">
        <f t="shared" si="1"/>
        <v>4334500</v>
      </c>
    </row>
    <row r="33" spans="1:1" x14ac:dyDescent="0.35">
      <c r="A33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7" orientation="landscape" horizontalDpi="300" verticalDpi="300" r:id="rId1"/>
  <headerFooter alignWithMargins="0"/>
  <colBreaks count="1" manualBreakCount="1">
    <brk id="10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4">
    <pageSetUpPr fitToPage="1"/>
  </sheetPr>
  <dimension ref="A1:K33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1" width="10.81640625" style="34" customWidth="1"/>
    <col min="2" max="2" width="16.54296875" style="34" bestFit="1" customWidth="1"/>
    <col min="3" max="4" width="13.453125" style="34" bestFit="1" customWidth="1"/>
    <col min="5" max="5" width="14.7265625" style="34" bestFit="1" customWidth="1"/>
    <col min="6" max="6" width="23" style="34" bestFit="1" customWidth="1"/>
    <col min="7" max="7" width="14.453125" style="34" bestFit="1" customWidth="1"/>
    <col min="8" max="9" width="9.453125" style="34" bestFit="1" customWidth="1"/>
    <col min="10" max="10" width="15.1796875" style="34" bestFit="1" customWidth="1"/>
    <col min="11" max="11" width="14.1796875" style="34" bestFit="1" customWidth="1"/>
    <col min="12" max="16384" width="12.54296875" style="34"/>
  </cols>
  <sheetData>
    <row r="1" spans="1:11" x14ac:dyDescent="0.35">
      <c r="A1" s="370" t="str">
        <f>TECNOLOGIAS!A1</f>
        <v>Proponente: TransPolitécnica</v>
      </c>
    </row>
    <row r="2" spans="1:11" x14ac:dyDescent="0.35">
      <c r="A2" s="370" t="str">
        <f>TECNOLOGIAS!A2</f>
        <v>Área de Concessão: 5 (Cinco)</v>
      </c>
    </row>
    <row r="4" spans="1:11" ht="18" x14ac:dyDescent="0.4">
      <c r="A4" s="32" t="s">
        <v>221</v>
      </c>
      <c r="B4" s="77"/>
      <c r="C4" s="77"/>
      <c r="D4" s="77"/>
      <c r="E4" s="77"/>
      <c r="F4" s="77"/>
      <c r="G4" s="77"/>
    </row>
    <row r="6" spans="1:11" x14ac:dyDescent="0.35">
      <c r="A6" s="35" t="s">
        <v>784</v>
      </c>
      <c r="B6" s="33"/>
      <c r="C6" s="33"/>
      <c r="D6" s="33"/>
      <c r="E6" s="33"/>
      <c r="F6" s="33"/>
      <c r="G6" s="33"/>
    </row>
    <row r="7" spans="1:11" x14ac:dyDescent="0.35">
      <c r="A7" s="33"/>
      <c r="B7" s="33"/>
      <c r="C7" s="33"/>
      <c r="D7" s="33"/>
      <c r="E7" s="33"/>
      <c r="F7" s="33"/>
      <c r="G7" s="33"/>
    </row>
    <row r="8" spans="1:11" x14ac:dyDescent="0.35">
      <c r="A8" s="36" t="s">
        <v>842</v>
      </c>
      <c r="B8" s="33"/>
      <c r="C8" s="33"/>
      <c r="D8" s="33"/>
      <c r="E8" s="33"/>
      <c r="F8" s="33"/>
      <c r="G8" s="33"/>
    </row>
    <row r="9" spans="1:11" ht="16" thickBot="1" x14ac:dyDescent="0.4">
      <c r="A9" s="33"/>
      <c r="B9" s="33"/>
      <c r="C9" s="33"/>
      <c r="D9" s="33"/>
      <c r="E9" s="33"/>
      <c r="F9" s="33"/>
      <c r="G9" s="33"/>
    </row>
    <row r="10" spans="1:11" ht="16" thickBot="1" x14ac:dyDescent="0.4">
      <c r="A10" s="40" t="s">
        <v>371</v>
      </c>
      <c r="B10" s="138" t="s">
        <v>434</v>
      </c>
      <c r="C10" s="38"/>
      <c r="D10" s="38"/>
      <c r="E10" s="38"/>
      <c r="F10" s="38"/>
      <c r="G10" s="38"/>
      <c r="H10" s="38"/>
      <c r="I10" s="38"/>
      <c r="J10" s="39"/>
    </row>
    <row r="11" spans="1:11" ht="16" thickBot="1" x14ac:dyDescent="0.4">
      <c r="A11" s="41"/>
      <c r="B11" s="145" t="str">
        <f>TECNOLOGIAS!$A$7</f>
        <v>Micro Ônibus</v>
      </c>
      <c r="C11" s="145" t="str">
        <f>TECNOLOGIAS!$A$8</f>
        <v>Básico</v>
      </c>
      <c r="D11" s="145" t="str">
        <f>TECNOLOGIAS!$A$9</f>
        <v>Padron</v>
      </c>
      <c r="E11" s="145" t="str">
        <f>TECNOLOGIAS!$A$10</f>
        <v>Articulados</v>
      </c>
      <c r="F11" s="116" t="str">
        <f>TECNOLOGIAS!$A$11</f>
        <v>Híbrido Piso Baixo</v>
      </c>
      <c r="G11" s="116" t="str">
        <f>TECNOLOGIAS!$A$12</f>
        <v>Van Atende</v>
      </c>
      <c r="H11" s="116" t="str">
        <f>TECNOLOGIAS!$A$13</f>
        <v>TIPO 7</v>
      </c>
      <c r="I11" s="116" t="str">
        <f>TECNOLOGIAS!$A$14</f>
        <v>TIPO 8</v>
      </c>
      <c r="J11" s="116" t="s">
        <v>59</v>
      </c>
    </row>
    <row r="12" spans="1:11" x14ac:dyDescent="0.35">
      <c r="A12" s="44">
        <v>1</v>
      </c>
      <c r="B12" s="159">
        <f ca="1">IF('9'!$E$45=0,0,'9'!$E$45/'3'!$S11*'3'!C11)</f>
        <v>11068.197777777779</v>
      </c>
      <c r="C12" s="159">
        <f ca="1">IF('9'!$E$45=0,0,'9'!$E$45/'3'!$S11*'3'!E11)</f>
        <v>619819.07555555564</v>
      </c>
      <c r="D12" s="159">
        <f ca="1">IF('9'!$E$45=0,0,'9'!$E$45/'3'!$S11*'3'!G11)</f>
        <v>52969.232222222228</v>
      </c>
      <c r="E12" s="159">
        <f ca="1">IF('9'!$E$45=0,0,'9'!$E$45/'3'!$S11*'3'!I11)</f>
        <v>0</v>
      </c>
      <c r="F12" s="159">
        <f ca="1">IF('9'!$E$45=0,0,'9'!$E$45/'3'!$S11*'3'!K11)</f>
        <v>0</v>
      </c>
      <c r="G12" s="159">
        <f ca="1">IF('9'!$E$45=0,0,'9'!$E$45/'3'!$S11*'3'!M11)</f>
        <v>27670.494444444448</v>
      </c>
      <c r="H12" s="159">
        <f ca="1">IF('9'!$E$45=0,0,'9'!$E$45/'3'!$S11*'3'!O11)</f>
        <v>0</v>
      </c>
      <c r="I12" s="159">
        <f ca="1">IF('9'!$E$45=0,0,'9'!$E$45/'3'!$S11*'3'!Q11)</f>
        <v>0</v>
      </c>
      <c r="J12" s="159">
        <f ca="1">IF('9'!$E$45=0,0,'9'!$E$45/'3'!$S11*'3'!S11)</f>
        <v>711527.00000000012</v>
      </c>
      <c r="K12" s="374"/>
    </row>
    <row r="13" spans="1:11" x14ac:dyDescent="0.35">
      <c r="A13" s="44">
        <v>2</v>
      </c>
      <c r="B13" s="159">
        <f ca="1">IF('9'!$F$45=0,0,'9'!$F$45/'3'!$S12*'3'!C12)</f>
        <v>22429.118756936739</v>
      </c>
      <c r="C13" s="159">
        <f ca="1">IF('9'!$F$45=0,0,'9'!$F$45/'3'!$S12*'3'!E12)</f>
        <v>578172.83906770265</v>
      </c>
      <c r="D13" s="159">
        <f ca="1">IF('9'!$F$45=0,0,'9'!$F$45/'3'!$S12*'3'!G12)</f>
        <v>109653.46947835739</v>
      </c>
      <c r="E13" s="159">
        <f ca="1">IF('9'!$F$45=0,0,'9'!$F$45/'3'!$S12*'3'!I12)</f>
        <v>0</v>
      </c>
      <c r="F13" s="159">
        <f ca="1">IF('9'!$F$45=0,0,'9'!$F$45/'3'!$S12*'3'!K12)</f>
        <v>9137.7891231964495</v>
      </c>
      <c r="G13" s="159">
        <f ca="1">IF('9'!$F$45=0,0,'9'!$F$45/'3'!$S12*'3'!M12)</f>
        <v>29074.783573806882</v>
      </c>
      <c r="H13" s="159">
        <f ca="1">IF('9'!$F$45=0,0,'9'!$F$45/'3'!$S12*'3'!O12)</f>
        <v>0</v>
      </c>
      <c r="I13" s="159">
        <f ca="1">IF('9'!$F$45=0,0,'9'!$F$45/'3'!$S12*'3'!Q12)</f>
        <v>0</v>
      </c>
      <c r="J13" s="159">
        <f ca="1">IF('9'!$F$45=0,0,'9'!$F$45/'3'!$S12*'3'!S12)</f>
        <v>748468.00000000012</v>
      </c>
    </row>
    <row r="14" spans="1:11" x14ac:dyDescent="0.35">
      <c r="A14" s="44">
        <v>3</v>
      </c>
      <c r="B14" s="159">
        <f ca="1">IF('9'!$G$45=0,0,'9'!$G$45/'3'!$S13*'3'!C13)</f>
        <v>34042.450000000004</v>
      </c>
      <c r="C14" s="159">
        <f ca="1">IF('9'!$G$45=0,0,'9'!$G$45/'3'!$S13*'3'!E13)</f>
        <v>539441.9</v>
      </c>
      <c r="D14" s="159">
        <f ca="1">IF('9'!$G$45=0,0,'9'!$G$45/'3'!$S13*'3'!G13)</f>
        <v>171958.01666666669</v>
      </c>
      <c r="E14" s="159">
        <f ca="1">IF('9'!$G$45=0,0,'9'!$G$45/'3'!$S13*'3'!I13)</f>
        <v>0</v>
      </c>
      <c r="F14" s="159">
        <f ca="1">IF('9'!$G$45=0,0,'9'!$G$45/'3'!$S13*'3'!K13)</f>
        <v>9601.7166666666672</v>
      </c>
      <c r="G14" s="159">
        <f ca="1">IF('9'!$G$45=0,0,'9'!$G$45/'3'!$S13*'3'!M13)</f>
        <v>30550.916666666672</v>
      </c>
      <c r="H14" s="159">
        <f ca="1">IF('9'!$G$45=0,0,'9'!$G$45/'3'!$S13*'3'!O13)</f>
        <v>0</v>
      </c>
      <c r="I14" s="159">
        <f ca="1">IF('9'!$G$45=0,0,'9'!$G$45/'3'!$S13*'3'!Q13)</f>
        <v>0</v>
      </c>
      <c r="J14" s="159">
        <f ca="1">IF('9'!$G$45=0,0,'9'!$G$45/'3'!$S13*'3'!S13)</f>
        <v>785595.00000000012</v>
      </c>
    </row>
    <row r="15" spans="1:11" x14ac:dyDescent="0.35">
      <c r="A15" s="44">
        <v>4</v>
      </c>
      <c r="B15" s="159">
        <f ca="1">IF('9'!$H$45=0,0,'9'!$H$45/'3'!$S14*'3'!C14)</f>
        <v>48975.415555555563</v>
      </c>
      <c r="C15" s="159">
        <f ca="1">IF('9'!$H$45=0,0,'9'!$H$45/'3'!$S14*'3'!E14)</f>
        <v>498070.73555555561</v>
      </c>
      <c r="D15" s="159">
        <f ca="1">IF('9'!$H$45=0,0,'9'!$H$45/'3'!$S14*'3'!G14)</f>
        <v>242104.88444444447</v>
      </c>
      <c r="E15" s="159">
        <f ca="1">IF('9'!$H$45=0,0,'9'!$H$45/'3'!$S14*'3'!I14)</f>
        <v>0</v>
      </c>
      <c r="F15" s="159">
        <f ca="1">IF('9'!$H$45=0,0,'9'!$H$45/'3'!$S14*'3'!K14)</f>
        <v>10164.70888888889</v>
      </c>
      <c r="G15" s="159">
        <f ca="1">IF('9'!$H$45=0,0,'9'!$H$45/'3'!$S14*'3'!M14)</f>
        <v>32342.255555555559</v>
      </c>
      <c r="H15" s="159">
        <f ca="1">IF('9'!$H$45=0,0,'9'!$H$45/'3'!$S14*'3'!O14)</f>
        <v>0</v>
      </c>
      <c r="I15" s="159">
        <f ca="1">IF('9'!$H$45=0,0,'9'!$H$45/'3'!$S14*'3'!Q14)</f>
        <v>0</v>
      </c>
      <c r="J15" s="159">
        <f ca="1">IF('9'!$H$45=0,0,'9'!$H$45/'3'!$S14*'3'!S14)</f>
        <v>831658.00000000012</v>
      </c>
    </row>
    <row r="16" spans="1:11" x14ac:dyDescent="0.35">
      <c r="A16" s="44">
        <v>5</v>
      </c>
      <c r="B16" s="159">
        <f ca="1">IF('9'!$I$45=0,0,'9'!$I$45/'3'!$S15*'3'!C15)</f>
        <v>64247.960044395128</v>
      </c>
      <c r="C16" s="159">
        <f ca="1">IF('9'!$I$45=0,0,'9'!$I$45/'3'!$S15*'3'!E15)</f>
        <v>436107.36514983361</v>
      </c>
      <c r="D16" s="159">
        <f ca="1">IF('9'!$I$45=0,0,'9'!$I$45/'3'!$S15*'3'!G15)</f>
        <v>319292.89234184247</v>
      </c>
      <c r="E16" s="159">
        <f ca="1">IF('9'!$I$45=0,0,'9'!$I$45/'3'!$S15*'3'!I15)</f>
        <v>12654.901220865708</v>
      </c>
      <c r="F16" s="159">
        <f ca="1">IF('9'!$I$45=0,0,'9'!$I$45/'3'!$S15*'3'!K15)</f>
        <v>10707.993340732521</v>
      </c>
      <c r="G16" s="159">
        <f ca="1">IF('9'!$I$45=0,0,'9'!$I$45/'3'!$S15*'3'!M15)</f>
        <v>34070.887902330753</v>
      </c>
      <c r="H16" s="159">
        <f ca="1">IF('9'!$I$45=0,0,'9'!$I$45/'3'!$S15*'3'!O15)</f>
        <v>0</v>
      </c>
      <c r="I16" s="159">
        <f ca="1">IF('9'!$I$45=0,0,'9'!$I$45/'3'!$S15*'3'!Q15)</f>
        <v>0</v>
      </c>
      <c r="J16" s="159">
        <f ca="1">IF('9'!$I$45=0,0,'9'!$I$45/'3'!$S15*'3'!S15)</f>
        <v>877082.00000000012</v>
      </c>
    </row>
    <row r="17" spans="1:10" x14ac:dyDescent="0.35">
      <c r="A17" s="44">
        <v>6</v>
      </c>
      <c r="B17" s="159">
        <f ca="1">IF('9'!$J$45=0,0,'9'!$J$45/'3'!$S16*'3'!C16)</f>
        <v>79914.03333333334</v>
      </c>
      <c r="C17" s="159">
        <f ca="1">IF('9'!$J$45=0,0,'9'!$J$45/'3'!$S16*'3'!E16)</f>
        <v>365760.38333333336</v>
      </c>
      <c r="D17" s="159">
        <f ca="1">IF('9'!$J$45=0,0,'9'!$J$45/'3'!$S16*'3'!G16)</f>
        <v>402643.78333333338</v>
      </c>
      <c r="E17" s="159">
        <f ca="1">IF('9'!$J$45=0,0,'9'!$J$45/'3'!$S16*'3'!I16)</f>
        <v>26638.011111111115</v>
      </c>
      <c r="F17" s="159">
        <f ca="1">IF('9'!$J$45=0,0,'9'!$J$45/'3'!$S16*'3'!K16)</f>
        <v>11269.927777777779</v>
      </c>
      <c r="G17" s="159">
        <f ca="1">IF('9'!$J$45=0,0,'9'!$J$45/'3'!$S16*'3'!M16)</f>
        <v>35858.861111111117</v>
      </c>
      <c r="H17" s="159">
        <f ca="1">IF('9'!$J$45=0,0,'9'!$J$45/'3'!$S16*'3'!O16)</f>
        <v>0</v>
      </c>
      <c r="I17" s="159">
        <f ca="1">IF('9'!$J$45=0,0,'9'!$J$45/'3'!$S16*'3'!Q16)</f>
        <v>0</v>
      </c>
      <c r="J17" s="159">
        <f ca="1">IF('9'!$J$45=0,0,'9'!$J$45/'3'!$S16*'3'!S16)</f>
        <v>922085.00000000012</v>
      </c>
    </row>
    <row r="18" spans="1:10" x14ac:dyDescent="0.35">
      <c r="A18" s="44">
        <v>7</v>
      </c>
      <c r="B18" s="159">
        <f ca="1">IF('9'!$K$45=0,0,'9'!$K$45/'3'!$S17*'3'!C17)</f>
        <v>98900.920000000013</v>
      </c>
      <c r="C18" s="159">
        <f ca="1">IF('9'!$K$45=0,0,'9'!$K$45/'3'!$S17*'3'!E17)</f>
        <v>285952.66000000003</v>
      </c>
      <c r="D18" s="159">
        <f ca="1">IF('9'!$K$45=0,0,'9'!$K$45/'3'!$S17*'3'!G17)</f>
        <v>492354.58000000007</v>
      </c>
      <c r="E18" s="159">
        <f ca="1">IF('9'!$K$45=0,0,'9'!$K$45/'3'!$S17*'3'!I17)</f>
        <v>40850.380000000005</v>
      </c>
      <c r="F18" s="159">
        <f ca="1">IF('9'!$K$45=0,0,'9'!$K$45/'3'!$S17*'3'!K17)</f>
        <v>11825.110000000002</v>
      </c>
      <c r="G18" s="159">
        <f ca="1">IF('9'!$K$45=0,0,'9'!$K$45/'3'!$S17*'3'!M17)</f>
        <v>37625.350000000006</v>
      </c>
      <c r="H18" s="159">
        <f ca="1">IF('9'!$K$45=0,0,'9'!$K$45/'3'!$S17*'3'!O17)</f>
        <v>0</v>
      </c>
      <c r="I18" s="159">
        <f ca="1">IF('9'!$K$45=0,0,'9'!$K$45/'3'!$S17*'3'!Q17)</f>
        <v>0</v>
      </c>
      <c r="J18" s="159">
        <f ca="1">IF('9'!$K$45=0,0,'9'!$K$45/'3'!$S17*'3'!S17)</f>
        <v>967509.00000000023</v>
      </c>
    </row>
    <row r="19" spans="1:10" x14ac:dyDescent="0.35">
      <c r="A19" s="44">
        <v>8</v>
      </c>
      <c r="B19" s="159">
        <f ca="1">IF('9'!$L$45=0,0,'9'!$L$45/'3'!$S18*'3'!C18)</f>
        <v>116857.28888888891</v>
      </c>
      <c r="C19" s="159">
        <f ca="1">IF('9'!$L$45=0,0,'9'!$L$45/'3'!$S18*'3'!E18)</f>
        <v>197758.48888888891</v>
      </c>
      <c r="D19" s="159">
        <f ca="1">IF('9'!$L$45=0,0,'9'!$L$45/'3'!$S18*'3'!G18)</f>
        <v>587657.32777777791</v>
      </c>
      <c r="E19" s="159">
        <f ca="1">IF('9'!$L$45=0,0,'9'!$L$45/'3'!$S18*'3'!I18)</f>
        <v>57305.016666666677</v>
      </c>
      <c r="F19" s="159">
        <f ca="1">IF('9'!$L$45=0,0,'9'!$L$45/'3'!$S18*'3'!K18)</f>
        <v>12359.905555555557</v>
      </c>
      <c r="G19" s="159">
        <f ca="1">IF('9'!$L$45=0,0,'9'!$L$45/'3'!$S18*'3'!M18)</f>
        <v>39326.972222222226</v>
      </c>
      <c r="H19" s="159">
        <f ca="1">IF('9'!$L$45=0,0,'9'!$L$45/'3'!$S18*'3'!O18)</f>
        <v>0</v>
      </c>
      <c r="I19" s="159">
        <f ca="1">IF('9'!$L$45=0,0,'9'!$L$45/'3'!$S18*'3'!Q18)</f>
        <v>0</v>
      </c>
      <c r="J19" s="159">
        <f ca="1">IF('9'!$L$45=0,0,'9'!$L$45/'3'!$S18*'3'!S18)</f>
        <v>1011265.0000000001</v>
      </c>
    </row>
    <row r="20" spans="1:10" x14ac:dyDescent="0.35">
      <c r="A20" s="44">
        <v>9</v>
      </c>
      <c r="B20" s="159">
        <f ca="1">IF('9'!$M$45=0,0,'9'!$M$45/'3'!$S19*'3'!C19)</f>
        <v>132494.96640537516</v>
      </c>
      <c r="C20" s="159">
        <f ca="1">IF('9'!$M$45=0,0,'9'!$M$45/'3'!$S19*'3'!E19)</f>
        <v>90594.848824188142</v>
      </c>
      <c r="D20" s="159">
        <f ca="1">IF('9'!$M$45=0,0,'9'!$M$45/'3'!$S19*'3'!G19)</f>
        <v>665872.13885778282</v>
      </c>
      <c r="E20" s="159">
        <f ca="1">IF('9'!$M$45=0,0,'9'!$M$45/'3'!$S19*'3'!I19)</f>
        <v>70211.007838745805</v>
      </c>
      <c r="F20" s="159">
        <f ca="1">IF('9'!$M$45=0,0,'9'!$M$45/'3'!$S19*'3'!K19)</f>
        <v>12456.791713325869</v>
      </c>
      <c r="G20" s="159">
        <f ca="1">IF('9'!$M$45=0,0,'9'!$M$45/'3'!$S19*'3'!M19)</f>
        <v>39635.246360582314</v>
      </c>
      <c r="H20" s="159">
        <f ca="1">IF('9'!$M$45=0,0,'9'!$M$45/'3'!$S19*'3'!O19)</f>
        <v>0</v>
      </c>
      <c r="I20" s="159">
        <f ca="1">IF('9'!$M$45=0,0,'9'!$M$45/'3'!$S19*'3'!Q19)</f>
        <v>0</v>
      </c>
      <c r="J20" s="159">
        <f ca="1">IF('9'!$M$45=0,0,'9'!$M$45/'3'!$S19*'3'!S19)</f>
        <v>1011265.0000000001</v>
      </c>
    </row>
    <row r="21" spans="1:10" x14ac:dyDescent="0.35">
      <c r="A21" s="44">
        <v>10</v>
      </c>
      <c r="B21" s="159">
        <f ca="1">IF('9'!$N$45=0,0,'9'!$N$45/'3'!$S20*'3'!C20)</f>
        <v>132494.96640537516</v>
      </c>
      <c r="C21" s="159">
        <f ca="1">IF('9'!$N$45=0,0,'9'!$N$45/'3'!$S20*'3'!E20)</f>
        <v>90594.848824188142</v>
      </c>
      <c r="D21" s="159">
        <f ca="1">IF('9'!$N$45=0,0,'9'!$N$45/'3'!$S20*'3'!G20)</f>
        <v>665872.13885778282</v>
      </c>
      <c r="E21" s="159">
        <f ca="1">IF('9'!$N$45=0,0,'9'!$N$45/'3'!$S20*'3'!I20)</f>
        <v>70211.007838745805</v>
      </c>
      <c r="F21" s="159">
        <f ca="1">IF('9'!$N$45=0,0,'9'!$N$45/'3'!$S20*'3'!K20)</f>
        <v>12456.791713325869</v>
      </c>
      <c r="G21" s="159">
        <f ca="1">IF('9'!$N$45=0,0,'9'!$N$45/'3'!$S20*'3'!M20)</f>
        <v>39635.246360582314</v>
      </c>
      <c r="H21" s="159">
        <f ca="1">IF('9'!$N$45=0,0,'9'!$N$45/'3'!$S20*'3'!O20)</f>
        <v>0</v>
      </c>
      <c r="I21" s="159">
        <f ca="1">IF('9'!$N$45=0,0,'9'!$N$45/'3'!$S20*'3'!Q20)</f>
        <v>0</v>
      </c>
      <c r="J21" s="159">
        <f ca="1">IF('9'!$N$45=0,0,'9'!$N$45/'3'!$S20*'3'!S20)</f>
        <v>1011265.0000000001</v>
      </c>
    </row>
    <row r="22" spans="1:10" x14ac:dyDescent="0.35">
      <c r="A22" s="44">
        <v>11</v>
      </c>
      <c r="B22" s="159">
        <f ca="1">IF('9'!$O$45=0,0,'9'!$O$45/'3'!$S21*'3'!C21)</f>
        <v>39271.384098544237</v>
      </c>
      <c r="C22" s="159">
        <f ca="1">IF('9'!$O$45=0,0,'9'!$O$45/'3'!$S21*'3'!E21)</f>
        <v>26852.22844344905</v>
      </c>
      <c r="D22" s="159">
        <f ca="1">IF('9'!$O$45=0,0,'9'!$O$45/'3'!$S21*'3'!G21)</f>
        <v>197363.8790593505</v>
      </c>
      <c r="E22" s="159">
        <f ca="1">IF('9'!$O$45=0,0,'9'!$O$45/'3'!$S21*'3'!I21)</f>
        <v>20810.477043673014</v>
      </c>
      <c r="F22" s="159">
        <f ca="1">IF('9'!$O$45=0,0,'9'!$O$45/'3'!$S21*'3'!K21)</f>
        <v>3692.181410974244</v>
      </c>
      <c r="G22" s="159">
        <f ca="1">IF('9'!$O$45=0,0,'9'!$O$45/'3'!$S21*'3'!M21)</f>
        <v>11747.849944008958</v>
      </c>
      <c r="H22" s="159">
        <f ca="1">IF('9'!$O$45=0,0,'9'!$O$45/'3'!$S21*'3'!O21)</f>
        <v>0</v>
      </c>
      <c r="I22" s="159">
        <f ca="1">IF('9'!$O$45=0,0,'9'!$O$45/'3'!$S21*'3'!Q21)</f>
        <v>0</v>
      </c>
      <c r="J22" s="159">
        <f ca="1">IF('9'!$O$45=0,0,'9'!$O$45/'3'!$S21*'3'!S21)</f>
        <v>299738</v>
      </c>
    </row>
    <row r="23" spans="1:10" x14ac:dyDescent="0.35">
      <c r="A23" s="44">
        <v>12</v>
      </c>
      <c r="B23" s="159">
        <f ca="1">IF('9'!$P$45=0,0,'9'!$P$45/'3'!$S22*'3'!C22)</f>
        <v>34431.409854423291</v>
      </c>
      <c r="C23" s="159">
        <f ca="1">IF('9'!$P$45=0,0,'9'!$P$45/'3'!$S22*'3'!E22)</f>
        <v>23542.844344904814</v>
      </c>
      <c r="D23" s="159">
        <f ca="1">IF('9'!$P$45=0,0,'9'!$P$45/'3'!$S22*'3'!G22)</f>
        <v>173039.9059350504</v>
      </c>
      <c r="E23" s="159">
        <f ca="1">IF('9'!$P$45=0,0,'9'!$P$45/'3'!$S22*'3'!I22)</f>
        <v>18245.70436730123</v>
      </c>
      <c r="F23" s="159">
        <f ca="1">IF('9'!$P$45=0,0,'9'!$P$45/'3'!$S22*'3'!K22)</f>
        <v>3237.1410974244122</v>
      </c>
      <c r="G23" s="159">
        <f ca="1">IF('9'!$P$45=0,0,'9'!$P$45/'3'!$S22*'3'!M22)</f>
        <v>10299.994400895857</v>
      </c>
      <c r="H23" s="159">
        <f ca="1">IF('9'!$P$45=0,0,'9'!$P$45/'3'!$S22*'3'!O22)</f>
        <v>0</v>
      </c>
      <c r="I23" s="159">
        <f ca="1">IF('9'!$P$45=0,0,'9'!$P$45/'3'!$S22*'3'!Q22)</f>
        <v>0</v>
      </c>
      <c r="J23" s="159">
        <f ca="1">IF('9'!$P$45=0,0,'9'!$P$45/'3'!$S22*'3'!S22)</f>
        <v>262797</v>
      </c>
    </row>
    <row r="24" spans="1:10" x14ac:dyDescent="0.35">
      <c r="A24" s="44">
        <v>13</v>
      </c>
      <c r="B24" s="159">
        <f ca="1">IF('9'!$Q$45=0,0,'9'!$Q$45/'3'!$S23*'3'!C23)</f>
        <v>29567.066069428889</v>
      </c>
      <c r="C24" s="159">
        <f ca="1">IF('9'!$Q$45=0,0,'9'!$Q$45/'3'!$S23*'3'!E23)</f>
        <v>20216.797312430012</v>
      </c>
      <c r="D24" s="159">
        <f ca="1">IF('9'!$Q$45=0,0,'9'!$Q$45/'3'!$S23*'3'!G23)</f>
        <v>148593.46024636057</v>
      </c>
      <c r="E24" s="159">
        <f ca="1">IF('9'!$Q$45=0,0,'9'!$Q$45/'3'!$S23*'3'!I23)</f>
        <v>15668.017917133258</v>
      </c>
      <c r="F24" s="159">
        <f ca="1">IF('9'!$Q$45=0,0,'9'!$Q$45/'3'!$S23*'3'!K23)</f>
        <v>2779.8096304591263</v>
      </c>
      <c r="G24" s="159">
        <f ca="1">IF('9'!$Q$45=0,0,'9'!$Q$45/'3'!$S23*'3'!M23)</f>
        <v>8844.8488241881296</v>
      </c>
      <c r="H24" s="159">
        <f ca="1">IF('9'!$Q$45=0,0,'9'!$Q$45/'3'!$S23*'3'!O23)</f>
        <v>0</v>
      </c>
      <c r="I24" s="159">
        <f ca="1">IF('9'!$Q$45=0,0,'9'!$Q$45/'3'!$S23*'3'!Q23)</f>
        <v>0</v>
      </c>
      <c r="J24" s="159">
        <f ca="1">IF('9'!$Q$45=0,0,'9'!$Q$45/'3'!$S23*'3'!S23)</f>
        <v>225670</v>
      </c>
    </row>
    <row r="25" spans="1:10" x14ac:dyDescent="0.35">
      <c r="A25" s="44">
        <v>14</v>
      </c>
      <c r="B25" s="159">
        <f ca="1">IF('9'!$R$45=0,0,'9'!$R$45/'3'!$S24*'3'!C24)</f>
        <v>23531.936170212764</v>
      </c>
      <c r="C25" s="159">
        <f ca="1">IF('9'!$R$45=0,0,'9'!$R$45/'3'!$S24*'3'!E24)</f>
        <v>16090.212765957447</v>
      </c>
      <c r="D25" s="159">
        <f ca="1">IF('9'!$R$45=0,0,'9'!$R$45/'3'!$S24*'3'!G24)</f>
        <v>118263.06382978724</v>
      </c>
      <c r="E25" s="159">
        <f ca="1">IF('9'!$R$45=0,0,'9'!$R$45/'3'!$S24*'3'!I24)</f>
        <v>12469.91489361702</v>
      </c>
      <c r="F25" s="159">
        <f ca="1">IF('9'!$R$45=0,0,'9'!$R$45/'3'!$S24*'3'!K24)</f>
        <v>2212.4042553191489</v>
      </c>
      <c r="G25" s="159">
        <f ca="1">IF('9'!$R$45=0,0,'9'!$R$45/'3'!$S24*'3'!M24)</f>
        <v>7039.4680851063831</v>
      </c>
      <c r="H25" s="159">
        <f ca="1">IF('9'!$R$45=0,0,'9'!$R$45/'3'!$S24*'3'!O24)</f>
        <v>0</v>
      </c>
      <c r="I25" s="159">
        <f ca="1">IF('9'!$R$45=0,0,'9'!$R$45/'3'!$S24*'3'!Q24)</f>
        <v>0</v>
      </c>
      <c r="J25" s="159">
        <f ca="1">IF('9'!$R$45=0,0,'9'!$R$45/'3'!$S24*'3'!S24)</f>
        <v>179607</v>
      </c>
    </row>
    <row r="26" spans="1:10" x14ac:dyDescent="0.35">
      <c r="A26" s="44">
        <v>15</v>
      </c>
      <c r="B26" s="159">
        <f ca="1">IF('9'!$S$45=0,0,'9'!$S$45/'3'!$S25*'3'!C25)</f>
        <v>17580.5274356103</v>
      </c>
      <c r="C26" s="159">
        <f ca="1">IF('9'!$S$45=0,0,'9'!$S$45/'3'!$S25*'3'!E25)</f>
        <v>12020.873460246359</v>
      </c>
      <c r="D26" s="159">
        <f ca="1">IF('9'!$S$45=0,0,'9'!$S$45/'3'!$S25*'3'!G25)</f>
        <v>88353.41993281075</v>
      </c>
      <c r="E26" s="159">
        <f ca="1">IF('9'!$S$45=0,0,'9'!$S$45/'3'!$S25*'3'!I25)</f>
        <v>9316.1769316909285</v>
      </c>
      <c r="F26" s="159">
        <f ca="1">IF('9'!$S$45=0,0,'9'!$S$45/'3'!$S25*'3'!K25)</f>
        <v>1652.8701007838745</v>
      </c>
      <c r="G26" s="159">
        <f ca="1">IF('9'!$S$45=0,0,'9'!$S$45/'3'!$S25*'3'!M25)</f>
        <v>5259.1321388577826</v>
      </c>
      <c r="H26" s="159">
        <f ca="1">IF('9'!$S$45=0,0,'9'!$S$45/'3'!$S25*'3'!O25)</f>
        <v>0</v>
      </c>
      <c r="I26" s="159">
        <f ca="1">IF('9'!$S$45=0,0,'9'!$S$45/'3'!$S25*'3'!Q25)</f>
        <v>0</v>
      </c>
      <c r="J26" s="159">
        <f ca="1">IF('9'!$S$45=0,0,'9'!$S$45/'3'!$S25*'3'!S25)</f>
        <v>134183</v>
      </c>
    </row>
    <row r="27" spans="1:10" x14ac:dyDescent="0.35">
      <c r="A27" s="44">
        <v>16</v>
      </c>
      <c r="B27" s="159">
        <f ca="1">IF('9'!$T$45=0,0,'9'!$T$45/'3'!$S26*'3'!C26)</f>
        <v>11684.277715565509</v>
      </c>
      <c r="C27" s="159">
        <f ca="1">IF('9'!$T$45=0,0,'9'!$T$45/'3'!$S26*'3'!E26)</f>
        <v>7989.2497200447924</v>
      </c>
      <c r="D27" s="159">
        <f ca="1">IF('9'!$T$45=0,0,'9'!$T$45/'3'!$S26*'3'!G26)</f>
        <v>58720.985442329227</v>
      </c>
      <c r="E27" s="159">
        <f ca="1">IF('9'!$T$45=0,0,'9'!$T$45/'3'!$S26*'3'!I26)</f>
        <v>6191.6685330347145</v>
      </c>
      <c r="F27" s="159">
        <f ca="1">IF('9'!$T$45=0,0,'9'!$T$45/'3'!$S26*'3'!K26)</f>
        <v>1098.5218365061589</v>
      </c>
      <c r="G27" s="159">
        <f ca="1">IF('9'!$T$45=0,0,'9'!$T$45/'3'!$S26*'3'!M26)</f>
        <v>3495.2967525195968</v>
      </c>
      <c r="H27" s="159">
        <f ca="1">IF('9'!$T$45=0,0,'9'!$T$45/'3'!$S26*'3'!O26)</f>
        <v>0</v>
      </c>
      <c r="I27" s="159">
        <f ca="1">IF('9'!$T$45=0,0,'9'!$T$45/'3'!$S26*'3'!Q26)</f>
        <v>0</v>
      </c>
      <c r="J27" s="159">
        <f ca="1">IF('9'!$T$45=0,0,'9'!$T$45/'3'!$S26*'3'!S26)</f>
        <v>89180</v>
      </c>
    </row>
    <row r="28" spans="1:10" x14ac:dyDescent="0.35">
      <c r="A28" s="44">
        <v>17</v>
      </c>
      <c r="B28" s="159">
        <f ca="1">IF('9'!$U$45=0,0,'9'!$U$45/'3'!$S27*'3'!C27)</f>
        <v>5732.8689809630459</v>
      </c>
      <c r="C28" s="159">
        <f ca="1">IF('9'!$U$45=0,0,'9'!$U$45/'3'!$S27*'3'!E27)</f>
        <v>3919.9104143337063</v>
      </c>
      <c r="D28" s="159">
        <f ca="1">IF('9'!$U$45=0,0,'9'!$U$45/'3'!$S27*'3'!G27)</f>
        <v>28811.341545352741</v>
      </c>
      <c r="E28" s="159">
        <f ca="1">IF('9'!$U$45=0,0,'9'!$U$45/'3'!$S27*'3'!I27)</f>
        <v>3037.9305711086226</v>
      </c>
      <c r="F28" s="159">
        <f ca="1">IF('9'!$U$45=0,0,'9'!$U$45/'3'!$S27*'3'!K27)</f>
        <v>538.98768197088464</v>
      </c>
      <c r="G28" s="159">
        <f ca="1">IF('9'!$U$45=0,0,'9'!$U$45/'3'!$S27*'3'!M27)</f>
        <v>1714.9608062709965</v>
      </c>
      <c r="H28" s="159">
        <f ca="1">IF('9'!$U$45=0,0,'9'!$U$45/'3'!$S27*'3'!O27)</f>
        <v>0</v>
      </c>
      <c r="I28" s="159">
        <f ca="1">IF('9'!$U$45=0,0,'9'!$U$45/'3'!$S27*'3'!Q27)</f>
        <v>0</v>
      </c>
      <c r="J28" s="159">
        <f ca="1">IF('9'!$U$45=0,0,'9'!$U$45/'3'!$S27*'3'!S27)</f>
        <v>43756</v>
      </c>
    </row>
    <row r="29" spans="1:10" x14ac:dyDescent="0.35">
      <c r="A29" s="44">
        <v>18</v>
      </c>
      <c r="B29" s="159">
        <f ca="1">IF('9'!$V$45=0,0,'9'!$V$45/'3'!$S28*'3'!C28)</f>
        <v>0</v>
      </c>
      <c r="C29" s="159">
        <f ca="1">IF('9'!$V$45=0,0,'9'!$V$45/'3'!$S28*'3'!E28)</f>
        <v>0</v>
      </c>
      <c r="D29" s="159">
        <f ca="1">IF('9'!$V$45=0,0,'9'!$V$45/'3'!$S28*'3'!G28)</f>
        <v>0</v>
      </c>
      <c r="E29" s="159">
        <f ca="1">IF('9'!$V$45=0,0,'9'!$V$45/'3'!$S28*'3'!I28)</f>
        <v>0</v>
      </c>
      <c r="F29" s="159">
        <f ca="1">IF('9'!$V$45=0,0,'9'!$V$45/'3'!$S28*'3'!K28)</f>
        <v>0</v>
      </c>
      <c r="G29" s="159">
        <f ca="1">IF('9'!$V$45=0,0,'9'!$V$45/'3'!$S28*'3'!M28)</f>
        <v>0</v>
      </c>
      <c r="H29" s="159">
        <f ca="1">IF('9'!$V$45=0,0,'9'!$V$45/'3'!$S28*'3'!O28)</f>
        <v>0</v>
      </c>
      <c r="I29" s="159">
        <f ca="1">IF('9'!$V$45=0,0,'9'!$V$45/'3'!$S28*'3'!Q28)</f>
        <v>0</v>
      </c>
      <c r="J29" s="159">
        <f ca="1">IF('9'!$V$45=0,0,'9'!$V$45/'3'!$S28*'3'!S28)</f>
        <v>0</v>
      </c>
    </row>
    <row r="30" spans="1:10" x14ac:dyDescent="0.35">
      <c r="A30" s="44">
        <v>19</v>
      </c>
      <c r="B30" s="159">
        <f ca="1">IF('9'!$W$45=0,0,'9'!$W$45/'3'!$S29*'3'!C29)</f>
        <v>0</v>
      </c>
      <c r="C30" s="159">
        <f ca="1">IF('9'!$W$45=0,0,'9'!$W$45/'3'!$S29*'3'!E29)</f>
        <v>0</v>
      </c>
      <c r="D30" s="159">
        <f ca="1">IF('9'!$W$45=0,0,'9'!$W$45/'3'!$S29*'3'!G29)</f>
        <v>0</v>
      </c>
      <c r="E30" s="159">
        <f ca="1">IF('9'!$W$45=0,0,'9'!$W$45/'3'!$S29*'3'!I29)</f>
        <v>0</v>
      </c>
      <c r="F30" s="159">
        <f ca="1">IF('9'!$W$45=0,0,'9'!$W$45/'3'!$S29*'3'!K29)</f>
        <v>0</v>
      </c>
      <c r="G30" s="159">
        <f ca="1">IF('9'!$W$45=0,0,'9'!$W$45/'3'!$S29*'3'!M29)</f>
        <v>0</v>
      </c>
      <c r="H30" s="159">
        <f ca="1">IF('9'!$W$45=0,0,'9'!$W$45/'3'!$S29*'3'!O29)</f>
        <v>0</v>
      </c>
      <c r="I30" s="159">
        <f ca="1">IF('9'!$W$45=0,0,'9'!$W$45/'3'!$S29*'3'!Q29)</f>
        <v>0</v>
      </c>
      <c r="J30" s="159">
        <f ca="1">IF('9'!$W$45=0,0,'9'!$W$45/'3'!$S29*'3'!S29)</f>
        <v>0</v>
      </c>
    </row>
    <row r="31" spans="1:10" x14ac:dyDescent="0.35">
      <c r="A31" s="44">
        <v>20</v>
      </c>
      <c r="B31" s="159">
        <f ca="1">IF('9'!$X$45=0,0,'9'!$X$45/'3'!$S30*'3'!C30)</f>
        <v>0</v>
      </c>
      <c r="C31" s="159">
        <f ca="1">IF('9'!$X$45=0,0,'9'!$X$45/'3'!$S30*'3'!E30)</f>
        <v>0</v>
      </c>
      <c r="D31" s="159">
        <f ca="1">IF('9'!$X$45=0,0,'9'!$X$45/'3'!$S30*'3'!G30)</f>
        <v>0</v>
      </c>
      <c r="E31" s="159">
        <f ca="1">IF('9'!$X$45=0,0,'9'!$X$45/'3'!$S30*'3'!I30)</f>
        <v>0</v>
      </c>
      <c r="F31" s="159">
        <f ca="1">IF('9'!$X$45=0,0,'9'!$X$45/'3'!$S30*'3'!K30)</f>
        <v>0</v>
      </c>
      <c r="G31" s="159">
        <f ca="1">IF('9'!$X$45=0,0,'9'!$X$45/'3'!$S30*'3'!M30)</f>
        <v>0</v>
      </c>
      <c r="H31" s="159">
        <f ca="1">IF('9'!$X$45=0,0,'9'!$X$45/'3'!$S30*'3'!O30)</f>
        <v>0</v>
      </c>
      <c r="I31" s="159">
        <f ca="1">IF('9'!$X$45=0,0,'9'!$X$45/'3'!$S30*'3'!Q30)</f>
        <v>0</v>
      </c>
      <c r="J31" s="159">
        <f ca="1">IF('9'!$X$45=0,0,'9'!$X$45/'3'!$S30*'3'!S30)</f>
        <v>0</v>
      </c>
    </row>
    <row r="33" spans="1:1" x14ac:dyDescent="0.35">
      <c r="A33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1" orientation="landscape" horizontalDpi="300" verticalDpi="300" r:id="rId1"/>
  <headerFooter alignWithMargins="0"/>
  <colBreaks count="1" manualBreakCount="1">
    <brk id="17" max="104857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5">
    <pageSetUpPr fitToPage="1"/>
  </sheetPr>
  <dimension ref="A1:X44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44.7265625" style="168" customWidth="1"/>
    <col min="2" max="2" width="33" style="168" bestFit="1" customWidth="1"/>
    <col min="3" max="3" width="17.54296875" style="168" bestFit="1" customWidth="1"/>
    <col min="4" max="4" width="13.453125" style="168" bestFit="1" customWidth="1"/>
    <col min="5" max="6" width="14.1796875" style="168" bestFit="1" customWidth="1"/>
    <col min="7" max="7" width="16.81640625" style="168" bestFit="1" customWidth="1"/>
    <col min="8" max="12" width="14.1796875" style="168" bestFit="1" customWidth="1"/>
    <col min="13" max="13" width="16.81640625" style="168" bestFit="1" customWidth="1"/>
    <col min="14" max="18" width="14.1796875" style="168" bestFit="1" customWidth="1"/>
    <col min="19" max="24" width="12.7265625" style="168" bestFit="1" customWidth="1"/>
    <col min="25" max="16384" width="12.54296875" style="168"/>
  </cols>
  <sheetData>
    <row r="1" spans="1:22" x14ac:dyDescent="0.35">
      <c r="A1" s="369" t="str">
        <f>TECNOLOGIAS!A1</f>
        <v>Proponente: TransPolitécnica</v>
      </c>
    </row>
    <row r="2" spans="1:22" x14ac:dyDescent="0.35">
      <c r="A2" s="369" t="str">
        <f>TECNOLOGIAS!A2</f>
        <v>Área de Concessão: 5 (Cinco)</v>
      </c>
    </row>
    <row r="4" spans="1:22" ht="18" x14ac:dyDescent="0.4">
      <c r="A4" s="167" t="s">
        <v>718</v>
      </c>
      <c r="B4" s="167"/>
      <c r="C4" s="167"/>
    </row>
    <row r="6" spans="1:22" ht="18" x14ac:dyDescent="0.4">
      <c r="A6" s="94" t="s">
        <v>787</v>
      </c>
    </row>
    <row r="8" spans="1:22" x14ac:dyDescent="0.35">
      <c r="A8" s="170" t="s">
        <v>330</v>
      </c>
      <c r="B8" s="170"/>
      <c r="C8" s="170"/>
      <c r="D8" s="180"/>
      <c r="E8" s="180"/>
      <c r="F8" s="180"/>
    </row>
    <row r="9" spans="1:22" x14ac:dyDescent="0.35">
      <c r="A9" s="170"/>
      <c r="B9" s="263"/>
      <c r="C9" s="263"/>
      <c r="D9" s="180"/>
      <c r="E9" s="180"/>
      <c r="F9" s="180"/>
    </row>
    <row r="10" spans="1:22" ht="17.25" customHeight="1" x14ac:dyDescent="0.35">
      <c r="A10" s="262"/>
      <c r="B10" s="662" t="s">
        <v>22</v>
      </c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4"/>
      <c r="O10" s="662" t="s">
        <v>22</v>
      </c>
      <c r="P10" s="663"/>
      <c r="Q10" s="663"/>
      <c r="R10" s="663"/>
      <c r="S10" s="663"/>
      <c r="T10" s="663"/>
      <c r="U10" s="663"/>
      <c r="V10" s="664"/>
    </row>
    <row r="11" spans="1:22" ht="17.25" customHeight="1" x14ac:dyDescent="0.35">
      <c r="A11" s="236" t="s">
        <v>342</v>
      </c>
      <c r="B11" s="261" t="s">
        <v>372</v>
      </c>
      <c r="C11" s="261" t="s">
        <v>372</v>
      </c>
      <c r="D11" s="261" t="s">
        <v>372</v>
      </c>
      <c r="E11" s="261" t="s">
        <v>372</v>
      </c>
      <c r="F11" s="261" t="s">
        <v>372</v>
      </c>
      <c r="G11" s="261" t="s">
        <v>372</v>
      </c>
      <c r="H11" s="261" t="s">
        <v>372</v>
      </c>
      <c r="I11" s="261" t="s">
        <v>372</v>
      </c>
      <c r="J11" s="261" t="s">
        <v>372</v>
      </c>
      <c r="K11" s="261" t="s">
        <v>372</v>
      </c>
      <c r="L11" s="261" t="s">
        <v>372</v>
      </c>
      <c r="M11" s="261" t="s">
        <v>372</v>
      </c>
      <c r="N11" s="261" t="s">
        <v>372</v>
      </c>
      <c r="O11" s="261" t="s">
        <v>372</v>
      </c>
      <c r="P11" s="261" t="s">
        <v>372</v>
      </c>
      <c r="Q11" s="261" t="s">
        <v>372</v>
      </c>
      <c r="R11" s="261" t="s">
        <v>372</v>
      </c>
      <c r="S11" s="261" t="s">
        <v>372</v>
      </c>
      <c r="T11" s="261" t="s">
        <v>372</v>
      </c>
      <c r="U11" s="261" t="s">
        <v>372</v>
      </c>
      <c r="V11" s="261" t="s">
        <v>372</v>
      </c>
    </row>
    <row r="12" spans="1:22" ht="17.25" customHeight="1" x14ac:dyDescent="0.35">
      <c r="A12" s="231"/>
      <c r="B12" s="368" t="s">
        <v>413</v>
      </c>
      <c r="C12" s="235">
        <v>1</v>
      </c>
      <c r="D12" s="235">
        <v>2</v>
      </c>
      <c r="E12" s="235">
        <v>3</v>
      </c>
      <c r="F12" s="235">
        <v>4</v>
      </c>
      <c r="G12" s="235">
        <v>5</v>
      </c>
      <c r="H12" s="235">
        <v>6</v>
      </c>
      <c r="I12" s="235">
        <v>7</v>
      </c>
      <c r="J12" s="235">
        <v>8</v>
      </c>
      <c r="K12" s="235">
        <v>9</v>
      </c>
      <c r="L12" s="235">
        <v>10</v>
      </c>
      <c r="M12" s="235">
        <v>11</v>
      </c>
      <c r="N12" s="235">
        <v>12</v>
      </c>
      <c r="O12" s="235">
        <v>13</v>
      </c>
      <c r="P12" s="235">
        <v>14</v>
      </c>
      <c r="Q12" s="235">
        <v>15</v>
      </c>
      <c r="R12" s="235">
        <v>16</v>
      </c>
      <c r="S12" s="235">
        <v>17</v>
      </c>
      <c r="T12" s="235">
        <v>18</v>
      </c>
      <c r="U12" s="235">
        <v>19</v>
      </c>
      <c r="V12" s="235">
        <v>20</v>
      </c>
    </row>
    <row r="13" spans="1:22" x14ac:dyDescent="0.35">
      <c r="A13" s="233" t="s">
        <v>331</v>
      </c>
      <c r="B13" s="246"/>
      <c r="C13" s="246"/>
      <c r="D13" s="246"/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</row>
    <row r="14" spans="1:22" x14ac:dyDescent="0.35">
      <c r="A14" s="233" t="s">
        <v>332</v>
      </c>
      <c r="B14" s="246"/>
      <c r="C14" s="246"/>
      <c r="D14" s="246"/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</row>
    <row r="15" spans="1:22" x14ac:dyDescent="0.35">
      <c r="A15" s="233" t="s">
        <v>333</v>
      </c>
      <c r="B15" s="248">
        <v>493200</v>
      </c>
      <c r="C15" s="248"/>
      <c r="D15" s="248"/>
      <c r="E15" s="247"/>
      <c r="F15" s="247"/>
      <c r="G15" s="247"/>
      <c r="H15" s="247"/>
      <c r="I15" s="247"/>
      <c r="J15" s="377"/>
      <c r="K15" s="247"/>
      <c r="L15" s="247"/>
      <c r="M15" s="247">
        <v>123000</v>
      </c>
      <c r="N15" s="247"/>
      <c r="O15" s="247"/>
      <c r="P15" s="247"/>
      <c r="Q15" s="247"/>
      <c r="R15" s="247"/>
      <c r="S15" s="247"/>
      <c r="T15" s="247"/>
      <c r="U15" s="247"/>
      <c r="V15" s="247"/>
    </row>
    <row r="16" spans="1:22" x14ac:dyDescent="0.35">
      <c r="A16" s="233" t="s">
        <v>334</v>
      </c>
      <c r="B16" s="248">
        <v>112000</v>
      </c>
      <c r="C16" s="248"/>
      <c r="D16" s="248"/>
      <c r="E16" s="247"/>
      <c r="F16" s="247"/>
      <c r="G16" s="247"/>
      <c r="H16" s="247"/>
      <c r="I16" s="247"/>
      <c r="J16" s="247"/>
      <c r="K16" s="247"/>
      <c r="L16" s="247"/>
      <c r="M16" s="247">
        <v>80000</v>
      </c>
      <c r="N16" s="247"/>
      <c r="O16" s="247"/>
      <c r="P16" s="247"/>
      <c r="Q16" s="247"/>
      <c r="R16" s="247"/>
      <c r="S16" s="247"/>
      <c r="T16" s="247"/>
      <c r="U16" s="247"/>
      <c r="V16" s="247"/>
    </row>
    <row r="17" spans="1:24" x14ac:dyDescent="0.35">
      <c r="A17" s="233" t="s">
        <v>335</v>
      </c>
      <c r="B17" s="248"/>
      <c r="C17" s="248"/>
      <c r="D17" s="248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</row>
    <row r="18" spans="1:24" x14ac:dyDescent="0.35">
      <c r="A18" s="233" t="s">
        <v>336</v>
      </c>
      <c r="B18" s="248">
        <v>640000</v>
      </c>
      <c r="C18" s="248"/>
      <c r="D18" s="248"/>
      <c r="E18" s="247"/>
      <c r="F18" s="247"/>
      <c r="G18" s="247">
        <v>200000</v>
      </c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</row>
    <row r="19" spans="1:24" x14ac:dyDescent="0.35">
      <c r="A19" s="233" t="s">
        <v>337</v>
      </c>
      <c r="B19" s="248">
        <v>146000</v>
      </c>
      <c r="C19" s="248"/>
      <c r="D19" s="249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</row>
    <row r="20" spans="1:24" x14ac:dyDescent="0.35">
      <c r="A20" s="233" t="s">
        <v>338</v>
      </c>
      <c r="B20" s="247">
        <v>30000</v>
      </c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</row>
    <row r="21" spans="1:24" x14ac:dyDescent="0.35">
      <c r="A21" s="233" t="s">
        <v>339</v>
      </c>
      <c r="B21" s="247">
        <v>150000</v>
      </c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>
        <v>75000</v>
      </c>
      <c r="N21" s="247"/>
      <c r="O21" s="247"/>
      <c r="P21" s="247"/>
      <c r="Q21" s="247"/>
      <c r="R21" s="247"/>
      <c r="S21" s="247"/>
      <c r="T21" s="247"/>
      <c r="U21" s="247"/>
      <c r="V21" s="247"/>
    </row>
    <row r="22" spans="1:24" x14ac:dyDescent="0.35">
      <c r="A22" s="234" t="s">
        <v>340</v>
      </c>
      <c r="B22" s="250"/>
      <c r="C22" s="246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</row>
    <row r="23" spans="1:24" x14ac:dyDescent="0.35">
      <c r="A23" s="234" t="s">
        <v>341</v>
      </c>
      <c r="B23" s="247">
        <v>350000</v>
      </c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>
        <v>350000</v>
      </c>
      <c r="N23" s="247"/>
      <c r="O23" s="247"/>
      <c r="P23" s="247"/>
      <c r="Q23" s="247"/>
      <c r="R23" s="247"/>
      <c r="S23" s="247"/>
      <c r="T23" s="247"/>
      <c r="U23" s="247"/>
      <c r="V23" s="247"/>
    </row>
    <row r="24" spans="1:24" x14ac:dyDescent="0.35">
      <c r="A24" s="239" t="s">
        <v>59</v>
      </c>
      <c r="B24" s="251">
        <f>SUM(B13:B23)</f>
        <v>1921200</v>
      </c>
      <c r="C24" s="251">
        <f t="shared" ref="C24:V24" si="0">SUM(C13:C23)</f>
        <v>0</v>
      </c>
      <c r="D24" s="251">
        <f t="shared" si="0"/>
        <v>0</v>
      </c>
      <c r="E24" s="251">
        <f t="shared" si="0"/>
        <v>0</v>
      </c>
      <c r="F24" s="251">
        <f t="shared" si="0"/>
        <v>0</v>
      </c>
      <c r="G24" s="251">
        <f t="shared" si="0"/>
        <v>200000</v>
      </c>
      <c r="H24" s="251">
        <f t="shared" si="0"/>
        <v>0</v>
      </c>
      <c r="I24" s="251">
        <f t="shared" si="0"/>
        <v>0</v>
      </c>
      <c r="J24" s="251">
        <f t="shared" si="0"/>
        <v>0</v>
      </c>
      <c r="K24" s="251">
        <f t="shared" si="0"/>
        <v>0</v>
      </c>
      <c r="L24" s="251">
        <f t="shared" si="0"/>
        <v>0</v>
      </c>
      <c r="M24" s="251">
        <f t="shared" si="0"/>
        <v>628000</v>
      </c>
      <c r="N24" s="251">
        <f t="shared" si="0"/>
        <v>0</v>
      </c>
      <c r="O24" s="251">
        <f t="shared" si="0"/>
        <v>0</v>
      </c>
      <c r="P24" s="251">
        <f t="shared" si="0"/>
        <v>0</v>
      </c>
      <c r="Q24" s="251">
        <f t="shared" si="0"/>
        <v>0</v>
      </c>
      <c r="R24" s="251">
        <f t="shared" si="0"/>
        <v>0</v>
      </c>
      <c r="S24" s="251">
        <f t="shared" si="0"/>
        <v>0</v>
      </c>
      <c r="T24" s="251">
        <f t="shared" si="0"/>
        <v>0</v>
      </c>
      <c r="U24" s="251">
        <f t="shared" si="0"/>
        <v>0</v>
      </c>
      <c r="V24" s="251">
        <f t="shared" si="0"/>
        <v>0</v>
      </c>
    </row>
    <row r="27" spans="1:24" x14ac:dyDescent="0.35">
      <c r="A27" s="170" t="s">
        <v>343</v>
      </c>
    </row>
    <row r="29" spans="1:24" ht="21.75" customHeight="1" x14ac:dyDescent="0.35">
      <c r="A29" s="232"/>
      <c r="B29" s="671" t="s">
        <v>440</v>
      </c>
      <c r="C29" s="671" t="s">
        <v>441</v>
      </c>
      <c r="D29" s="242" t="s">
        <v>109</v>
      </c>
      <c r="E29" s="662" t="s">
        <v>22</v>
      </c>
      <c r="F29" s="663"/>
      <c r="G29" s="663"/>
      <c r="H29" s="663"/>
      <c r="I29" s="663"/>
      <c r="J29" s="663"/>
      <c r="K29" s="663"/>
      <c r="L29" s="663"/>
      <c r="M29" s="663"/>
      <c r="N29" s="664"/>
      <c r="O29" s="662" t="s">
        <v>22</v>
      </c>
      <c r="P29" s="663"/>
      <c r="Q29" s="663"/>
      <c r="R29" s="663"/>
      <c r="S29" s="663"/>
      <c r="T29" s="663"/>
      <c r="U29" s="663"/>
      <c r="V29" s="663"/>
      <c r="W29" s="663"/>
      <c r="X29" s="664"/>
    </row>
    <row r="30" spans="1:24" ht="21.75" customHeight="1" x14ac:dyDescent="0.35">
      <c r="A30" s="236" t="s">
        <v>342</v>
      </c>
      <c r="B30" s="672"/>
      <c r="C30" s="672"/>
      <c r="D30" s="243" t="s">
        <v>344</v>
      </c>
      <c r="E30" s="261" t="s">
        <v>372</v>
      </c>
      <c r="F30" s="261" t="s">
        <v>372</v>
      </c>
      <c r="G30" s="261" t="s">
        <v>372</v>
      </c>
      <c r="H30" s="261" t="s">
        <v>372</v>
      </c>
      <c r="I30" s="261" t="s">
        <v>372</v>
      </c>
      <c r="J30" s="261" t="s">
        <v>372</v>
      </c>
      <c r="K30" s="261" t="s">
        <v>372</v>
      </c>
      <c r="L30" s="261" t="s">
        <v>372</v>
      </c>
      <c r="M30" s="261" t="s">
        <v>372</v>
      </c>
      <c r="N30" s="261" t="s">
        <v>372</v>
      </c>
      <c r="O30" s="261" t="s">
        <v>372</v>
      </c>
      <c r="P30" s="261" t="s">
        <v>372</v>
      </c>
      <c r="Q30" s="261" t="s">
        <v>372</v>
      </c>
      <c r="R30" s="261" t="s">
        <v>372</v>
      </c>
      <c r="S30" s="261" t="s">
        <v>372</v>
      </c>
      <c r="T30" s="261" t="s">
        <v>372</v>
      </c>
      <c r="U30" s="261" t="s">
        <v>372</v>
      </c>
      <c r="V30" s="261" t="s">
        <v>372</v>
      </c>
      <c r="W30" s="261" t="s">
        <v>372</v>
      </c>
      <c r="X30" s="261" t="s">
        <v>372</v>
      </c>
    </row>
    <row r="31" spans="1:24" ht="21.75" customHeight="1" x14ac:dyDescent="0.35">
      <c r="A31" s="231"/>
      <c r="B31" s="673"/>
      <c r="C31" s="673"/>
      <c r="D31" s="244" t="s">
        <v>345</v>
      </c>
      <c r="E31" s="235">
        <v>1</v>
      </c>
      <c r="F31" s="235">
        <v>2</v>
      </c>
      <c r="G31" s="235">
        <v>3</v>
      </c>
      <c r="H31" s="235">
        <v>4</v>
      </c>
      <c r="I31" s="235">
        <v>5</v>
      </c>
      <c r="J31" s="235">
        <v>6</v>
      </c>
      <c r="K31" s="235">
        <v>7</v>
      </c>
      <c r="L31" s="235">
        <v>8</v>
      </c>
      <c r="M31" s="235">
        <v>9</v>
      </c>
      <c r="N31" s="235">
        <v>10</v>
      </c>
      <c r="O31" s="235">
        <v>11</v>
      </c>
      <c r="P31" s="235">
        <v>12</v>
      </c>
      <c r="Q31" s="235">
        <v>13</v>
      </c>
      <c r="R31" s="235">
        <v>14</v>
      </c>
      <c r="S31" s="235">
        <v>15</v>
      </c>
      <c r="T31" s="235">
        <v>16</v>
      </c>
      <c r="U31" s="235">
        <v>17</v>
      </c>
      <c r="V31" s="235">
        <v>18</v>
      </c>
      <c r="W31" s="235">
        <v>19</v>
      </c>
      <c r="X31" s="235">
        <v>20</v>
      </c>
    </row>
    <row r="32" spans="1:24" x14ac:dyDescent="0.35">
      <c r="A32" s="233" t="s">
        <v>332</v>
      </c>
      <c r="B32" s="245"/>
      <c r="C32" s="602"/>
      <c r="D32" s="252">
        <f>IF((1-C32*B32)&lt;0,"ERRO",1-C32*B32)</f>
        <v>1</v>
      </c>
      <c r="E32" s="375">
        <f t="shared" ref="E32:E41" ca="1" si="1">IF($C32=0,0,(SUM(OFFSET(C14,,,,IF($C32&gt;=E$31,-E$31,-$C32)))+IF($C32&gt;=E$31,$B14,0))*$B32)</f>
        <v>0</v>
      </c>
      <c r="F32" s="376">
        <f t="shared" ref="F32:F41" ca="1" si="2">IF($C32=0,0,(SUM(OFFSET(D14,,,,IF($C32&gt;=F$31,-F$31,-$C32)))+IF($C32&gt;=F$31,$B14,0))*$B32)</f>
        <v>0</v>
      </c>
      <c r="G32" s="375">
        <f t="shared" ref="G32:G41" ca="1" si="3">IF($C32=0,0,(SUM(OFFSET(E14,,,,IF($C32&gt;=G$31,-G$31,-$C32)))+IF($C32&gt;=G$31,$B14,0))*$B32)</f>
        <v>0</v>
      </c>
      <c r="H32" s="375">
        <f t="shared" ref="H32:H41" ca="1" si="4">IF($C32=0,0,(SUM(OFFSET(F14,,,,IF($C32&gt;=H$31,-H$31,-$C32)))+IF($C32&gt;=H$31,$B14,0))*$B32)</f>
        <v>0</v>
      </c>
      <c r="I32" s="375">
        <f t="shared" ref="I32:I41" ca="1" si="5">IF($C32=0,0,(SUM(OFFSET(G14,,,,IF($C32&gt;=I$31,-I$31,-$C32)))+IF($C32&gt;=I$31,$B14,0))*$B32)</f>
        <v>0</v>
      </c>
      <c r="J32" s="375">
        <f t="shared" ref="J32:J41" ca="1" si="6">IF($C32=0,0,(SUM(OFFSET(H14,,,,IF($C32&gt;=J$31,-J$31,-$C32)))+IF($C32&gt;=J$31,$B14,0))*$B32)</f>
        <v>0</v>
      </c>
      <c r="K32" s="375">
        <f t="shared" ref="K32:K41" ca="1" si="7">IF($C32=0,0,(SUM(OFFSET(I14,,,,IF($C32&gt;=K$31,-K$31,-$C32)))+IF($C32&gt;=K$31,$B14,0))*$B32)</f>
        <v>0</v>
      </c>
      <c r="L32" s="375">
        <f t="shared" ref="L32:L41" ca="1" si="8">IF($C32=0,0,(SUM(OFFSET(J14,,,,IF($C32&gt;=L$31,-L$31,-$C32)))+IF($C32&gt;=L$31,$B14,0))*$B32)</f>
        <v>0</v>
      </c>
      <c r="M32" s="375">
        <f t="shared" ref="M32:M41" ca="1" si="9">IF($C32=0,0,(SUM(OFFSET(K14,,,,IF($C32&gt;=M$31,-M$31,-$C32)))+IF($C32&gt;=M$31,$B14,0))*$B32)</f>
        <v>0</v>
      </c>
      <c r="N32" s="375">
        <f t="shared" ref="N32:N41" ca="1" si="10">IF($C32=0,0,(SUM(OFFSET(L14,,,,IF($C32&gt;=N$31,-N$31,-$C32)))+IF($C32&gt;=N$31,$B14,0))*$B32)</f>
        <v>0</v>
      </c>
      <c r="O32" s="375">
        <f t="shared" ref="O32:O41" ca="1" si="11">IF($C32=0,0,(SUM(OFFSET(M14,,,,IF($C32&gt;=O$31,-O$31,-$C32)))+IF($C32&gt;=O$31,$B14,0))*$B32)</f>
        <v>0</v>
      </c>
      <c r="P32" s="375">
        <f t="shared" ref="P32:P41" ca="1" si="12">IF($C32=0,0,(SUM(OFFSET(N14,,,,IF($C32&gt;=P$31,-P$31,-$C32)))+IF($C32&gt;=P$31,$B14,0))*$B32)</f>
        <v>0</v>
      </c>
      <c r="Q32" s="375">
        <f t="shared" ref="Q32:Q41" ca="1" si="13">IF($C32=0,0,(SUM(OFFSET(O14,,,,IF($C32&gt;=Q$31,-Q$31,-$C32)))+IF($C32&gt;=Q$31,$B14,0))*$B32)</f>
        <v>0</v>
      </c>
      <c r="R32" s="375">
        <f t="shared" ref="R32:R41" ca="1" si="14">IF($C32=0,0,(SUM(OFFSET(P14,,,,IF($C32&gt;=R$31,-R$31,-$C32)))+IF($C32&gt;=R$31,$B14,0))*$B32)</f>
        <v>0</v>
      </c>
      <c r="S32" s="375">
        <f t="shared" ref="S32:S41" ca="1" si="15">IF($C32=0,0,(SUM(OFFSET(Q14,,,,IF($C32&gt;=S$31,-S$31,-$C32)))+IF($C32&gt;=S$31,$B14,0))*$B32)</f>
        <v>0</v>
      </c>
      <c r="T32" s="375">
        <f t="shared" ref="T32:T41" ca="1" si="16">IF($C32=0,0,(SUM(OFFSET(R14,,,,IF($C32&gt;=T$31,-T$31,-$C32)))+IF($C32&gt;=T$31,$B14,0))*$B32)</f>
        <v>0</v>
      </c>
      <c r="U32" s="375">
        <f t="shared" ref="U32:U41" ca="1" si="17">IF($C32=0,0,(SUM(OFFSET(S14,,,,IF($C32&gt;=U$31,-U$31,-$C32)))+IF($C32&gt;=U$31,$B14,0))*$B32)</f>
        <v>0</v>
      </c>
      <c r="V32" s="375">
        <f t="shared" ref="V32:V41" ca="1" si="18">IF($C32=0,0,(SUM(OFFSET(T14,,,,IF($C32&gt;=V$31,-V$31,-$C32)))+IF($C32&gt;=V$31,$B14,0))*$B32)</f>
        <v>0</v>
      </c>
      <c r="W32" s="375">
        <f t="shared" ref="W32:W41" ca="1" si="19">IF($C32=0,0,(SUM(OFFSET(U14,,,,IF($C32&gt;=W$31,-W$31,-$C32)))+IF($C32&gt;=W$31,$B14,0))*$B32)</f>
        <v>0</v>
      </c>
      <c r="X32" s="375">
        <f t="shared" ref="X32:X41" ca="1" si="20">IF($C32=0,0,(SUM(OFFSET(V14,,,,IF($C32&gt;=X$31,-X$31,-$C32)))+IF($C32&gt;=X$31,$B14,0))*$B32)</f>
        <v>0</v>
      </c>
    </row>
    <row r="33" spans="1:24" x14ac:dyDescent="0.35">
      <c r="A33" s="233" t="s">
        <v>333</v>
      </c>
      <c r="B33" s="245">
        <v>0.05</v>
      </c>
      <c r="C33" s="602">
        <v>20</v>
      </c>
      <c r="D33" s="252">
        <f t="shared" ref="D33:D41" si="21">IF((1-C33*B33)&lt;0,"ERRO",1-C33*B33)</f>
        <v>0</v>
      </c>
      <c r="E33" s="240">
        <f t="shared" ca="1" si="1"/>
        <v>24660</v>
      </c>
      <c r="F33" s="240">
        <f t="shared" ca="1" si="2"/>
        <v>24660</v>
      </c>
      <c r="G33" s="240">
        <f t="shared" ca="1" si="3"/>
        <v>24660</v>
      </c>
      <c r="H33" s="240">
        <f t="shared" ca="1" si="4"/>
        <v>24660</v>
      </c>
      <c r="I33" s="240">
        <f t="shared" ca="1" si="5"/>
        <v>24660</v>
      </c>
      <c r="J33" s="240">
        <f t="shared" ca="1" si="6"/>
        <v>24660</v>
      </c>
      <c r="K33" s="240">
        <f t="shared" ca="1" si="7"/>
        <v>24660</v>
      </c>
      <c r="L33" s="240">
        <f t="shared" ca="1" si="8"/>
        <v>24660</v>
      </c>
      <c r="M33" s="240">
        <f t="shared" ca="1" si="9"/>
        <v>24660</v>
      </c>
      <c r="N33" s="240">
        <f t="shared" ca="1" si="10"/>
        <v>24660</v>
      </c>
      <c r="O33" s="240">
        <f t="shared" ca="1" si="11"/>
        <v>30810</v>
      </c>
      <c r="P33" s="240">
        <f t="shared" ca="1" si="12"/>
        <v>30810</v>
      </c>
      <c r="Q33" s="240">
        <f t="shared" ca="1" si="13"/>
        <v>30810</v>
      </c>
      <c r="R33" s="240">
        <f t="shared" ca="1" si="14"/>
        <v>30810</v>
      </c>
      <c r="S33" s="240">
        <f t="shared" ca="1" si="15"/>
        <v>30810</v>
      </c>
      <c r="T33" s="240">
        <f t="shared" ca="1" si="16"/>
        <v>30810</v>
      </c>
      <c r="U33" s="240">
        <f t="shared" ca="1" si="17"/>
        <v>30810</v>
      </c>
      <c r="V33" s="240">
        <f t="shared" ca="1" si="18"/>
        <v>30810</v>
      </c>
      <c r="W33" s="240">
        <f t="shared" ca="1" si="19"/>
        <v>30810</v>
      </c>
      <c r="X33" s="240">
        <f t="shared" ca="1" si="20"/>
        <v>30810</v>
      </c>
    </row>
    <row r="34" spans="1:24" x14ac:dyDescent="0.35">
      <c r="A34" s="233" t="s">
        <v>334</v>
      </c>
      <c r="B34" s="245">
        <v>0.1</v>
      </c>
      <c r="C34" s="602">
        <v>10</v>
      </c>
      <c r="D34" s="252">
        <f t="shared" si="21"/>
        <v>0</v>
      </c>
      <c r="E34" s="240">
        <f t="shared" ca="1" si="1"/>
        <v>11200</v>
      </c>
      <c r="F34" s="240">
        <f t="shared" ca="1" si="2"/>
        <v>11200</v>
      </c>
      <c r="G34" s="240">
        <f t="shared" ca="1" si="3"/>
        <v>11200</v>
      </c>
      <c r="H34" s="240">
        <f t="shared" ca="1" si="4"/>
        <v>11200</v>
      </c>
      <c r="I34" s="240">
        <f t="shared" ca="1" si="5"/>
        <v>11200</v>
      </c>
      <c r="J34" s="240">
        <f t="shared" ca="1" si="6"/>
        <v>11200</v>
      </c>
      <c r="K34" s="240">
        <f t="shared" ca="1" si="7"/>
        <v>11200</v>
      </c>
      <c r="L34" s="240">
        <f t="shared" ca="1" si="8"/>
        <v>11200</v>
      </c>
      <c r="M34" s="240">
        <f t="shared" ca="1" si="9"/>
        <v>11200</v>
      </c>
      <c r="N34" s="240">
        <f t="shared" ca="1" si="10"/>
        <v>11200</v>
      </c>
      <c r="O34" s="240">
        <f t="shared" ca="1" si="11"/>
        <v>8000</v>
      </c>
      <c r="P34" s="240">
        <f t="shared" ca="1" si="12"/>
        <v>8000</v>
      </c>
      <c r="Q34" s="240">
        <f t="shared" ca="1" si="13"/>
        <v>8000</v>
      </c>
      <c r="R34" s="240">
        <f t="shared" ca="1" si="14"/>
        <v>8000</v>
      </c>
      <c r="S34" s="240">
        <f t="shared" ca="1" si="15"/>
        <v>8000</v>
      </c>
      <c r="T34" s="240">
        <f t="shared" ca="1" si="16"/>
        <v>8000</v>
      </c>
      <c r="U34" s="240">
        <f t="shared" ca="1" si="17"/>
        <v>8000</v>
      </c>
      <c r="V34" s="240">
        <f t="shared" ca="1" si="18"/>
        <v>8000</v>
      </c>
      <c r="W34" s="240">
        <f t="shared" ca="1" si="19"/>
        <v>8000</v>
      </c>
      <c r="X34" s="240">
        <f t="shared" ca="1" si="20"/>
        <v>8000</v>
      </c>
    </row>
    <row r="35" spans="1:24" x14ac:dyDescent="0.35">
      <c r="A35" s="233" t="s">
        <v>335</v>
      </c>
      <c r="B35" s="245"/>
      <c r="C35" s="602"/>
      <c r="D35" s="252">
        <f t="shared" si="21"/>
        <v>1</v>
      </c>
      <c r="E35" s="240">
        <f t="shared" ca="1" si="1"/>
        <v>0</v>
      </c>
      <c r="F35" s="240">
        <f t="shared" ca="1" si="2"/>
        <v>0</v>
      </c>
      <c r="G35" s="240">
        <f t="shared" ca="1" si="3"/>
        <v>0</v>
      </c>
      <c r="H35" s="240">
        <f t="shared" ca="1" si="4"/>
        <v>0</v>
      </c>
      <c r="I35" s="240">
        <f t="shared" ca="1" si="5"/>
        <v>0</v>
      </c>
      <c r="J35" s="240">
        <f t="shared" ca="1" si="6"/>
        <v>0</v>
      </c>
      <c r="K35" s="240">
        <f t="shared" ca="1" si="7"/>
        <v>0</v>
      </c>
      <c r="L35" s="240">
        <f t="shared" ca="1" si="8"/>
        <v>0</v>
      </c>
      <c r="M35" s="240">
        <f t="shared" ca="1" si="9"/>
        <v>0</v>
      </c>
      <c r="N35" s="240">
        <f t="shared" ca="1" si="10"/>
        <v>0</v>
      </c>
      <c r="O35" s="240">
        <f t="shared" ca="1" si="11"/>
        <v>0</v>
      </c>
      <c r="P35" s="240">
        <f t="shared" ca="1" si="12"/>
        <v>0</v>
      </c>
      <c r="Q35" s="240">
        <f t="shared" ca="1" si="13"/>
        <v>0</v>
      </c>
      <c r="R35" s="240">
        <f t="shared" ca="1" si="14"/>
        <v>0</v>
      </c>
      <c r="S35" s="240">
        <f t="shared" ca="1" si="15"/>
        <v>0</v>
      </c>
      <c r="T35" s="240">
        <f t="shared" ca="1" si="16"/>
        <v>0</v>
      </c>
      <c r="U35" s="240">
        <f t="shared" ca="1" si="17"/>
        <v>0</v>
      </c>
      <c r="V35" s="240">
        <f t="shared" ca="1" si="18"/>
        <v>0</v>
      </c>
      <c r="W35" s="240">
        <f t="shared" ca="1" si="19"/>
        <v>0</v>
      </c>
      <c r="X35" s="240">
        <f t="shared" ca="1" si="20"/>
        <v>0</v>
      </c>
    </row>
    <row r="36" spans="1:24" x14ac:dyDescent="0.35">
      <c r="A36" s="233" t="s">
        <v>336</v>
      </c>
      <c r="B36" s="245">
        <v>0.1</v>
      </c>
      <c r="C36" s="602">
        <v>10</v>
      </c>
      <c r="D36" s="252">
        <f t="shared" si="21"/>
        <v>0</v>
      </c>
      <c r="E36" s="240">
        <f t="shared" ca="1" si="1"/>
        <v>64000</v>
      </c>
      <c r="F36" s="240">
        <f t="shared" ca="1" si="2"/>
        <v>64000</v>
      </c>
      <c r="G36" s="240">
        <f t="shared" ca="1" si="3"/>
        <v>64000</v>
      </c>
      <c r="H36" s="240">
        <f t="shared" ca="1" si="4"/>
        <v>64000</v>
      </c>
      <c r="I36" s="240">
        <f t="shared" ca="1" si="5"/>
        <v>84000</v>
      </c>
      <c r="J36" s="240">
        <f t="shared" ca="1" si="6"/>
        <v>84000</v>
      </c>
      <c r="K36" s="240">
        <f t="shared" ca="1" si="7"/>
        <v>84000</v>
      </c>
      <c r="L36" s="240">
        <f t="shared" ca="1" si="8"/>
        <v>84000</v>
      </c>
      <c r="M36" s="240">
        <f t="shared" ca="1" si="9"/>
        <v>84000</v>
      </c>
      <c r="N36" s="240">
        <f t="shared" ca="1" si="10"/>
        <v>84000</v>
      </c>
      <c r="O36" s="240">
        <f t="shared" ca="1" si="11"/>
        <v>20000</v>
      </c>
      <c r="P36" s="240">
        <f t="shared" ca="1" si="12"/>
        <v>20000</v>
      </c>
      <c r="Q36" s="240">
        <f t="shared" ca="1" si="13"/>
        <v>20000</v>
      </c>
      <c r="R36" s="240">
        <f t="shared" ca="1" si="14"/>
        <v>20000</v>
      </c>
      <c r="S36" s="240">
        <f t="shared" ca="1" si="15"/>
        <v>0</v>
      </c>
      <c r="T36" s="240">
        <f t="shared" ca="1" si="16"/>
        <v>0</v>
      </c>
      <c r="U36" s="240">
        <f t="shared" ca="1" si="17"/>
        <v>0</v>
      </c>
      <c r="V36" s="240">
        <f t="shared" ca="1" si="18"/>
        <v>0</v>
      </c>
      <c r="W36" s="240">
        <f t="shared" ca="1" si="19"/>
        <v>0</v>
      </c>
      <c r="X36" s="240">
        <f t="shared" ca="1" si="20"/>
        <v>0</v>
      </c>
    </row>
    <row r="37" spans="1:24" x14ac:dyDescent="0.35">
      <c r="A37" s="233" t="s">
        <v>337</v>
      </c>
      <c r="B37" s="245">
        <v>0.05</v>
      </c>
      <c r="C37" s="602">
        <v>20</v>
      </c>
      <c r="D37" s="252">
        <f t="shared" si="21"/>
        <v>0</v>
      </c>
      <c r="E37" s="240">
        <f t="shared" ca="1" si="1"/>
        <v>7300</v>
      </c>
      <c r="F37" s="240">
        <f t="shared" ca="1" si="2"/>
        <v>7300</v>
      </c>
      <c r="G37" s="240">
        <f t="shared" ca="1" si="3"/>
        <v>7300</v>
      </c>
      <c r="H37" s="240">
        <f t="shared" ca="1" si="4"/>
        <v>7300</v>
      </c>
      <c r="I37" s="240">
        <f t="shared" ca="1" si="5"/>
        <v>7300</v>
      </c>
      <c r="J37" s="240">
        <f t="shared" ca="1" si="6"/>
        <v>7300</v>
      </c>
      <c r="K37" s="240">
        <f t="shared" ca="1" si="7"/>
        <v>7300</v>
      </c>
      <c r="L37" s="240">
        <f t="shared" ca="1" si="8"/>
        <v>7300</v>
      </c>
      <c r="M37" s="240">
        <f t="shared" ca="1" si="9"/>
        <v>7300</v>
      </c>
      <c r="N37" s="240">
        <f t="shared" ca="1" si="10"/>
        <v>7300</v>
      </c>
      <c r="O37" s="240">
        <f t="shared" ca="1" si="11"/>
        <v>7300</v>
      </c>
      <c r="P37" s="240">
        <f t="shared" ca="1" si="12"/>
        <v>7300</v>
      </c>
      <c r="Q37" s="240">
        <f t="shared" ca="1" si="13"/>
        <v>7300</v>
      </c>
      <c r="R37" s="240">
        <f t="shared" ca="1" si="14"/>
        <v>7300</v>
      </c>
      <c r="S37" s="240">
        <f t="shared" ca="1" si="15"/>
        <v>7300</v>
      </c>
      <c r="T37" s="240">
        <f t="shared" ca="1" si="16"/>
        <v>7300</v>
      </c>
      <c r="U37" s="240">
        <f t="shared" ca="1" si="17"/>
        <v>7300</v>
      </c>
      <c r="V37" s="240">
        <f t="shared" ca="1" si="18"/>
        <v>7300</v>
      </c>
      <c r="W37" s="240">
        <f t="shared" ca="1" si="19"/>
        <v>7300</v>
      </c>
      <c r="X37" s="240">
        <f t="shared" ca="1" si="20"/>
        <v>7300</v>
      </c>
    </row>
    <row r="38" spans="1:24" x14ac:dyDescent="0.35">
      <c r="A38" s="233" t="s">
        <v>338</v>
      </c>
      <c r="B38" s="245">
        <v>0.1</v>
      </c>
      <c r="C38" s="602">
        <v>10</v>
      </c>
      <c r="D38" s="252">
        <f t="shared" si="21"/>
        <v>0</v>
      </c>
      <c r="E38" s="240">
        <f t="shared" ca="1" si="1"/>
        <v>3000</v>
      </c>
      <c r="F38" s="240">
        <f t="shared" ca="1" si="2"/>
        <v>3000</v>
      </c>
      <c r="G38" s="240">
        <f t="shared" ca="1" si="3"/>
        <v>3000</v>
      </c>
      <c r="H38" s="240">
        <f t="shared" ca="1" si="4"/>
        <v>3000</v>
      </c>
      <c r="I38" s="240">
        <f t="shared" ca="1" si="5"/>
        <v>3000</v>
      </c>
      <c r="J38" s="240">
        <f t="shared" ca="1" si="6"/>
        <v>3000</v>
      </c>
      <c r="K38" s="240">
        <f t="shared" ca="1" si="7"/>
        <v>3000</v>
      </c>
      <c r="L38" s="240">
        <f t="shared" ca="1" si="8"/>
        <v>3000</v>
      </c>
      <c r="M38" s="240">
        <f t="shared" ca="1" si="9"/>
        <v>3000</v>
      </c>
      <c r="N38" s="240">
        <f t="shared" ca="1" si="10"/>
        <v>3000</v>
      </c>
      <c r="O38" s="240">
        <f t="shared" ca="1" si="11"/>
        <v>0</v>
      </c>
      <c r="P38" s="240">
        <f t="shared" ca="1" si="12"/>
        <v>0</v>
      </c>
      <c r="Q38" s="240">
        <f t="shared" ca="1" si="13"/>
        <v>0</v>
      </c>
      <c r="R38" s="240">
        <f t="shared" ca="1" si="14"/>
        <v>0</v>
      </c>
      <c r="S38" s="240">
        <f t="shared" ca="1" si="15"/>
        <v>0</v>
      </c>
      <c r="T38" s="240">
        <f t="shared" ca="1" si="16"/>
        <v>0</v>
      </c>
      <c r="U38" s="240">
        <f t="shared" ca="1" si="17"/>
        <v>0</v>
      </c>
      <c r="V38" s="240">
        <f t="shared" ca="1" si="18"/>
        <v>0</v>
      </c>
      <c r="W38" s="240">
        <f t="shared" ca="1" si="19"/>
        <v>0</v>
      </c>
      <c r="X38" s="240">
        <f t="shared" ca="1" si="20"/>
        <v>0</v>
      </c>
    </row>
    <row r="39" spans="1:24" x14ac:dyDescent="0.35">
      <c r="A39" s="233" t="s">
        <v>339</v>
      </c>
      <c r="B39" s="245">
        <v>0.1</v>
      </c>
      <c r="C39" s="602">
        <v>10</v>
      </c>
      <c r="D39" s="252">
        <f t="shared" si="21"/>
        <v>0</v>
      </c>
      <c r="E39" s="240">
        <f t="shared" ca="1" si="1"/>
        <v>15000</v>
      </c>
      <c r="F39" s="240">
        <f t="shared" ca="1" si="2"/>
        <v>15000</v>
      </c>
      <c r="G39" s="240">
        <f t="shared" ca="1" si="3"/>
        <v>15000</v>
      </c>
      <c r="H39" s="240">
        <f t="shared" ca="1" si="4"/>
        <v>15000</v>
      </c>
      <c r="I39" s="240">
        <f t="shared" ca="1" si="5"/>
        <v>15000</v>
      </c>
      <c r="J39" s="240">
        <f t="shared" ca="1" si="6"/>
        <v>15000</v>
      </c>
      <c r="K39" s="240">
        <f t="shared" ca="1" si="7"/>
        <v>15000</v>
      </c>
      <c r="L39" s="240">
        <f t="shared" ca="1" si="8"/>
        <v>15000</v>
      </c>
      <c r="M39" s="240">
        <f t="shared" ca="1" si="9"/>
        <v>15000</v>
      </c>
      <c r="N39" s="240">
        <f t="shared" ca="1" si="10"/>
        <v>15000</v>
      </c>
      <c r="O39" s="240">
        <f t="shared" ca="1" si="11"/>
        <v>7500</v>
      </c>
      <c r="P39" s="240">
        <f t="shared" ca="1" si="12"/>
        <v>7500</v>
      </c>
      <c r="Q39" s="240">
        <f t="shared" ca="1" si="13"/>
        <v>7500</v>
      </c>
      <c r="R39" s="240">
        <f t="shared" ca="1" si="14"/>
        <v>7500</v>
      </c>
      <c r="S39" s="240">
        <f t="shared" ca="1" si="15"/>
        <v>7500</v>
      </c>
      <c r="T39" s="240">
        <f t="shared" ca="1" si="16"/>
        <v>7500</v>
      </c>
      <c r="U39" s="240">
        <f t="shared" ca="1" si="17"/>
        <v>7500</v>
      </c>
      <c r="V39" s="240">
        <f t="shared" ca="1" si="18"/>
        <v>7500</v>
      </c>
      <c r="W39" s="240">
        <f t="shared" ca="1" si="19"/>
        <v>7500</v>
      </c>
      <c r="X39" s="240">
        <f t="shared" ca="1" si="20"/>
        <v>7500</v>
      </c>
    </row>
    <row r="40" spans="1:24" x14ac:dyDescent="0.35">
      <c r="A40" s="234" t="s">
        <v>340</v>
      </c>
      <c r="B40" s="245"/>
      <c r="C40" s="602"/>
      <c r="D40" s="252">
        <f t="shared" si="21"/>
        <v>1</v>
      </c>
      <c r="E40" s="240">
        <f t="shared" ca="1" si="1"/>
        <v>0</v>
      </c>
      <c r="F40" s="240">
        <f t="shared" ca="1" si="2"/>
        <v>0</v>
      </c>
      <c r="G40" s="240">
        <f t="shared" ca="1" si="3"/>
        <v>0</v>
      </c>
      <c r="H40" s="240">
        <f t="shared" ca="1" si="4"/>
        <v>0</v>
      </c>
      <c r="I40" s="240">
        <f t="shared" ca="1" si="5"/>
        <v>0</v>
      </c>
      <c r="J40" s="240">
        <f t="shared" ca="1" si="6"/>
        <v>0</v>
      </c>
      <c r="K40" s="240">
        <f t="shared" ca="1" si="7"/>
        <v>0</v>
      </c>
      <c r="L40" s="240">
        <f t="shared" ca="1" si="8"/>
        <v>0</v>
      </c>
      <c r="M40" s="240">
        <f t="shared" ca="1" si="9"/>
        <v>0</v>
      </c>
      <c r="N40" s="240">
        <f t="shared" ca="1" si="10"/>
        <v>0</v>
      </c>
      <c r="O40" s="240">
        <f t="shared" ca="1" si="11"/>
        <v>0</v>
      </c>
      <c r="P40" s="240">
        <f t="shared" ca="1" si="12"/>
        <v>0</v>
      </c>
      <c r="Q40" s="240">
        <f t="shared" ca="1" si="13"/>
        <v>0</v>
      </c>
      <c r="R40" s="240">
        <f t="shared" ca="1" si="14"/>
        <v>0</v>
      </c>
      <c r="S40" s="240">
        <f t="shared" ca="1" si="15"/>
        <v>0</v>
      </c>
      <c r="T40" s="240">
        <f t="shared" ca="1" si="16"/>
        <v>0</v>
      </c>
      <c r="U40" s="240">
        <f t="shared" ca="1" si="17"/>
        <v>0</v>
      </c>
      <c r="V40" s="240">
        <f t="shared" ca="1" si="18"/>
        <v>0</v>
      </c>
      <c r="W40" s="240">
        <f t="shared" ca="1" si="19"/>
        <v>0</v>
      </c>
      <c r="X40" s="240">
        <f t="shared" ca="1" si="20"/>
        <v>0</v>
      </c>
    </row>
    <row r="41" spans="1:24" x14ac:dyDescent="0.35">
      <c r="A41" s="234" t="s">
        <v>341</v>
      </c>
      <c r="B41" s="245">
        <v>0.05</v>
      </c>
      <c r="C41" s="602">
        <v>20</v>
      </c>
      <c r="D41" s="252">
        <f t="shared" si="21"/>
        <v>0</v>
      </c>
      <c r="E41" s="240">
        <f t="shared" ca="1" si="1"/>
        <v>17500</v>
      </c>
      <c r="F41" s="240">
        <f t="shared" ca="1" si="2"/>
        <v>17500</v>
      </c>
      <c r="G41" s="240">
        <f t="shared" ca="1" si="3"/>
        <v>17500</v>
      </c>
      <c r="H41" s="240">
        <f t="shared" ca="1" si="4"/>
        <v>17500</v>
      </c>
      <c r="I41" s="240">
        <f t="shared" ca="1" si="5"/>
        <v>17500</v>
      </c>
      <c r="J41" s="240">
        <f t="shared" ca="1" si="6"/>
        <v>17500</v>
      </c>
      <c r="K41" s="240">
        <f t="shared" ca="1" si="7"/>
        <v>17500</v>
      </c>
      <c r="L41" s="240">
        <f t="shared" ca="1" si="8"/>
        <v>17500</v>
      </c>
      <c r="M41" s="240">
        <f t="shared" ca="1" si="9"/>
        <v>17500</v>
      </c>
      <c r="N41" s="240">
        <f t="shared" ca="1" si="10"/>
        <v>17500</v>
      </c>
      <c r="O41" s="240">
        <f t="shared" ca="1" si="11"/>
        <v>35000</v>
      </c>
      <c r="P41" s="240">
        <f t="shared" ca="1" si="12"/>
        <v>35000</v>
      </c>
      <c r="Q41" s="240">
        <f t="shared" ca="1" si="13"/>
        <v>35000</v>
      </c>
      <c r="R41" s="240">
        <f t="shared" ca="1" si="14"/>
        <v>35000</v>
      </c>
      <c r="S41" s="240">
        <f t="shared" ca="1" si="15"/>
        <v>35000</v>
      </c>
      <c r="T41" s="240">
        <f t="shared" ca="1" si="16"/>
        <v>35000</v>
      </c>
      <c r="U41" s="240">
        <f t="shared" ca="1" si="17"/>
        <v>35000</v>
      </c>
      <c r="V41" s="240">
        <f t="shared" ca="1" si="18"/>
        <v>35000</v>
      </c>
      <c r="W41" s="240">
        <f t="shared" ca="1" si="19"/>
        <v>35000</v>
      </c>
      <c r="X41" s="240">
        <f t="shared" ca="1" si="20"/>
        <v>35000</v>
      </c>
    </row>
    <row r="42" spans="1:24" x14ac:dyDescent="0.35">
      <c r="A42" s="239" t="s">
        <v>59</v>
      </c>
      <c r="B42" s="238"/>
      <c r="C42" s="237"/>
      <c r="D42" s="237"/>
      <c r="E42" s="241">
        <f t="shared" ref="E42:X42" ca="1" si="22">SUM(E32:E41)</f>
        <v>142660</v>
      </c>
      <c r="F42" s="241">
        <f t="shared" ca="1" si="22"/>
        <v>142660</v>
      </c>
      <c r="G42" s="241">
        <f t="shared" ca="1" si="22"/>
        <v>142660</v>
      </c>
      <c r="H42" s="241">
        <f t="shared" ca="1" si="22"/>
        <v>142660</v>
      </c>
      <c r="I42" s="241">
        <f t="shared" ca="1" si="22"/>
        <v>162660</v>
      </c>
      <c r="J42" s="241">
        <f t="shared" ca="1" si="22"/>
        <v>162660</v>
      </c>
      <c r="K42" s="241">
        <f t="shared" ca="1" si="22"/>
        <v>162660</v>
      </c>
      <c r="L42" s="241">
        <f t="shared" ca="1" si="22"/>
        <v>162660</v>
      </c>
      <c r="M42" s="241">
        <f t="shared" ca="1" si="22"/>
        <v>162660</v>
      </c>
      <c r="N42" s="241">
        <f t="shared" ca="1" si="22"/>
        <v>162660</v>
      </c>
      <c r="O42" s="241">
        <f t="shared" ca="1" si="22"/>
        <v>108610</v>
      </c>
      <c r="P42" s="241">
        <f t="shared" ca="1" si="22"/>
        <v>108610</v>
      </c>
      <c r="Q42" s="241">
        <f t="shared" ca="1" si="22"/>
        <v>108610</v>
      </c>
      <c r="R42" s="241">
        <f t="shared" ca="1" si="22"/>
        <v>108610</v>
      </c>
      <c r="S42" s="241">
        <f t="shared" ca="1" si="22"/>
        <v>88610</v>
      </c>
      <c r="T42" s="241">
        <f t="shared" ca="1" si="22"/>
        <v>88610</v>
      </c>
      <c r="U42" s="241">
        <f t="shared" ca="1" si="22"/>
        <v>88610</v>
      </c>
      <c r="V42" s="241">
        <f t="shared" ca="1" si="22"/>
        <v>88610</v>
      </c>
      <c r="W42" s="241">
        <f t="shared" ca="1" si="22"/>
        <v>88610</v>
      </c>
      <c r="X42" s="241">
        <f t="shared" ca="1" si="22"/>
        <v>88610</v>
      </c>
    </row>
    <row r="44" spans="1:24" x14ac:dyDescent="0.35">
      <c r="A44" t="s">
        <v>447</v>
      </c>
    </row>
  </sheetData>
  <sheetProtection objects="1"/>
  <mergeCells count="6">
    <mergeCell ref="B10:N10"/>
    <mergeCell ref="O10:V10"/>
    <mergeCell ref="B29:B31"/>
    <mergeCell ref="C29:C31"/>
    <mergeCell ref="E29:N29"/>
    <mergeCell ref="O29:X29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57" fitToWidth="2" orientation="landscape" horizontalDpi="300" verticalDpi="300" r:id="rId1"/>
  <headerFooter alignWithMargins="0"/>
  <colBreaks count="1" manualBreakCount="1">
    <brk id="14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6">
    <pageSetUpPr autoPageBreaks="0" fitToPage="1"/>
  </sheetPr>
  <dimension ref="A1:V37"/>
  <sheetViews>
    <sheetView showGridLines="0" showZeros="0" view="pageBreakPreview" zoomScale="75" zoomScaleNormal="87" workbookViewId="0"/>
  </sheetViews>
  <sheetFormatPr defaultColWidth="12.54296875" defaultRowHeight="15.5" x14ac:dyDescent="0.35"/>
  <cols>
    <col min="1" max="1" width="56.1796875" style="34" customWidth="1"/>
    <col min="2" max="7" width="18" style="34" bestFit="1" customWidth="1"/>
    <col min="8" max="21" width="17.54296875" style="34" bestFit="1" customWidth="1"/>
    <col min="22" max="22" width="20.7265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717</v>
      </c>
      <c r="B4" s="77"/>
      <c r="C4" s="77"/>
      <c r="D4" s="77"/>
      <c r="E4" s="77"/>
      <c r="F4" s="77"/>
      <c r="G4" s="77"/>
      <c r="H4" s="77"/>
      <c r="I4" s="77"/>
      <c r="J4" s="77"/>
      <c r="K4" s="77"/>
    </row>
    <row r="6" spans="1:22" ht="18" x14ac:dyDescent="0.4">
      <c r="A6" s="94" t="s">
        <v>211</v>
      </c>
      <c r="B6" s="77"/>
      <c r="C6" s="77"/>
      <c r="D6" s="77"/>
      <c r="E6" s="77"/>
      <c r="F6" s="77"/>
      <c r="G6" s="77"/>
      <c r="H6" s="77"/>
      <c r="I6" s="77"/>
      <c r="J6" s="77"/>
      <c r="K6" s="77"/>
    </row>
    <row r="7" spans="1:22" x14ac:dyDescent="0.3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</row>
    <row r="8" spans="1:22" x14ac:dyDescent="0.35">
      <c r="A8" s="313" t="s">
        <v>202</v>
      </c>
      <c r="B8" s="312"/>
      <c r="C8" s="33"/>
      <c r="D8" s="33"/>
      <c r="E8" s="33"/>
      <c r="F8" s="33"/>
      <c r="G8" s="33"/>
      <c r="H8" s="33"/>
      <c r="I8" s="33"/>
      <c r="J8" s="33"/>
      <c r="K8" s="33"/>
    </row>
    <row r="9" spans="1:22" ht="16" thickBot="1" x14ac:dyDescent="0.4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22" x14ac:dyDescent="0.35">
      <c r="A10" s="478" t="s">
        <v>196</v>
      </c>
      <c r="B10" s="95" t="s">
        <v>398</v>
      </c>
      <c r="C10" s="79" t="s">
        <v>398</v>
      </c>
      <c r="D10" s="79" t="s">
        <v>398</v>
      </c>
      <c r="E10" s="79" t="s">
        <v>398</v>
      </c>
      <c r="F10" s="79" t="s">
        <v>398</v>
      </c>
      <c r="G10" s="79" t="s">
        <v>398</v>
      </c>
      <c r="H10" s="79" t="s">
        <v>398</v>
      </c>
      <c r="I10" s="79" t="s">
        <v>398</v>
      </c>
      <c r="J10" s="79" t="s">
        <v>398</v>
      </c>
      <c r="K10" s="79" t="s">
        <v>398</v>
      </c>
      <c r="L10" s="79" t="s">
        <v>398</v>
      </c>
      <c r="M10" s="79" t="s">
        <v>398</v>
      </c>
      <c r="N10" s="79" t="s">
        <v>398</v>
      </c>
      <c r="O10" s="79" t="s">
        <v>398</v>
      </c>
      <c r="P10" s="79" t="s">
        <v>398</v>
      </c>
      <c r="Q10" s="79" t="s">
        <v>398</v>
      </c>
      <c r="R10" s="79" t="s">
        <v>398</v>
      </c>
      <c r="S10" s="79" t="s">
        <v>398</v>
      </c>
      <c r="T10" s="79" t="s">
        <v>398</v>
      </c>
      <c r="U10" s="79" t="s">
        <v>398</v>
      </c>
      <c r="V10" s="79" t="s">
        <v>59</v>
      </c>
    </row>
    <row r="11" spans="1:22" ht="16" thickBot="1" x14ac:dyDescent="0.4">
      <c r="A11" s="41"/>
      <c r="B11" s="99">
        <v>1</v>
      </c>
      <c r="C11" s="80">
        <v>2</v>
      </c>
      <c r="D11" s="80">
        <v>3</v>
      </c>
      <c r="E11" s="80">
        <v>4</v>
      </c>
      <c r="F11" s="80">
        <v>5</v>
      </c>
      <c r="G11" s="80">
        <v>6</v>
      </c>
      <c r="H11" s="80">
        <v>7</v>
      </c>
      <c r="I11" s="80">
        <v>8</v>
      </c>
      <c r="J11" s="80">
        <v>9</v>
      </c>
      <c r="K11" s="80">
        <v>10</v>
      </c>
      <c r="L11" s="80">
        <v>11</v>
      </c>
      <c r="M11" s="80">
        <v>12</v>
      </c>
      <c r="N11" s="80">
        <v>13</v>
      </c>
      <c r="O11" s="80">
        <v>14</v>
      </c>
      <c r="P11" s="80">
        <v>15</v>
      </c>
      <c r="Q11" s="80">
        <v>16</v>
      </c>
      <c r="R11" s="80">
        <v>17</v>
      </c>
      <c r="S11" s="80">
        <v>18</v>
      </c>
      <c r="T11" s="80">
        <v>19</v>
      </c>
      <c r="U11" s="80">
        <v>20</v>
      </c>
      <c r="V11" s="80"/>
    </row>
    <row r="12" spans="1:22" x14ac:dyDescent="0.3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x14ac:dyDescent="0.35">
      <c r="A13" s="119" t="s">
        <v>212</v>
      </c>
      <c r="B13" s="157">
        <f>SUM(B15:B17)</f>
        <v>24513767.029999997</v>
      </c>
      <c r="C13" s="157">
        <f t="shared" ref="C13:K13" si="0">SUM(C15:C17)</f>
        <v>25125499.16</v>
      </c>
      <c r="D13" s="157">
        <f t="shared" si="0"/>
        <v>25373825.229999997</v>
      </c>
      <c r="E13" s="157">
        <f t="shared" si="0"/>
        <v>25622046.950000003</v>
      </c>
      <c r="F13" s="157">
        <f t="shared" si="0"/>
        <v>26363264.25</v>
      </c>
      <c r="G13" s="157">
        <f t="shared" si="0"/>
        <v>27082105.069999997</v>
      </c>
      <c r="H13" s="157">
        <f t="shared" si="0"/>
        <v>27784281.559999999</v>
      </c>
      <c r="I13" s="157">
        <f t="shared" si="0"/>
        <v>28512322.390000001</v>
      </c>
      <c r="J13" s="157">
        <f t="shared" si="0"/>
        <v>29120009.660000004</v>
      </c>
      <c r="K13" s="157">
        <f t="shared" si="0"/>
        <v>29120009.660000004</v>
      </c>
      <c r="L13" s="157">
        <f t="shared" ref="L13:U13" si="1">SUM(L15:L17)</f>
        <v>29120009.660000004</v>
      </c>
      <c r="M13" s="157">
        <f t="shared" si="1"/>
        <v>29120009.660000004</v>
      </c>
      <c r="N13" s="157">
        <f t="shared" si="1"/>
        <v>29120009.660000004</v>
      </c>
      <c r="O13" s="157">
        <f t="shared" si="1"/>
        <v>29120009.660000004</v>
      </c>
      <c r="P13" s="157">
        <f t="shared" si="1"/>
        <v>29120009.660000004</v>
      </c>
      <c r="Q13" s="157">
        <f t="shared" si="1"/>
        <v>29120009.660000004</v>
      </c>
      <c r="R13" s="157">
        <f t="shared" si="1"/>
        <v>29120009.660000004</v>
      </c>
      <c r="S13" s="157">
        <f t="shared" si="1"/>
        <v>29120009.660000004</v>
      </c>
      <c r="T13" s="157">
        <f t="shared" si="1"/>
        <v>29120009.660000004</v>
      </c>
      <c r="U13" s="157">
        <f t="shared" si="1"/>
        <v>29120009.660000004</v>
      </c>
      <c r="V13" s="157">
        <f>SUM(B13:U13)</f>
        <v>559817227.56000018</v>
      </c>
    </row>
    <row r="14" spans="1:22" x14ac:dyDescent="0.35">
      <c r="A14" s="33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</row>
    <row r="15" spans="1:22" x14ac:dyDescent="0.35">
      <c r="A15" s="44" t="s">
        <v>213</v>
      </c>
      <c r="B15" s="159">
        <f>'18'!$J$12</f>
        <v>14977412.290000001</v>
      </c>
      <c r="C15" s="159">
        <f>'18'!$J$13</f>
        <v>15121854.370000001</v>
      </c>
      <c r="D15" s="159">
        <f>'18'!$J$14</f>
        <v>15245590.4</v>
      </c>
      <c r="E15" s="159">
        <f>'18'!$J$15</f>
        <v>15362895.24</v>
      </c>
      <c r="F15" s="159">
        <f>'18'!$J$16</f>
        <v>15730547.890000001</v>
      </c>
      <c r="G15" s="159">
        <f>'18'!$J$17</f>
        <v>16094960.049999999</v>
      </c>
      <c r="H15" s="159">
        <f>'18'!$J$18</f>
        <v>16452941.040000001</v>
      </c>
      <c r="I15" s="159">
        <f>'18'!$J$19</f>
        <v>16817353.220000003</v>
      </c>
      <c r="J15" s="159">
        <f>'18'!$J$20</f>
        <v>17161709.040000003</v>
      </c>
      <c r="K15" s="159">
        <f>'18'!$J$21</f>
        <v>17161709.040000003</v>
      </c>
      <c r="L15" s="159">
        <f>'18'!$J$22</f>
        <v>17161709.040000003</v>
      </c>
      <c r="M15" s="159">
        <f>'18'!$J$23</f>
        <v>17161709.040000003</v>
      </c>
      <c r="N15" s="159">
        <f>'18'!$J$24</f>
        <v>17161709.040000003</v>
      </c>
      <c r="O15" s="159">
        <f>'18'!$J$25</f>
        <v>17161709.040000003</v>
      </c>
      <c r="P15" s="159">
        <f>'18'!$J$26</f>
        <v>17161709.040000003</v>
      </c>
      <c r="Q15" s="159">
        <f>'18'!$J$27</f>
        <v>17161709.040000003</v>
      </c>
      <c r="R15" s="159">
        <f>'18'!$J$28</f>
        <v>17161709.040000003</v>
      </c>
      <c r="S15" s="159">
        <f>'18'!$J$29</f>
        <v>17161709.040000003</v>
      </c>
      <c r="T15" s="159">
        <f>'18'!$J$30</f>
        <v>17161709.040000003</v>
      </c>
      <c r="U15" s="159">
        <f>'18'!$J$31</f>
        <v>17161709.040000003</v>
      </c>
      <c r="V15" s="159">
        <f t="shared" ref="V15:V35" si="2">SUM(B15:U15)</f>
        <v>331744062.98000002</v>
      </c>
    </row>
    <row r="16" spans="1:22" x14ac:dyDescent="0.35">
      <c r="A16" s="44" t="s">
        <v>214</v>
      </c>
      <c r="B16" s="159">
        <f>'20'!$J$12</f>
        <v>8283404</v>
      </c>
      <c r="C16" s="159">
        <f>'20'!$J$13</f>
        <v>8747636</v>
      </c>
      <c r="D16" s="159">
        <f>'20'!$J$14</f>
        <v>8869168</v>
      </c>
      <c r="E16" s="159">
        <f>'20'!$J$15</f>
        <v>8996772</v>
      </c>
      <c r="F16" s="159">
        <f>'20'!$J$16</f>
        <v>9352720</v>
      </c>
      <c r="G16" s="159">
        <f>'20'!$J$17</f>
        <v>9689532</v>
      </c>
      <c r="H16" s="159">
        <f>'20'!$J$18</f>
        <v>10015856</v>
      </c>
      <c r="I16" s="159">
        <f>'20'!$J$19</f>
        <v>10361868</v>
      </c>
      <c r="J16" s="159">
        <f>'20'!$J$20</f>
        <v>10608796</v>
      </c>
      <c r="K16" s="159">
        <f>'20'!$J$21</f>
        <v>10608796</v>
      </c>
      <c r="L16" s="159">
        <f>'20'!$J$22</f>
        <v>10608796</v>
      </c>
      <c r="M16" s="159">
        <f>'20'!$J$23</f>
        <v>10608796</v>
      </c>
      <c r="N16" s="159">
        <f>'20'!$J$24</f>
        <v>10608796</v>
      </c>
      <c r="O16" s="159">
        <f>'20'!$J$25</f>
        <v>10608796</v>
      </c>
      <c r="P16" s="159">
        <f>'20'!$J$26</f>
        <v>10608796</v>
      </c>
      <c r="Q16" s="159">
        <f>'20'!$J$27</f>
        <v>10608796</v>
      </c>
      <c r="R16" s="159">
        <f>'20'!$J$28</f>
        <v>10608796</v>
      </c>
      <c r="S16" s="159">
        <f>'20'!$J$29</f>
        <v>10608796</v>
      </c>
      <c r="T16" s="159">
        <f>'20'!$J$30</f>
        <v>10608796</v>
      </c>
      <c r="U16" s="159">
        <f>'20'!$J$31</f>
        <v>10608796</v>
      </c>
      <c r="V16" s="159">
        <f t="shared" si="2"/>
        <v>201622508</v>
      </c>
    </row>
    <row r="17" spans="1:22" x14ac:dyDescent="0.35">
      <c r="A17" s="44" t="s">
        <v>215</v>
      </c>
      <c r="B17" s="159">
        <f>'22'!$J$12</f>
        <v>1252950.74</v>
      </c>
      <c r="C17" s="159">
        <f>'22'!$J$13</f>
        <v>1256008.79</v>
      </c>
      <c r="D17" s="159">
        <f>'22'!$J$14</f>
        <v>1259066.83</v>
      </c>
      <c r="E17" s="159">
        <f>'22'!$J$15</f>
        <v>1262379.71</v>
      </c>
      <c r="F17" s="159">
        <f>'22'!$J$16</f>
        <v>1279996.3599999999</v>
      </c>
      <c r="G17" s="159">
        <f>'22'!$J$17</f>
        <v>1297613.02</v>
      </c>
      <c r="H17" s="159">
        <f>'22'!$J$18</f>
        <v>1315484.5199999998</v>
      </c>
      <c r="I17" s="159">
        <f>'22'!$J$19</f>
        <v>1333101.17</v>
      </c>
      <c r="J17" s="159">
        <f>'22'!$J$20</f>
        <v>1349504.6199999999</v>
      </c>
      <c r="K17" s="159">
        <f>'22'!$J$21</f>
        <v>1349504.6199999999</v>
      </c>
      <c r="L17" s="159">
        <f>'22'!$J$22</f>
        <v>1349504.6199999999</v>
      </c>
      <c r="M17" s="159">
        <f>'22'!$J$23</f>
        <v>1349504.6199999999</v>
      </c>
      <c r="N17" s="159">
        <f>'22'!$J$24</f>
        <v>1349504.6199999999</v>
      </c>
      <c r="O17" s="159">
        <f>'22'!$J$25</f>
        <v>1349504.6199999999</v>
      </c>
      <c r="P17" s="159">
        <f>'22'!$J$26</f>
        <v>1349504.6199999999</v>
      </c>
      <c r="Q17" s="159">
        <f>'22'!$J$27</f>
        <v>1349504.6199999999</v>
      </c>
      <c r="R17" s="159">
        <f>'22'!$J$28</f>
        <v>1349504.6199999999</v>
      </c>
      <c r="S17" s="159">
        <f>'22'!$J$29</f>
        <v>1349504.6199999999</v>
      </c>
      <c r="T17" s="159">
        <f>'22'!$J$30</f>
        <v>1349504.6199999999</v>
      </c>
      <c r="U17" s="159">
        <f>'22'!$J$31</f>
        <v>1349504.6199999999</v>
      </c>
      <c r="V17" s="159">
        <f t="shared" si="2"/>
        <v>26450656.580000002</v>
      </c>
    </row>
    <row r="18" spans="1:22" x14ac:dyDescent="0.35">
      <c r="A18" s="33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</row>
    <row r="19" spans="1:22" x14ac:dyDescent="0.35">
      <c r="A19" s="119" t="s">
        <v>716</v>
      </c>
      <c r="B19" s="157">
        <f t="shared" ref="B19:K19" ca="1" si="3">SUM(B21:B25)</f>
        <v>54544711.599999994</v>
      </c>
      <c r="C19" s="157">
        <f t="shared" ca="1" si="3"/>
        <v>56287778.600000009</v>
      </c>
      <c r="D19" s="157">
        <f t="shared" ca="1" si="3"/>
        <v>57279624.100000009</v>
      </c>
      <c r="E19" s="157">
        <f t="shared" ca="1" si="3"/>
        <v>58572358.600000009</v>
      </c>
      <c r="F19" s="157">
        <f t="shared" ca="1" si="3"/>
        <v>59981714.100000009</v>
      </c>
      <c r="G19" s="157">
        <f t="shared" ca="1" si="3"/>
        <v>55742633.100000009</v>
      </c>
      <c r="H19" s="157">
        <f t="shared" ca="1" si="3"/>
        <v>57072578.600000009</v>
      </c>
      <c r="I19" s="157">
        <f t="shared" ca="1" si="3"/>
        <v>58415146.600000009</v>
      </c>
      <c r="J19" s="157">
        <f t="shared" ca="1" si="3"/>
        <v>59379752.480000004</v>
      </c>
      <c r="K19" s="157">
        <f t="shared" ca="1" si="3"/>
        <v>59379752.480000004</v>
      </c>
      <c r="L19" s="157">
        <f t="shared" ref="L19:U19" ca="1" si="4">SUM(L21:L25)</f>
        <v>57666475.480000004</v>
      </c>
      <c r="M19" s="157">
        <f t="shared" ca="1" si="4"/>
        <v>56129334.480000004</v>
      </c>
      <c r="N19" s="157">
        <f t="shared" ca="1" si="4"/>
        <v>55180107.480000004</v>
      </c>
      <c r="O19" s="157">
        <f t="shared" ca="1" si="4"/>
        <v>54089744.480000004</v>
      </c>
      <c r="P19" s="157">
        <f t="shared" ca="1" si="4"/>
        <v>53160520.480000004</v>
      </c>
      <c r="Q19" s="157">
        <f t="shared" ca="1" si="4"/>
        <v>52502217.480000004</v>
      </c>
      <c r="R19" s="157">
        <f t="shared" ca="1" si="4"/>
        <v>51890193.480000004</v>
      </c>
      <c r="S19" s="157">
        <f t="shared" ca="1" si="4"/>
        <v>51299837.480000004</v>
      </c>
      <c r="T19" s="157">
        <f t="shared" ca="1" si="4"/>
        <v>50743837.480000004</v>
      </c>
      <c r="U19" s="157">
        <f t="shared" ca="1" si="4"/>
        <v>51393637.480000004</v>
      </c>
      <c r="V19" s="157">
        <f t="shared" ca="1" si="2"/>
        <v>1110711956.0600002</v>
      </c>
    </row>
    <row r="20" spans="1:22" x14ac:dyDescent="0.35">
      <c r="A20" s="33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</row>
    <row r="21" spans="1:22" x14ac:dyDescent="0.35">
      <c r="A21" s="44" t="s">
        <v>216</v>
      </c>
      <c r="B21" s="159">
        <f>'24'!$J$12</f>
        <v>40614227.099999994</v>
      </c>
      <c r="C21" s="159">
        <f>'24'!$J$13</f>
        <v>40614227.100000009</v>
      </c>
      <c r="D21" s="159">
        <f>'24'!$J$14</f>
        <v>40614227.100000009</v>
      </c>
      <c r="E21" s="159">
        <f>'24'!$J$15</f>
        <v>40614227.100000009</v>
      </c>
      <c r="F21" s="159">
        <f>'24'!$J$16</f>
        <v>40614227.100000009</v>
      </c>
      <c r="G21" s="159">
        <f>'24'!$J$17</f>
        <v>40614227.100000009</v>
      </c>
      <c r="H21" s="159">
        <f>'24'!$J$18</f>
        <v>40614227.100000009</v>
      </c>
      <c r="I21" s="159">
        <f>'24'!$J$19</f>
        <v>40614227.100000009</v>
      </c>
      <c r="J21" s="159">
        <f>'24'!$J$20</f>
        <v>40329214.980000004</v>
      </c>
      <c r="K21" s="159">
        <f>'24'!$J$21</f>
        <v>40329214.980000004</v>
      </c>
      <c r="L21" s="159">
        <f>'24'!$J$20</f>
        <v>40329214.980000004</v>
      </c>
      <c r="M21" s="159">
        <f>'24'!$J$21</f>
        <v>40329214.980000004</v>
      </c>
      <c r="N21" s="159">
        <f>'24'!$J$20</f>
        <v>40329214.980000004</v>
      </c>
      <c r="O21" s="159">
        <f>'24'!$J$21</f>
        <v>40329214.980000004</v>
      </c>
      <c r="P21" s="159">
        <f>'24'!$J$20</f>
        <v>40329214.980000004</v>
      </c>
      <c r="Q21" s="159">
        <f>'24'!$J$21</f>
        <v>40329214.980000004</v>
      </c>
      <c r="R21" s="159">
        <f>'24'!$J$20</f>
        <v>40329214.980000004</v>
      </c>
      <c r="S21" s="159">
        <f>'24'!$J$21</f>
        <v>40329214.980000004</v>
      </c>
      <c r="T21" s="159">
        <f>'24'!$J$20</f>
        <v>40329214.980000004</v>
      </c>
      <c r="U21" s="159">
        <f>'24'!$J$21</f>
        <v>40329214.980000004</v>
      </c>
      <c r="V21" s="159">
        <f t="shared" si="2"/>
        <v>808864396.5600003</v>
      </c>
    </row>
    <row r="22" spans="1:22" x14ac:dyDescent="0.35">
      <c r="A22" s="44" t="s">
        <v>217</v>
      </c>
      <c r="B22" s="159">
        <f>'16'!B33+'16A'!B13</f>
        <v>6470361.5</v>
      </c>
      <c r="C22" s="159">
        <f>'16'!C33+'16A'!C13</f>
        <v>6491887.5</v>
      </c>
      <c r="D22" s="159">
        <f>'16'!D33+'16A'!D13</f>
        <v>6510506</v>
      </c>
      <c r="E22" s="159">
        <f>'16'!E33+'16A'!E13</f>
        <v>6528477.5</v>
      </c>
      <c r="F22" s="159">
        <f>'16'!F33+'16A'!F13</f>
        <v>6551509</v>
      </c>
      <c r="G22" s="159">
        <f>'16'!G33+'16A'!G13</f>
        <v>6574221</v>
      </c>
      <c r="H22" s="159">
        <f>'16'!H33+'16A'!H13</f>
        <v>6596722.5</v>
      </c>
      <c r="I22" s="159">
        <f>'16'!I33+'16A'!I13</f>
        <v>6619434.5</v>
      </c>
      <c r="J22" s="159">
        <f>'16'!J33+'16A'!J13</f>
        <v>6641312.5</v>
      </c>
      <c r="K22" s="159">
        <f>'16'!K33+'16A'!K13</f>
        <v>6641312.5</v>
      </c>
      <c r="L22" s="159">
        <f>'16'!L33+'16A'!L13</f>
        <v>6641312.5</v>
      </c>
      <c r="M22" s="159">
        <f>'16'!M33+'16A'!M13</f>
        <v>6641312.5</v>
      </c>
      <c r="N22" s="159">
        <f>'16'!N33+'16A'!N13</f>
        <v>6641312.5</v>
      </c>
      <c r="O22" s="159">
        <f>'16'!O33+'16A'!O13</f>
        <v>6641312.5</v>
      </c>
      <c r="P22" s="159">
        <f>'16'!P33+'16A'!P13</f>
        <v>6641312.5</v>
      </c>
      <c r="Q22" s="159">
        <f>'16'!Q33+'16A'!Q13</f>
        <v>6641312.5</v>
      </c>
      <c r="R22" s="159">
        <f>'16'!R33+'16A'!R13</f>
        <v>6641312.5</v>
      </c>
      <c r="S22" s="159">
        <f>'16'!S33+'16A'!S13</f>
        <v>6641312.5</v>
      </c>
      <c r="T22" s="159">
        <f>'16'!T33+'16A'!T13</f>
        <v>6641312.5</v>
      </c>
      <c r="U22" s="159">
        <f>'16'!U33+'16A'!U13</f>
        <v>6641312.5</v>
      </c>
      <c r="V22" s="159">
        <f t="shared" si="2"/>
        <v>132038869.5</v>
      </c>
    </row>
    <row r="23" spans="1:22" x14ac:dyDescent="0.35">
      <c r="A23" s="44" t="s">
        <v>218</v>
      </c>
      <c r="B23" s="159">
        <f>'25'!$J$12</f>
        <v>6605936</v>
      </c>
      <c r="C23" s="159">
        <f>'25'!$J$13</f>
        <v>8290536</v>
      </c>
      <c r="D23" s="159">
        <f>'25'!$J$14</f>
        <v>9226636</v>
      </c>
      <c r="E23" s="159">
        <f>'25'!$J$15</f>
        <v>10455336</v>
      </c>
      <c r="F23" s="159">
        <f>'25'!$J$16</f>
        <v>11776236</v>
      </c>
      <c r="G23" s="159">
        <f>'25'!$J$17</f>
        <v>7469440</v>
      </c>
      <c r="H23" s="159">
        <f>'25'!$J$18</f>
        <v>8731460</v>
      </c>
      <c r="I23" s="159">
        <f>'25'!$J$19</f>
        <v>10007560</v>
      </c>
      <c r="J23" s="159">
        <f>'25'!$J$20</f>
        <v>11235300</v>
      </c>
      <c r="K23" s="159">
        <f>'25'!$J$21</f>
        <v>11235300</v>
      </c>
      <c r="L23" s="159">
        <f>'25'!$J$22</f>
        <v>10287600</v>
      </c>
      <c r="M23" s="159">
        <f>'25'!$J$23</f>
        <v>8787400</v>
      </c>
      <c r="N23" s="159">
        <f>'25'!$J$24</f>
        <v>7875300</v>
      </c>
      <c r="O23" s="159">
        <f>'25'!$J$25</f>
        <v>6831000</v>
      </c>
      <c r="P23" s="159">
        <f>'25'!$J$26</f>
        <v>5967200</v>
      </c>
      <c r="Q23" s="159">
        <f>'25'!$J$27</f>
        <v>5353900</v>
      </c>
      <c r="R23" s="159">
        <f>'25'!$J$28</f>
        <v>4787300</v>
      </c>
      <c r="S23" s="159">
        <f>'25'!$J$29</f>
        <v>4240700</v>
      </c>
      <c r="T23" s="159">
        <f>'25'!$J$30</f>
        <v>3684700</v>
      </c>
      <c r="U23" s="159">
        <f>'25'!$J$31</f>
        <v>4334500</v>
      </c>
      <c r="V23" s="159">
        <f t="shared" si="2"/>
        <v>157183340</v>
      </c>
    </row>
    <row r="24" spans="1:22" x14ac:dyDescent="0.35">
      <c r="A24" s="44" t="s">
        <v>715</v>
      </c>
      <c r="B24" s="159">
        <f ca="1">'27'!E42</f>
        <v>142660</v>
      </c>
      <c r="C24" s="159">
        <f ca="1">'27'!F42</f>
        <v>142660</v>
      </c>
      <c r="D24" s="159">
        <f ca="1">'27'!G42</f>
        <v>142660</v>
      </c>
      <c r="E24" s="159">
        <f ca="1">'27'!H42</f>
        <v>142660</v>
      </c>
      <c r="F24" s="159">
        <f ca="1">'27'!I42</f>
        <v>162660</v>
      </c>
      <c r="G24" s="159">
        <f ca="1">'27'!J42</f>
        <v>162660</v>
      </c>
      <c r="H24" s="159">
        <f ca="1">'27'!K42</f>
        <v>162660</v>
      </c>
      <c r="I24" s="159">
        <f ca="1">'27'!L42</f>
        <v>162660</v>
      </c>
      <c r="J24" s="159">
        <f ca="1">'27'!M42</f>
        <v>162660</v>
      </c>
      <c r="K24" s="159">
        <f ca="1">'27'!N42</f>
        <v>162660</v>
      </c>
      <c r="L24" s="159">
        <f ca="1">'27'!O42</f>
        <v>108610</v>
      </c>
      <c r="M24" s="159">
        <f ca="1">'27'!P42</f>
        <v>108610</v>
      </c>
      <c r="N24" s="159">
        <f ca="1">'27'!Q42</f>
        <v>108610</v>
      </c>
      <c r="O24" s="159">
        <f ca="1">'27'!R42</f>
        <v>108610</v>
      </c>
      <c r="P24" s="159">
        <f ca="1">'27'!S42</f>
        <v>88610</v>
      </c>
      <c r="Q24" s="159">
        <f ca="1">'27'!T42</f>
        <v>88610</v>
      </c>
      <c r="R24" s="159">
        <f ca="1">'27'!U42</f>
        <v>88610</v>
      </c>
      <c r="S24" s="159">
        <f ca="1">'27'!V42</f>
        <v>88610</v>
      </c>
      <c r="T24" s="159">
        <f ca="1">'27'!W42</f>
        <v>88610</v>
      </c>
      <c r="U24" s="159">
        <f ca="1">'27'!X42</f>
        <v>88610</v>
      </c>
      <c r="V24" s="159">
        <f t="shared" ca="1" si="2"/>
        <v>2512700</v>
      </c>
    </row>
    <row r="25" spans="1:22" x14ac:dyDescent="0.35">
      <c r="A25" s="44" t="s">
        <v>714</v>
      </c>
      <c r="B25" s="159">
        <f ca="1">'26'!$J$12</f>
        <v>711527.00000000012</v>
      </c>
      <c r="C25" s="159">
        <f ca="1">'26'!$J$13</f>
        <v>748468.00000000012</v>
      </c>
      <c r="D25" s="159">
        <f ca="1">'26'!$J$14</f>
        <v>785595.00000000012</v>
      </c>
      <c r="E25" s="159">
        <f ca="1">'26'!$J$15</f>
        <v>831658.00000000012</v>
      </c>
      <c r="F25" s="159">
        <f ca="1">'26'!$J$16</f>
        <v>877082.00000000012</v>
      </c>
      <c r="G25" s="159">
        <f ca="1">'26'!$J$17</f>
        <v>922085.00000000012</v>
      </c>
      <c r="H25" s="159">
        <f ca="1">'26'!$J$18</f>
        <v>967509.00000000023</v>
      </c>
      <c r="I25" s="159">
        <f ca="1">'26'!$J$19</f>
        <v>1011265.0000000001</v>
      </c>
      <c r="J25" s="159">
        <f ca="1">'26'!$J$20</f>
        <v>1011265.0000000001</v>
      </c>
      <c r="K25" s="159">
        <f ca="1">'26'!$J$21</f>
        <v>1011265.0000000001</v>
      </c>
      <c r="L25" s="159">
        <f ca="1">'26'!$J$22</f>
        <v>299738</v>
      </c>
      <c r="M25" s="159">
        <f ca="1">'26'!$J$23</f>
        <v>262797</v>
      </c>
      <c r="N25" s="159">
        <f ca="1">'26'!$J$24</f>
        <v>225670</v>
      </c>
      <c r="O25" s="159">
        <f ca="1">'26'!$J$25</f>
        <v>179607</v>
      </c>
      <c r="P25" s="159">
        <f ca="1">'26'!$J$26</f>
        <v>134183</v>
      </c>
      <c r="Q25" s="159">
        <f ca="1">'26'!$J$27</f>
        <v>89180</v>
      </c>
      <c r="R25" s="159">
        <f ca="1">'26'!$J$28</f>
        <v>43756</v>
      </c>
      <c r="S25" s="159">
        <f ca="1">'26'!$J$29</f>
        <v>0</v>
      </c>
      <c r="T25" s="159">
        <f ca="1">'26'!$J$30</f>
        <v>0</v>
      </c>
      <c r="U25" s="159">
        <f ca="1">'26'!$J$31</f>
        <v>0</v>
      </c>
      <c r="V25" s="159">
        <f t="shared" ca="1" si="2"/>
        <v>10112650.000000002</v>
      </c>
    </row>
    <row r="26" spans="1:22" x14ac:dyDescent="0.35">
      <c r="A26" s="33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</row>
    <row r="27" spans="1:22" x14ac:dyDescent="0.35">
      <c r="A27" s="119" t="s">
        <v>758</v>
      </c>
      <c r="B27" s="157">
        <f>SUM(B29:B30)</f>
        <v>0</v>
      </c>
      <c r="C27" s="157">
        <f t="shared" ref="C27:U27" si="5">SUM(C29:C30)</f>
        <v>0</v>
      </c>
      <c r="D27" s="157">
        <f t="shared" si="5"/>
        <v>0</v>
      </c>
      <c r="E27" s="157">
        <f t="shared" si="5"/>
        <v>0</v>
      </c>
      <c r="F27" s="157">
        <f t="shared" si="5"/>
        <v>0</v>
      </c>
      <c r="G27" s="157">
        <f t="shared" si="5"/>
        <v>0</v>
      </c>
      <c r="H27" s="157">
        <f t="shared" si="5"/>
        <v>0</v>
      </c>
      <c r="I27" s="157">
        <f t="shared" si="5"/>
        <v>0</v>
      </c>
      <c r="J27" s="157">
        <f t="shared" si="5"/>
        <v>0</v>
      </c>
      <c r="K27" s="157">
        <f t="shared" si="5"/>
        <v>0</v>
      </c>
      <c r="L27" s="157">
        <f t="shared" si="5"/>
        <v>0</v>
      </c>
      <c r="M27" s="157">
        <f t="shared" si="5"/>
        <v>0</v>
      </c>
      <c r="N27" s="157">
        <f t="shared" si="5"/>
        <v>0</v>
      </c>
      <c r="O27" s="157">
        <f t="shared" si="5"/>
        <v>0</v>
      </c>
      <c r="P27" s="157">
        <f t="shared" si="5"/>
        <v>0</v>
      </c>
      <c r="Q27" s="157">
        <f t="shared" si="5"/>
        <v>0</v>
      </c>
      <c r="R27" s="157">
        <f t="shared" si="5"/>
        <v>0</v>
      </c>
      <c r="S27" s="157">
        <f t="shared" si="5"/>
        <v>0</v>
      </c>
      <c r="T27" s="157">
        <f t="shared" si="5"/>
        <v>0</v>
      </c>
      <c r="U27" s="157">
        <f t="shared" si="5"/>
        <v>0</v>
      </c>
      <c r="V27" s="157">
        <f>SUM(B27:U27)</f>
        <v>0</v>
      </c>
    </row>
    <row r="28" spans="1:22" x14ac:dyDescent="0.35">
      <c r="A28" s="33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</row>
    <row r="29" spans="1:22" x14ac:dyDescent="0.35">
      <c r="A29" s="44" t="s">
        <v>759</v>
      </c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159">
        <f>SUM(B29:U29)</f>
        <v>0</v>
      </c>
    </row>
    <row r="30" spans="1:22" x14ac:dyDescent="0.35">
      <c r="A30" s="44" t="s">
        <v>760</v>
      </c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L30" s="477"/>
      <c r="M30" s="477"/>
      <c r="N30" s="477"/>
      <c r="O30" s="477"/>
      <c r="P30" s="477"/>
      <c r="Q30" s="477"/>
      <c r="R30" s="477"/>
      <c r="S30" s="477"/>
      <c r="T30" s="477"/>
      <c r="U30" s="477"/>
      <c r="V30" s="159">
        <f>SUM(B30:U30)</f>
        <v>0</v>
      </c>
    </row>
    <row r="31" spans="1:22" x14ac:dyDescent="0.35">
      <c r="A31" s="33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</row>
    <row r="32" spans="1:22" x14ac:dyDescent="0.35">
      <c r="A32" s="119" t="s">
        <v>761</v>
      </c>
      <c r="B32" s="157">
        <f ca="1">B13+B19+B27</f>
        <v>79058478.629999995</v>
      </c>
      <c r="C32" s="157">
        <f t="shared" ref="C32:U32" ca="1" si="6">C13+C19+C27</f>
        <v>81413277.760000005</v>
      </c>
      <c r="D32" s="157">
        <f t="shared" ca="1" si="6"/>
        <v>82653449.330000013</v>
      </c>
      <c r="E32" s="157">
        <f t="shared" ca="1" si="6"/>
        <v>84194405.550000012</v>
      </c>
      <c r="F32" s="157">
        <f t="shared" ca="1" si="6"/>
        <v>86344978.350000009</v>
      </c>
      <c r="G32" s="157">
        <f t="shared" ca="1" si="6"/>
        <v>82824738.170000002</v>
      </c>
      <c r="H32" s="157">
        <f t="shared" ca="1" si="6"/>
        <v>84856860.160000011</v>
      </c>
      <c r="I32" s="157">
        <f t="shared" ca="1" si="6"/>
        <v>86927468.99000001</v>
      </c>
      <c r="J32" s="157">
        <f t="shared" ca="1" si="6"/>
        <v>88499762.140000015</v>
      </c>
      <c r="K32" s="157">
        <f t="shared" ca="1" si="6"/>
        <v>88499762.140000015</v>
      </c>
      <c r="L32" s="157">
        <f t="shared" ca="1" si="6"/>
        <v>86786485.140000015</v>
      </c>
      <c r="M32" s="157">
        <f t="shared" ca="1" si="6"/>
        <v>85249344.140000015</v>
      </c>
      <c r="N32" s="157">
        <f t="shared" ca="1" si="6"/>
        <v>84300117.140000015</v>
      </c>
      <c r="O32" s="157">
        <f t="shared" ca="1" si="6"/>
        <v>83209754.140000015</v>
      </c>
      <c r="P32" s="157">
        <f t="shared" ca="1" si="6"/>
        <v>82280530.140000015</v>
      </c>
      <c r="Q32" s="157">
        <f t="shared" ca="1" si="6"/>
        <v>81622227.140000015</v>
      </c>
      <c r="R32" s="157">
        <f t="shared" ca="1" si="6"/>
        <v>81010203.140000015</v>
      </c>
      <c r="S32" s="157">
        <f t="shared" ca="1" si="6"/>
        <v>80419847.140000015</v>
      </c>
      <c r="T32" s="157">
        <f t="shared" ca="1" si="6"/>
        <v>79863847.140000015</v>
      </c>
      <c r="U32" s="157">
        <f t="shared" ca="1" si="6"/>
        <v>80513647.140000015</v>
      </c>
      <c r="V32" s="157">
        <f t="shared" ca="1" si="2"/>
        <v>1670529183.6200008</v>
      </c>
    </row>
    <row r="33" spans="1:22" x14ac:dyDescent="0.35"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</row>
    <row r="34" spans="1:22" x14ac:dyDescent="0.35">
      <c r="A34" s="119" t="s">
        <v>219</v>
      </c>
      <c r="B34" s="161">
        <f t="shared" ref="B34:U34" ca="1" si="7">B32-B35</f>
        <v>71598355.629999995</v>
      </c>
      <c r="C34" s="161">
        <f t="shared" ca="1" si="7"/>
        <v>72231613.760000005</v>
      </c>
      <c r="D34" s="161">
        <f t="shared" ca="1" si="7"/>
        <v>72498558.330000013</v>
      </c>
      <c r="E34" s="161">
        <f t="shared" ca="1" si="7"/>
        <v>72764751.550000012</v>
      </c>
      <c r="F34" s="161">
        <f t="shared" ca="1" si="7"/>
        <v>73529000.350000009</v>
      </c>
      <c r="G34" s="161">
        <f t="shared" ca="1" si="7"/>
        <v>74270553.170000002</v>
      </c>
      <c r="H34" s="161">
        <f t="shared" ca="1" si="7"/>
        <v>74995231.160000011</v>
      </c>
      <c r="I34" s="161">
        <f t="shared" ca="1" si="7"/>
        <v>75745983.99000001</v>
      </c>
      <c r="J34" s="161">
        <f t="shared" ca="1" si="7"/>
        <v>76090537.140000015</v>
      </c>
      <c r="K34" s="161">
        <f t="shared" ca="1" si="7"/>
        <v>76090537.140000015</v>
      </c>
      <c r="L34" s="161">
        <f t="shared" ca="1" si="7"/>
        <v>76090537.140000015</v>
      </c>
      <c r="M34" s="161">
        <f t="shared" ca="1" si="7"/>
        <v>76090537.140000015</v>
      </c>
      <c r="N34" s="161">
        <f t="shared" ca="1" si="7"/>
        <v>76090537.140000015</v>
      </c>
      <c r="O34" s="161">
        <f t="shared" ca="1" si="7"/>
        <v>76090537.140000015</v>
      </c>
      <c r="P34" s="161">
        <f t="shared" ca="1" si="7"/>
        <v>76090537.140000015</v>
      </c>
      <c r="Q34" s="161">
        <f t="shared" ca="1" si="7"/>
        <v>76090537.140000015</v>
      </c>
      <c r="R34" s="161">
        <f t="shared" ca="1" si="7"/>
        <v>76090537.140000015</v>
      </c>
      <c r="S34" s="161">
        <f t="shared" ca="1" si="7"/>
        <v>76090537.140000015</v>
      </c>
      <c r="T34" s="161">
        <f t="shared" ca="1" si="7"/>
        <v>76090537.140000015</v>
      </c>
      <c r="U34" s="161">
        <f t="shared" ca="1" si="7"/>
        <v>76090537.140000015</v>
      </c>
      <c r="V34" s="161">
        <f t="shared" ca="1" si="2"/>
        <v>1500720493.6200006</v>
      </c>
    </row>
    <row r="35" spans="1:22" x14ac:dyDescent="0.35">
      <c r="A35" s="119" t="s">
        <v>719</v>
      </c>
      <c r="B35" s="161">
        <f ca="1">SUM(B23:B25)</f>
        <v>7460123</v>
      </c>
      <c r="C35" s="161">
        <f t="shared" ref="C35:K35" ca="1" si="8">SUM(C23:C25)</f>
        <v>9181664</v>
      </c>
      <c r="D35" s="161">
        <f t="shared" ca="1" si="8"/>
        <v>10154891</v>
      </c>
      <c r="E35" s="161">
        <f t="shared" ca="1" si="8"/>
        <v>11429654</v>
      </c>
      <c r="F35" s="161">
        <f t="shared" ca="1" si="8"/>
        <v>12815978</v>
      </c>
      <c r="G35" s="161">
        <f t="shared" ca="1" si="8"/>
        <v>8554185</v>
      </c>
      <c r="H35" s="161">
        <f t="shared" ca="1" si="8"/>
        <v>9861629</v>
      </c>
      <c r="I35" s="161">
        <f t="shared" ca="1" si="8"/>
        <v>11181485</v>
      </c>
      <c r="J35" s="161">
        <f t="shared" ca="1" si="8"/>
        <v>12409225</v>
      </c>
      <c r="K35" s="161">
        <f t="shared" ca="1" si="8"/>
        <v>12409225</v>
      </c>
      <c r="L35" s="161">
        <f t="shared" ref="L35:U35" ca="1" si="9">SUM(L23:L25)</f>
        <v>10695948</v>
      </c>
      <c r="M35" s="161">
        <f t="shared" ca="1" si="9"/>
        <v>9158807</v>
      </c>
      <c r="N35" s="161">
        <f t="shared" ca="1" si="9"/>
        <v>8209580</v>
      </c>
      <c r="O35" s="161">
        <f t="shared" ca="1" si="9"/>
        <v>7119217</v>
      </c>
      <c r="P35" s="161">
        <f t="shared" ca="1" si="9"/>
        <v>6189993</v>
      </c>
      <c r="Q35" s="161">
        <f t="shared" ca="1" si="9"/>
        <v>5531690</v>
      </c>
      <c r="R35" s="161">
        <f t="shared" ca="1" si="9"/>
        <v>4919666</v>
      </c>
      <c r="S35" s="161">
        <f t="shared" ca="1" si="9"/>
        <v>4329310</v>
      </c>
      <c r="T35" s="161">
        <f t="shared" ca="1" si="9"/>
        <v>3773310</v>
      </c>
      <c r="U35" s="161">
        <f t="shared" ca="1" si="9"/>
        <v>4423110</v>
      </c>
      <c r="V35" s="161">
        <f t="shared" ca="1" si="2"/>
        <v>169808690</v>
      </c>
    </row>
    <row r="37" spans="1:22" x14ac:dyDescent="0.35">
      <c r="A37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51" fitToWidth="2" orientation="landscape" horizontalDpi="300" verticalDpi="300" r:id="rId1"/>
  <headerFooter alignWithMargins="0"/>
  <colBreaks count="1" manualBreakCount="1">
    <brk id="11" max="1048575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7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3" width="9.81640625" style="34" bestFit="1" customWidth="1"/>
    <col min="4" max="4" width="8.7265625" style="34" bestFit="1" customWidth="1"/>
    <col min="5" max="6" width="9.81640625" style="34" bestFit="1" customWidth="1"/>
    <col min="7" max="7" width="8.7265625" style="34" bestFit="1" customWidth="1"/>
    <col min="8" max="8" width="9.81640625" style="34" bestFit="1" customWidth="1"/>
    <col min="9" max="9" width="8.7265625" style="34" bestFit="1" customWidth="1"/>
    <col min="10" max="10" width="9.81640625" style="34" bestFit="1" customWidth="1"/>
    <col min="11" max="15" width="5.81640625" style="34" bestFit="1" customWidth="1"/>
    <col min="16" max="21" width="8.7265625" style="34" bestFit="1" customWidth="1"/>
    <col min="22" max="22" width="5.81640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245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&amp;TECNOLOGIAS!$A$7</f>
        <v>VEÍCULO TIPO Micro Ônibus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17" t="s">
        <v>223</v>
      </c>
      <c r="B13" s="655">
        <f>'4A'!B19</f>
        <v>1162000</v>
      </c>
      <c r="C13" s="655">
        <f>'4A'!C19</f>
        <v>1079000</v>
      </c>
      <c r="D13" s="655">
        <f>'4A'!D19</f>
        <v>996000</v>
      </c>
      <c r="E13" s="655">
        <f>'4A'!E19</f>
        <v>1162000</v>
      </c>
      <c r="F13" s="655">
        <f>'4A'!F19</f>
        <v>1079000</v>
      </c>
      <c r="G13" s="655">
        <f>'4A'!G19</f>
        <v>996000</v>
      </c>
      <c r="H13" s="655">
        <f>'4A'!H19</f>
        <v>1162000</v>
      </c>
      <c r="I13" s="655">
        <f>'4A'!I19</f>
        <v>996000</v>
      </c>
      <c r="J13" s="655">
        <f>'4A'!J19</f>
        <v>1079000</v>
      </c>
      <c r="K13" s="655">
        <f>'4A'!K19</f>
        <v>0</v>
      </c>
      <c r="L13" s="655">
        <f>'4A'!L19</f>
        <v>0</v>
      </c>
      <c r="M13" s="655">
        <f>'4A'!M19</f>
        <v>0</v>
      </c>
      <c r="N13" s="655">
        <f>'4A'!N19</f>
        <v>0</v>
      </c>
      <c r="O13" s="655">
        <f>'4A'!O19</f>
        <v>0</v>
      </c>
      <c r="P13" s="655">
        <f>'4A'!P19</f>
        <v>581000</v>
      </c>
      <c r="Q13" s="655">
        <f>'4A'!Q19</f>
        <v>581000</v>
      </c>
      <c r="R13" s="655">
        <f>'4A'!R19</f>
        <v>581000</v>
      </c>
      <c r="S13" s="655">
        <f>'4A'!S19</f>
        <v>581000</v>
      </c>
      <c r="T13" s="655">
        <f>'4A'!T19</f>
        <v>664000</v>
      </c>
      <c r="U13" s="655">
        <f>'4A'!U19</f>
        <v>581000</v>
      </c>
      <c r="V13" s="655">
        <f>'4A'!V19</f>
        <v>0</v>
      </c>
    </row>
    <row r="14" spans="1:22" x14ac:dyDescent="0.35">
      <c r="A14" s="101" t="s">
        <v>224</v>
      </c>
      <c r="B14" s="656">
        <f>B13</f>
        <v>1162000</v>
      </c>
      <c r="C14" s="656">
        <f t="shared" ref="C14:V14" si="0">C13</f>
        <v>1079000</v>
      </c>
      <c r="D14" s="656">
        <f t="shared" si="0"/>
        <v>996000</v>
      </c>
      <c r="E14" s="656">
        <f t="shared" si="0"/>
        <v>1162000</v>
      </c>
      <c r="F14" s="656">
        <f t="shared" si="0"/>
        <v>1079000</v>
      </c>
      <c r="G14" s="656">
        <f t="shared" si="0"/>
        <v>996000</v>
      </c>
      <c r="H14" s="656">
        <f t="shared" si="0"/>
        <v>1162000</v>
      </c>
      <c r="I14" s="656">
        <f t="shared" si="0"/>
        <v>996000</v>
      </c>
      <c r="J14" s="656">
        <f t="shared" si="0"/>
        <v>1079000</v>
      </c>
      <c r="K14" s="656">
        <f t="shared" si="0"/>
        <v>0</v>
      </c>
      <c r="L14" s="656">
        <f t="shared" si="0"/>
        <v>0</v>
      </c>
      <c r="M14" s="656">
        <f t="shared" si="0"/>
        <v>0</v>
      </c>
      <c r="N14" s="656">
        <f t="shared" si="0"/>
        <v>0</v>
      </c>
      <c r="O14" s="656">
        <f t="shared" si="0"/>
        <v>0</v>
      </c>
      <c r="P14" s="656">
        <f t="shared" si="0"/>
        <v>581000</v>
      </c>
      <c r="Q14" s="656">
        <f t="shared" si="0"/>
        <v>581000</v>
      </c>
      <c r="R14" s="656">
        <f t="shared" si="0"/>
        <v>581000</v>
      </c>
      <c r="S14" s="656">
        <f t="shared" si="0"/>
        <v>581000</v>
      </c>
      <c r="T14" s="656">
        <f t="shared" si="0"/>
        <v>664000</v>
      </c>
      <c r="U14" s="656">
        <f t="shared" si="0"/>
        <v>581000</v>
      </c>
      <c r="V14" s="656">
        <f t="shared" si="0"/>
        <v>0</v>
      </c>
    </row>
    <row r="15" spans="1:22" x14ac:dyDescent="0.35">
      <c r="A15" s="101" t="s">
        <v>225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</row>
    <row r="16" spans="1:22" x14ac:dyDescent="0.35">
      <c r="A16" s="101" t="s">
        <v>226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68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8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2" width="11.1796875" style="34" bestFit="1" customWidth="1"/>
    <col min="3" max="3" width="5.81640625" style="34" bestFit="1" customWidth="1"/>
    <col min="4" max="4" width="9.81640625" style="34" bestFit="1" customWidth="1"/>
    <col min="5" max="5" width="5.81640625" style="34" bestFit="1" customWidth="1"/>
    <col min="6" max="6" width="9.81640625" style="34" bestFit="1" customWidth="1"/>
    <col min="7" max="7" width="5.81640625" style="34" bestFit="1" customWidth="1"/>
    <col min="8" max="8" width="9.81640625" style="34" bestFit="1" customWidth="1"/>
    <col min="9" max="13" width="5.81640625" style="34" bestFit="1" customWidth="1"/>
    <col min="14" max="14" width="8.7265625" style="34" bestFit="1" customWidth="1"/>
    <col min="15" max="15" width="5.81640625" style="34" bestFit="1" customWidth="1"/>
    <col min="16" max="16" width="8.7265625" style="34" bestFit="1" customWidth="1"/>
    <col min="17" max="17" width="5.81640625" style="34" bestFit="1" customWidth="1"/>
    <col min="18" max="18" width="9.81640625" style="34" bestFit="1" customWidth="1"/>
    <col min="19" max="19" width="5.81640625" style="34" bestFit="1" customWidth="1"/>
    <col min="20" max="20" width="9.81640625" style="34" bestFit="1" customWidth="1"/>
    <col min="21" max="22" width="5.81640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254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&amp;TECNOLOGIAS!$A$8</f>
        <v>VEÍCULO TIPO Básico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17" t="s">
        <v>223</v>
      </c>
      <c r="B13" s="655">
        <f>'4B'!B19</f>
        <v>27440000</v>
      </c>
      <c r="C13" s="655">
        <f>'4B'!C19</f>
        <v>0</v>
      </c>
      <c r="D13" s="655">
        <f>'4B'!D19</f>
        <v>3400000</v>
      </c>
      <c r="E13" s="655">
        <f>'4B'!E19</f>
        <v>0</v>
      </c>
      <c r="F13" s="655">
        <f>'4B'!F19</f>
        <v>3000000</v>
      </c>
      <c r="G13" s="655">
        <f>'4B'!G19</f>
        <v>0</v>
      </c>
      <c r="H13" s="655">
        <f>'4B'!H19</f>
        <v>1200000</v>
      </c>
      <c r="I13" s="655">
        <f>'4B'!I19</f>
        <v>0</v>
      </c>
      <c r="J13" s="655">
        <f>'4B'!J19</f>
        <v>0</v>
      </c>
      <c r="K13" s="655">
        <f>'4B'!K19</f>
        <v>0</v>
      </c>
      <c r="L13" s="655">
        <f>'4B'!L19</f>
        <v>0</v>
      </c>
      <c r="M13" s="655">
        <f>'4B'!M19</f>
        <v>0</v>
      </c>
      <c r="N13" s="655">
        <f>'4B'!N19</f>
        <v>400000</v>
      </c>
      <c r="O13" s="655">
        <f>'4B'!O19</f>
        <v>0</v>
      </c>
      <c r="P13" s="655">
        <f>'4B'!P19</f>
        <v>800000</v>
      </c>
      <c r="Q13" s="655">
        <f>'4B'!Q19</f>
        <v>0</v>
      </c>
      <c r="R13" s="655">
        <f>'4B'!R19</f>
        <v>1200000</v>
      </c>
      <c r="S13" s="655">
        <f>'4B'!S19</f>
        <v>0</v>
      </c>
      <c r="T13" s="655">
        <f>'4B'!T19</f>
        <v>1400000</v>
      </c>
      <c r="U13" s="655">
        <f>'4B'!U19</f>
        <v>0</v>
      </c>
      <c r="V13" s="655">
        <f>'4B'!V19</f>
        <v>0</v>
      </c>
    </row>
    <row r="14" spans="1:22" x14ac:dyDescent="0.35">
      <c r="A14" s="101" t="s">
        <v>224</v>
      </c>
      <c r="B14" s="656">
        <f>0.2*B13</f>
        <v>5488000</v>
      </c>
      <c r="C14" s="656">
        <f t="shared" ref="C14:U14" si="0">C13</f>
        <v>0</v>
      </c>
      <c r="D14" s="656">
        <f t="shared" si="0"/>
        <v>3400000</v>
      </c>
      <c r="E14" s="656">
        <f t="shared" si="0"/>
        <v>0</v>
      </c>
      <c r="F14" s="656">
        <f t="shared" si="0"/>
        <v>3000000</v>
      </c>
      <c r="G14" s="656">
        <f t="shared" si="0"/>
        <v>0</v>
      </c>
      <c r="H14" s="656">
        <f t="shared" si="0"/>
        <v>1200000</v>
      </c>
      <c r="I14" s="656">
        <f t="shared" si="0"/>
        <v>0</v>
      </c>
      <c r="J14" s="656">
        <f t="shared" si="0"/>
        <v>0</v>
      </c>
      <c r="K14" s="656">
        <f t="shared" si="0"/>
        <v>0</v>
      </c>
      <c r="L14" s="656">
        <f t="shared" si="0"/>
        <v>0</v>
      </c>
      <c r="M14" s="656">
        <f t="shared" si="0"/>
        <v>0</v>
      </c>
      <c r="N14" s="656">
        <f t="shared" si="0"/>
        <v>400000</v>
      </c>
      <c r="O14" s="656">
        <f t="shared" si="0"/>
        <v>0</v>
      </c>
      <c r="P14" s="656">
        <f t="shared" si="0"/>
        <v>800000</v>
      </c>
      <c r="Q14" s="656">
        <f t="shared" si="0"/>
        <v>0</v>
      </c>
      <c r="R14" s="656">
        <f t="shared" si="0"/>
        <v>1200000</v>
      </c>
      <c r="S14" s="656">
        <f t="shared" si="0"/>
        <v>0</v>
      </c>
      <c r="T14" s="656">
        <f t="shared" si="0"/>
        <v>1400000</v>
      </c>
      <c r="U14" s="656">
        <f t="shared" si="0"/>
        <v>0</v>
      </c>
      <c r="V14" s="656">
        <f>V13</f>
        <v>0</v>
      </c>
    </row>
    <row r="15" spans="1:22" x14ac:dyDescent="0.35">
      <c r="A15" s="101" t="s">
        <v>225</v>
      </c>
      <c r="B15" s="656">
        <f>0.8*B13</f>
        <v>21952000</v>
      </c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</row>
    <row r="16" spans="1:22" x14ac:dyDescent="0.35">
      <c r="A16" s="101" t="s">
        <v>226</v>
      </c>
      <c r="B16" s="656"/>
      <c r="C16" s="656"/>
      <c r="D16" s="656"/>
      <c r="E16" s="656"/>
      <c r="F16" s="656"/>
      <c r="G16" s="656"/>
      <c r="H16" s="656"/>
      <c r="I16" s="656"/>
      <c r="J16" s="656"/>
      <c r="K16" s="656"/>
      <c r="L16" s="656"/>
      <c r="M16" s="656"/>
      <c r="N16" s="656"/>
      <c r="O16" s="656"/>
      <c r="P16" s="656"/>
      <c r="Q16" s="656"/>
      <c r="R16" s="656"/>
      <c r="S16" s="656"/>
      <c r="T16" s="656"/>
      <c r="U16" s="656"/>
      <c r="V16" s="6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7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49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10" width="9.81640625" style="34" bestFit="1" customWidth="1"/>
    <col min="11" max="15" width="5.81640625" style="34" bestFit="1" customWidth="1"/>
    <col min="16" max="21" width="9.81640625" style="34" bestFit="1" customWidth="1"/>
    <col min="22" max="22" width="5.81640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349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&amp;TECNOLOGIAS!$A$9</f>
        <v>VEÍCULO TIPO Padron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17" t="s">
        <v>223</v>
      </c>
      <c r="B13" s="655">
        <f>'4C'!B19</f>
        <v>8375000</v>
      </c>
      <c r="C13" s="655">
        <f>'4C'!C19</f>
        <v>8125000</v>
      </c>
      <c r="D13" s="655">
        <f>'4C'!D19</f>
        <v>8125000</v>
      </c>
      <c r="E13" s="655">
        <f>'4C'!E19</f>
        <v>8125000</v>
      </c>
      <c r="F13" s="655">
        <f>'4C'!F19</f>
        <v>8250000</v>
      </c>
      <c r="G13" s="655">
        <f>'4C'!G19</f>
        <v>8125000</v>
      </c>
      <c r="H13" s="655">
        <f>'4C'!H19</f>
        <v>8125000</v>
      </c>
      <c r="I13" s="655">
        <f>'4C'!I19</f>
        <v>8125000</v>
      </c>
      <c r="J13" s="655">
        <f>'4C'!J19</f>
        <v>8125000</v>
      </c>
      <c r="K13" s="655">
        <f>'4C'!K19</f>
        <v>0</v>
      </c>
      <c r="L13" s="655">
        <f>'4C'!L19</f>
        <v>0</v>
      </c>
      <c r="M13" s="655">
        <f>'4C'!M19</f>
        <v>0</v>
      </c>
      <c r="N13" s="655">
        <f>'4C'!N19</f>
        <v>0</v>
      </c>
      <c r="O13" s="655">
        <f>'4C'!O19</f>
        <v>0</v>
      </c>
      <c r="P13" s="655">
        <f>'4C'!P19</f>
        <v>3750000</v>
      </c>
      <c r="Q13" s="655">
        <f>'4C'!Q19</f>
        <v>4625000</v>
      </c>
      <c r="R13" s="655">
        <f>'4C'!R19</f>
        <v>5000000</v>
      </c>
      <c r="S13" s="655">
        <f>'4C'!S19</f>
        <v>3750000</v>
      </c>
      <c r="T13" s="655">
        <f>'4C'!T19</f>
        <v>5000000</v>
      </c>
      <c r="U13" s="655">
        <f>'4C'!U19</f>
        <v>4375000</v>
      </c>
      <c r="V13" s="655">
        <f>'4C'!V19</f>
        <v>0</v>
      </c>
    </row>
    <row r="14" spans="1:22" x14ac:dyDescent="0.35">
      <c r="A14" s="101" t="s">
        <v>224</v>
      </c>
      <c r="B14" s="656">
        <f>0.2*B13</f>
        <v>1675000</v>
      </c>
      <c r="C14" s="656">
        <f t="shared" ref="C14:U14" si="0">C13</f>
        <v>8125000</v>
      </c>
      <c r="D14" s="656">
        <f t="shared" si="0"/>
        <v>8125000</v>
      </c>
      <c r="E14" s="656">
        <f t="shared" si="0"/>
        <v>8125000</v>
      </c>
      <c r="F14" s="656">
        <f t="shared" si="0"/>
        <v>8250000</v>
      </c>
      <c r="G14" s="656">
        <f t="shared" si="0"/>
        <v>8125000</v>
      </c>
      <c r="H14" s="656">
        <f t="shared" si="0"/>
        <v>8125000</v>
      </c>
      <c r="I14" s="656">
        <f t="shared" si="0"/>
        <v>8125000</v>
      </c>
      <c r="J14" s="656">
        <f t="shared" si="0"/>
        <v>8125000</v>
      </c>
      <c r="K14" s="656">
        <f t="shared" si="0"/>
        <v>0</v>
      </c>
      <c r="L14" s="656">
        <f t="shared" si="0"/>
        <v>0</v>
      </c>
      <c r="M14" s="656">
        <f t="shared" si="0"/>
        <v>0</v>
      </c>
      <c r="N14" s="656">
        <f t="shared" si="0"/>
        <v>0</v>
      </c>
      <c r="O14" s="656">
        <f t="shared" si="0"/>
        <v>0</v>
      </c>
      <c r="P14" s="656">
        <f t="shared" si="0"/>
        <v>3750000</v>
      </c>
      <c r="Q14" s="656">
        <f t="shared" si="0"/>
        <v>4625000</v>
      </c>
      <c r="R14" s="656">
        <f t="shared" si="0"/>
        <v>5000000</v>
      </c>
      <c r="S14" s="656">
        <f t="shared" si="0"/>
        <v>3750000</v>
      </c>
      <c r="T14" s="656">
        <f t="shared" si="0"/>
        <v>5000000</v>
      </c>
      <c r="U14" s="656">
        <f t="shared" si="0"/>
        <v>4375000</v>
      </c>
      <c r="V14" s="656">
        <f>V13</f>
        <v>0</v>
      </c>
    </row>
    <row r="15" spans="1:22" x14ac:dyDescent="0.35">
      <c r="A15" s="101" t="s">
        <v>225</v>
      </c>
      <c r="B15" s="656">
        <f>0.8*B13</f>
        <v>6700000</v>
      </c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</row>
    <row r="16" spans="1:22" x14ac:dyDescent="0.35">
      <c r="A16" s="101" t="s">
        <v>226</v>
      </c>
      <c r="B16" s="656"/>
      <c r="C16" s="656"/>
      <c r="D16" s="656"/>
      <c r="E16" s="656"/>
      <c r="F16" s="656"/>
      <c r="G16" s="656"/>
      <c r="H16" s="656"/>
      <c r="I16" s="656"/>
      <c r="J16" s="656"/>
      <c r="K16" s="656"/>
      <c r="L16" s="656"/>
      <c r="M16" s="656"/>
      <c r="N16" s="656"/>
      <c r="O16" s="656"/>
      <c r="P16" s="656"/>
      <c r="Q16" s="656"/>
      <c r="R16" s="656"/>
      <c r="S16" s="656"/>
      <c r="T16" s="656"/>
      <c r="U16" s="656"/>
      <c r="V16" s="6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6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pageSetUpPr fitToPage="1"/>
  </sheetPr>
  <dimension ref="A1:K62"/>
  <sheetViews>
    <sheetView showGridLines="0" defaultGridColor="0" view="pageBreakPreview" colorId="7" zoomScale="62" zoomScaleNormal="100" workbookViewId="0">
      <selection activeCell="F8" sqref="F8"/>
    </sheetView>
  </sheetViews>
  <sheetFormatPr defaultColWidth="12.54296875" defaultRowHeight="12.5" x14ac:dyDescent="0.25"/>
  <cols>
    <col min="1" max="1" width="10.453125" style="538" customWidth="1"/>
    <col min="2" max="2" width="15.7265625" style="538" customWidth="1"/>
    <col min="3" max="3" width="14.81640625" style="538" customWidth="1"/>
    <col min="4" max="4" width="21.7265625" style="538" customWidth="1"/>
    <col min="5" max="5" width="19.453125" style="538" customWidth="1"/>
    <col min="6" max="6" width="17.81640625" style="538" bestFit="1" customWidth="1"/>
    <col min="7" max="7" width="13.453125" style="538" customWidth="1"/>
    <col min="8" max="8" width="23.7265625" style="538" bestFit="1" customWidth="1"/>
    <col min="9" max="9" width="24.1796875" style="538" customWidth="1"/>
    <col min="10" max="10" width="22.7265625" style="538" bestFit="1" customWidth="1"/>
    <col min="11" max="16384" width="12.54296875" style="538"/>
  </cols>
  <sheetData>
    <row r="1" spans="1:11" ht="15.5" x14ac:dyDescent="0.35">
      <c r="A1" s="537" t="str">
        <f>TECNOLOGIAS!A1</f>
        <v>Proponente: TransPolitécnica</v>
      </c>
    </row>
    <row r="2" spans="1:11" ht="15.5" x14ac:dyDescent="0.35">
      <c r="A2" s="537" t="str">
        <f>TECNOLOGIAS!A2</f>
        <v>Área de Concessão: 5 (Cinco)</v>
      </c>
    </row>
    <row r="4" spans="1:11" ht="18" x14ac:dyDescent="0.4">
      <c r="A4" s="1" t="s">
        <v>840</v>
      </c>
      <c r="B4" s="2"/>
      <c r="C4" s="2"/>
      <c r="D4" s="2"/>
      <c r="E4" s="2"/>
      <c r="F4" s="2"/>
      <c r="G4" s="2"/>
      <c r="H4" s="2"/>
      <c r="I4" s="2"/>
      <c r="J4" s="2"/>
      <c r="K4" s="2"/>
    </row>
    <row r="6" spans="1:11" ht="15.5" x14ac:dyDescent="0.35">
      <c r="A6" s="4" t="s">
        <v>357</v>
      </c>
      <c r="B6" s="5"/>
      <c r="C6" s="5"/>
      <c r="D6" s="5"/>
      <c r="E6" s="5"/>
      <c r="F6" s="5"/>
      <c r="G6" s="5"/>
      <c r="H6" s="5"/>
      <c r="J6" s="14"/>
      <c r="K6" s="5"/>
    </row>
    <row r="7" spans="1:11" ht="15.5" x14ac:dyDescent="0.35">
      <c r="A7" s="4"/>
      <c r="B7" s="5"/>
      <c r="C7" s="5"/>
      <c r="D7" s="5"/>
      <c r="E7" s="5"/>
      <c r="F7" s="5"/>
      <c r="G7" s="5"/>
      <c r="H7" s="284"/>
      <c r="I7" s="14"/>
      <c r="J7" s="5"/>
      <c r="K7" s="5"/>
    </row>
    <row r="8" spans="1:11" ht="15.5" x14ac:dyDescent="0.35">
      <c r="A8" s="4"/>
      <c r="B8" s="4" t="s">
        <v>10</v>
      </c>
      <c r="C8" s="4"/>
      <c r="D8" s="4"/>
      <c r="E8" s="5"/>
      <c r="F8" s="616">
        <v>0.97560000000000002</v>
      </c>
      <c r="H8" s="5"/>
      <c r="I8" s="14"/>
      <c r="J8" s="5"/>
      <c r="K8" s="5"/>
    </row>
    <row r="9" spans="1:11" ht="15.5" x14ac:dyDescent="0.35">
      <c r="A9" s="4"/>
      <c r="B9" s="4" t="s">
        <v>373</v>
      </c>
      <c r="C9" s="4"/>
      <c r="D9" s="4"/>
      <c r="E9" s="5"/>
      <c r="F9" s="593">
        <v>0.03</v>
      </c>
      <c r="H9" s="5"/>
      <c r="I9" s="14"/>
      <c r="J9" s="5"/>
      <c r="K9" s="5"/>
    </row>
    <row r="10" spans="1:11" ht="15.5" x14ac:dyDescent="0.35">
      <c r="A10" s="4"/>
      <c r="B10" s="4" t="s">
        <v>374</v>
      </c>
      <c r="C10" s="4"/>
      <c r="D10" s="4"/>
      <c r="E10" s="5"/>
      <c r="F10" s="493"/>
      <c r="H10" s="5"/>
      <c r="I10" s="285"/>
      <c r="J10" s="5"/>
      <c r="K10" s="5"/>
    </row>
    <row r="11" spans="1:11" ht="15.5" x14ac:dyDescent="0.35">
      <c r="A11" s="4"/>
      <c r="B11" s="5"/>
      <c r="C11" s="5"/>
      <c r="D11" s="5"/>
      <c r="E11" s="5"/>
      <c r="F11" s="5"/>
      <c r="G11" s="17"/>
      <c r="H11" s="5"/>
      <c r="I11" s="14"/>
      <c r="J11" s="5"/>
      <c r="K11" s="5"/>
    </row>
    <row r="12" spans="1:11" ht="13" thickBot="1" x14ac:dyDescent="0.3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pans="1:11" x14ac:dyDescent="0.25">
      <c r="A13" s="6" t="s">
        <v>372</v>
      </c>
      <c r="B13" s="7" t="s">
        <v>856</v>
      </c>
      <c r="C13" s="7" t="s">
        <v>838</v>
      </c>
      <c r="D13" s="7" t="s">
        <v>3</v>
      </c>
      <c r="E13" s="7" t="s">
        <v>4</v>
      </c>
      <c r="F13" s="7" t="s">
        <v>858</v>
      </c>
      <c r="G13" s="7" t="s">
        <v>5</v>
      </c>
      <c r="H13" s="7" t="s">
        <v>3</v>
      </c>
      <c r="I13" s="5"/>
      <c r="J13" s="5"/>
    </row>
    <row r="14" spans="1:11" ht="13" thickBot="1" x14ac:dyDescent="0.3">
      <c r="A14" s="15"/>
      <c r="B14" s="8" t="s">
        <v>857</v>
      </c>
      <c r="C14" s="8" t="s">
        <v>839</v>
      </c>
      <c r="D14" s="8" t="s">
        <v>6</v>
      </c>
      <c r="E14" s="16"/>
      <c r="F14" s="16"/>
      <c r="G14" s="16"/>
      <c r="H14" s="8" t="s">
        <v>7</v>
      </c>
      <c r="I14" s="5"/>
      <c r="J14" s="5"/>
    </row>
    <row r="15" spans="1:11" ht="21.75" customHeight="1" x14ac:dyDescent="0.25">
      <c r="A15" s="309">
        <v>1</v>
      </c>
      <c r="B15" s="163">
        <f>ROUND(+'1'!C10*'2'!$F$8,2)</f>
        <v>91901520</v>
      </c>
      <c r="C15" s="486">
        <v>300000</v>
      </c>
      <c r="D15" s="163">
        <f>B15+C15</f>
        <v>92201520</v>
      </c>
      <c r="E15" s="163">
        <f t="shared" ref="E15:E34" si="0">ROUND(D15*$F$9,2)</f>
        <v>2766045.6</v>
      </c>
      <c r="F15" s="601">
        <v>6.4999999999999997E-3</v>
      </c>
      <c r="G15" s="163">
        <f>ROUND(D15*F15,2)</f>
        <v>599309.88</v>
      </c>
      <c r="H15" s="163">
        <f>D15-E15-G15</f>
        <v>88836164.520000011</v>
      </c>
      <c r="I15" s="5"/>
      <c r="J15" s="5"/>
    </row>
    <row r="16" spans="1:11" ht="21.75" customHeight="1" x14ac:dyDescent="0.25">
      <c r="A16" s="309">
        <v>2</v>
      </c>
      <c r="B16" s="163">
        <f>ROUND(+'1'!C11*'2'!$F$8,2)</f>
        <v>91901520</v>
      </c>
      <c r="C16" s="486">
        <v>300000</v>
      </c>
      <c r="D16" s="163">
        <f t="shared" ref="D16:D34" si="1">B16+C16</f>
        <v>92201520</v>
      </c>
      <c r="E16" s="163">
        <f t="shared" si="0"/>
        <v>2766045.6</v>
      </c>
      <c r="F16" s="601">
        <v>6.4999999999999997E-3</v>
      </c>
      <c r="G16" s="163">
        <f t="shared" ref="G16:G34" si="2">ROUND(D16*F16,2)</f>
        <v>599309.88</v>
      </c>
      <c r="H16" s="163">
        <f>D16-E16-G16</f>
        <v>88836164.520000011</v>
      </c>
      <c r="I16" s="5"/>
      <c r="J16" s="5"/>
    </row>
    <row r="17" spans="1:11" ht="21.75" customHeight="1" x14ac:dyDescent="0.25">
      <c r="A17" s="309">
        <v>3</v>
      </c>
      <c r="B17" s="163">
        <f>ROUND(+'1'!C12*'2'!$F$8,2)</f>
        <v>91901520</v>
      </c>
      <c r="C17" s="486">
        <v>300000</v>
      </c>
      <c r="D17" s="163">
        <f t="shared" si="1"/>
        <v>92201520</v>
      </c>
      <c r="E17" s="163">
        <f t="shared" si="0"/>
        <v>2766045.6</v>
      </c>
      <c r="F17" s="601">
        <v>6.4999999999999997E-3</v>
      </c>
      <c r="G17" s="163">
        <f t="shared" si="2"/>
        <v>599309.88</v>
      </c>
      <c r="H17" s="163">
        <f>D17-E17-G17</f>
        <v>88836164.520000011</v>
      </c>
      <c r="I17" s="5"/>
      <c r="J17" s="5"/>
    </row>
    <row r="18" spans="1:11" ht="21.75" customHeight="1" x14ac:dyDescent="0.25">
      <c r="A18" s="309">
        <v>4</v>
      </c>
      <c r="B18" s="163">
        <f>ROUND(+'1'!C13*'2'!$F$8,2)</f>
        <v>91901520</v>
      </c>
      <c r="C18" s="486">
        <v>300000</v>
      </c>
      <c r="D18" s="163">
        <f t="shared" si="1"/>
        <v>92201520</v>
      </c>
      <c r="E18" s="163">
        <f t="shared" si="0"/>
        <v>2766045.6</v>
      </c>
      <c r="F18" s="601">
        <v>6.4999999999999997E-3</v>
      </c>
      <c r="G18" s="163">
        <f t="shared" si="2"/>
        <v>599309.88</v>
      </c>
      <c r="H18" s="163">
        <f t="shared" ref="H18:H34" si="3">D18-E18-G18</f>
        <v>88836164.520000011</v>
      </c>
      <c r="I18" s="5"/>
      <c r="J18" s="5"/>
    </row>
    <row r="19" spans="1:11" ht="21.75" customHeight="1" x14ac:dyDescent="0.25">
      <c r="A19" s="309">
        <v>5</v>
      </c>
      <c r="B19" s="163">
        <f>ROUND(+'1'!C14*'2'!$F$8,2)</f>
        <v>91901520</v>
      </c>
      <c r="C19" s="486">
        <v>300000</v>
      </c>
      <c r="D19" s="163">
        <f t="shared" si="1"/>
        <v>92201520</v>
      </c>
      <c r="E19" s="163">
        <f t="shared" si="0"/>
        <v>2766045.6</v>
      </c>
      <c r="F19" s="601">
        <v>6.4999999999999997E-3</v>
      </c>
      <c r="G19" s="163">
        <f t="shared" si="2"/>
        <v>599309.88</v>
      </c>
      <c r="H19" s="163">
        <f t="shared" si="3"/>
        <v>88836164.520000011</v>
      </c>
      <c r="I19" s="5"/>
      <c r="J19" s="5"/>
    </row>
    <row r="20" spans="1:11" ht="21.75" customHeight="1" x14ac:dyDescent="0.25">
      <c r="A20" s="309">
        <v>6</v>
      </c>
      <c r="B20" s="163">
        <f>ROUND(+'1'!C15*'2'!$F$8,2)</f>
        <v>91901520</v>
      </c>
      <c r="C20" s="486">
        <v>300000</v>
      </c>
      <c r="D20" s="163">
        <f t="shared" si="1"/>
        <v>92201520</v>
      </c>
      <c r="E20" s="163">
        <f t="shared" si="0"/>
        <v>2766045.6</v>
      </c>
      <c r="F20" s="601">
        <v>6.4999999999999997E-3</v>
      </c>
      <c r="G20" s="163">
        <f t="shared" si="2"/>
        <v>599309.88</v>
      </c>
      <c r="H20" s="163">
        <f t="shared" si="3"/>
        <v>88836164.520000011</v>
      </c>
      <c r="I20" s="5"/>
      <c r="J20" s="5"/>
    </row>
    <row r="21" spans="1:11" ht="21.75" customHeight="1" x14ac:dyDescent="0.25">
      <c r="A21" s="309">
        <v>7</v>
      </c>
      <c r="B21" s="163">
        <f>ROUND(+'1'!C16*'2'!$F$8,2)</f>
        <v>91901520</v>
      </c>
      <c r="C21" s="486">
        <v>300000</v>
      </c>
      <c r="D21" s="163">
        <f t="shared" si="1"/>
        <v>92201520</v>
      </c>
      <c r="E21" s="163">
        <f t="shared" si="0"/>
        <v>2766045.6</v>
      </c>
      <c r="F21" s="601">
        <v>6.4999999999999997E-3</v>
      </c>
      <c r="G21" s="163">
        <f t="shared" si="2"/>
        <v>599309.88</v>
      </c>
      <c r="H21" s="163">
        <f t="shared" si="3"/>
        <v>88836164.520000011</v>
      </c>
      <c r="I21" s="5"/>
      <c r="J21" s="5"/>
    </row>
    <row r="22" spans="1:11" ht="21.75" customHeight="1" x14ac:dyDescent="0.25">
      <c r="A22" s="309">
        <v>8</v>
      </c>
      <c r="B22" s="163">
        <f>ROUND(+'1'!C17*'2'!$F$8,2)</f>
        <v>91901520</v>
      </c>
      <c r="C22" s="486">
        <v>300000</v>
      </c>
      <c r="D22" s="163">
        <f t="shared" si="1"/>
        <v>92201520</v>
      </c>
      <c r="E22" s="163">
        <f t="shared" si="0"/>
        <v>2766045.6</v>
      </c>
      <c r="F22" s="601">
        <v>6.4999999999999997E-3</v>
      </c>
      <c r="G22" s="163">
        <f t="shared" si="2"/>
        <v>599309.88</v>
      </c>
      <c r="H22" s="163">
        <f t="shared" si="3"/>
        <v>88836164.520000011</v>
      </c>
      <c r="I22" s="5"/>
      <c r="J22" s="5"/>
    </row>
    <row r="23" spans="1:11" ht="21.75" customHeight="1" x14ac:dyDescent="0.25">
      <c r="A23" s="309">
        <v>9</v>
      </c>
      <c r="B23" s="163">
        <f>ROUND(+'1'!C18*'2'!$F$8,2)</f>
        <v>91901520</v>
      </c>
      <c r="C23" s="486">
        <v>300000</v>
      </c>
      <c r="D23" s="163">
        <f t="shared" si="1"/>
        <v>92201520</v>
      </c>
      <c r="E23" s="163">
        <f t="shared" si="0"/>
        <v>2766045.6</v>
      </c>
      <c r="F23" s="601">
        <v>6.4999999999999997E-3</v>
      </c>
      <c r="G23" s="163">
        <f t="shared" si="2"/>
        <v>599309.88</v>
      </c>
      <c r="H23" s="163">
        <f t="shared" si="3"/>
        <v>88836164.520000011</v>
      </c>
      <c r="I23" s="5"/>
      <c r="J23" s="5"/>
    </row>
    <row r="24" spans="1:11" ht="21.75" customHeight="1" x14ac:dyDescent="0.25">
      <c r="A24" s="309">
        <v>10</v>
      </c>
      <c r="B24" s="163">
        <f>ROUND(+'1'!C19*'2'!$F$8,2)</f>
        <v>91901520</v>
      </c>
      <c r="C24" s="486">
        <v>300000</v>
      </c>
      <c r="D24" s="163">
        <f t="shared" si="1"/>
        <v>92201520</v>
      </c>
      <c r="E24" s="163">
        <f t="shared" si="0"/>
        <v>2766045.6</v>
      </c>
      <c r="F24" s="601">
        <v>6.4999999999999997E-3</v>
      </c>
      <c r="G24" s="163">
        <f t="shared" si="2"/>
        <v>599309.88</v>
      </c>
      <c r="H24" s="163">
        <f t="shared" si="3"/>
        <v>88836164.520000011</v>
      </c>
      <c r="I24" s="5"/>
      <c r="J24" s="5"/>
    </row>
    <row r="25" spans="1:11" ht="21.75" customHeight="1" x14ac:dyDescent="0.25">
      <c r="A25" s="309">
        <v>11</v>
      </c>
      <c r="B25" s="163">
        <f>ROUND(+'1'!C20*'2'!$F$8,2)</f>
        <v>91901520</v>
      </c>
      <c r="C25" s="486">
        <v>300000</v>
      </c>
      <c r="D25" s="163">
        <f t="shared" si="1"/>
        <v>92201520</v>
      </c>
      <c r="E25" s="163">
        <f t="shared" si="0"/>
        <v>2766045.6</v>
      </c>
      <c r="F25" s="601">
        <v>6.4999999999999997E-3</v>
      </c>
      <c r="G25" s="163">
        <f t="shared" si="2"/>
        <v>599309.88</v>
      </c>
      <c r="H25" s="163">
        <f t="shared" si="3"/>
        <v>88836164.520000011</v>
      </c>
      <c r="I25" s="5"/>
      <c r="J25" s="5"/>
      <c r="K25" s="5"/>
    </row>
    <row r="26" spans="1:11" ht="21.75" customHeight="1" x14ac:dyDescent="0.25">
      <c r="A26" s="309">
        <v>12</v>
      </c>
      <c r="B26" s="163">
        <f>ROUND(+'1'!C21*'2'!$F$8,2)</f>
        <v>91901520</v>
      </c>
      <c r="C26" s="486">
        <v>300000</v>
      </c>
      <c r="D26" s="163">
        <f t="shared" si="1"/>
        <v>92201520</v>
      </c>
      <c r="E26" s="163">
        <f t="shared" si="0"/>
        <v>2766045.6</v>
      </c>
      <c r="F26" s="601">
        <v>6.4999999999999997E-3</v>
      </c>
      <c r="G26" s="163">
        <f t="shared" si="2"/>
        <v>599309.88</v>
      </c>
      <c r="H26" s="163">
        <f t="shared" si="3"/>
        <v>88836164.520000011</v>
      </c>
      <c r="I26" s="5"/>
      <c r="J26" s="5"/>
      <c r="K26" s="5"/>
    </row>
    <row r="27" spans="1:11" ht="21.75" customHeight="1" x14ac:dyDescent="0.25">
      <c r="A27" s="309">
        <v>13</v>
      </c>
      <c r="B27" s="163">
        <f>ROUND(+'1'!C22*'2'!$F$8,2)</f>
        <v>91901520</v>
      </c>
      <c r="C27" s="486">
        <v>300000</v>
      </c>
      <c r="D27" s="163">
        <f t="shared" si="1"/>
        <v>92201520</v>
      </c>
      <c r="E27" s="163">
        <f t="shared" si="0"/>
        <v>2766045.6</v>
      </c>
      <c r="F27" s="601">
        <v>6.4999999999999997E-3</v>
      </c>
      <c r="G27" s="163">
        <f t="shared" si="2"/>
        <v>599309.88</v>
      </c>
      <c r="H27" s="163">
        <f t="shared" si="3"/>
        <v>88836164.520000011</v>
      </c>
      <c r="I27" s="5"/>
      <c r="J27" s="5"/>
      <c r="K27" s="5"/>
    </row>
    <row r="28" spans="1:11" ht="21.75" customHeight="1" x14ac:dyDescent="0.25">
      <c r="A28" s="309">
        <v>14</v>
      </c>
      <c r="B28" s="163">
        <f>ROUND(+'1'!C23*'2'!$F$8,2)</f>
        <v>91901520</v>
      </c>
      <c r="C28" s="486">
        <v>300000</v>
      </c>
      <c r="D28" s="163">
        <f t="shared" si="1"/>
        <v>92201520</v>
      </c>
      <c r="E28" s="163">
        <f t="shared" si="0"/>
        <v>2766045.6</v>
      </c>
      <c r="F28" s="601">
        <v>6.4999999999999997E-3</v>
      </c>
      <c r="G28" s="163">
        <f t="shared" si="2"/>
        <v>599309.88</v>
      </c>
      <c r="H28" s="163">
        <f t="shared" si="3"/>
        <v>88836164.520000011</v>
      </c>
      <c r="I28" s="5"/>
      <c r="J28" s="5"/>
      <c r="K28" s="5"/>
    </row>
    <row r="29" spans="1:11" ht="21.75" customHeight="1" x14ac:dyDescent="0.25">
      <c r="A29" s="309">
        <v>15</v>
      </c>
      <c r="B29" s="163">
        <f>ROUND(+'1'!C24*'2'!$F$8,2)</f>
        <v>91901520</v>
      </c>
      <c r="C29" s="486">
        <v>300000</v>
      </c>
      <c r="D29" s="163">
        <f t="shared" si="1"/>
        <v>92201520</v>
      </c>
      <c r="E29" s="163">
        <f t="shared" si="0"/>
        <v>2766045.6</v>
      </c>
      <c r="F29" s="601">
        <v>6.4999999999999997E-3</v>
      </c>
      <c r="G29" s="163">
        <f t="shared" si="2"/>
        <v>599309.88</v>
      </c>
      <c r="H29" s="163">
        <f t="shared" si="3"/>
        <v>88836164.520000011</v>
      </c>
      <c r="I29" s="5"/>
      <c r="J29" s="5"/>
      <c r="K29" s="5"/>
    </row>
    <row r="30" spans="1:11" ht="21.75" customHeight="1" x14ac:dyDescent="0.25">
      <c r="A30" s="309">
        <v>16</v>
      </c>
      <c r="B30" s="163">
        <f>ROUND(+'1'!C25*'2'!$F$8,2)</f>
        <v>91901520</v>
      </c>
      <c r="C30" s="486">
        <v>300000</v>
      </c>
      <c r="D30" s="163">
        <f t="shared" si="1"/>
        <v>92201520</v>
      </c>
      <c r="E30" s="163">
        <f t="shared" si="0"/>
        <v>2766045.6</v>
      </c>
      <c r="F30" s="601">
        <v>6.4999999999999997E-3</v>
      </c>
      <c r="G30" s="163">
        <f t="shared" si="2"/>
        <v>599309.88</v>
      </c>
      <c r="H30" s="163">
        <f t="shared" si="3"/>
        <v>88836164.520000011</v>
      </c>
      <c r="I30" s="5"/>
      <c r="J30" s="5"/>
      <c r="K30" s="5"/>
    </row>
    <row r="31" spans="1:11" ht="21.75" customHeight="1" x14ac:dyDescent="0.25">
      <c r="A31" s="309">
        <v>17</v>
      </c>
      <c r="B31" s="163">
        <f>ROUND(+'1'!C26*'2'!$F$8,2)</f>
        <v>91901520</v>
      </c>
      <c r="C31" s="486">
        <v>300000</v>
      </c>
      <c r="D31" s="163">
        <f t="shared" si="1"/>
        <v>92201520</v>
      </c>
      <c r="E31" s="163">
        <f t="shared" si="0"/>
        <v>2766045.6</v>
      </c>
      <c r="F31" s="601">
        <v>6.4999999999999997E-3</v>
      </c>
      <c r="G31" s="163">
        <f t="shared" si="2"/>
        <v>599309.88</v>
      </c>
      <c r="H31" s="163">
        <f t="shared" si="3"/>
        <v>88836164.520000011</v>
      </c>
      <c r="I31" s="5"/>
      <c r="J31" s="5"/>
      <c r="K31" s="5"/>
    </row>
    <row r="32" spans="1:11" ht="21.75" customHeight="1" x14ac:dyDescent="0.25">
      <c r="A32" s="309">
        <v>18</v>
      </c>
      <c r="B32" s="163">
        <f>ROUND(+'1'!C27*'2'!$F$8,2)</f>
        <v>91901520</v>
      </c>
      <c r="C32" s="486">
        <v>300000</v>
      </c>
      <c r="D32" s="163">
        <f t="shared" si="1"/>
        <v>92201520</v>
      </c>
      <c r="E32" s="163">
        <f t="shared" si="0"/>
        <v>2766045.6</v>
      </c>
      <c r="F32" s="601">
        <v>6.4999999999999997E-3</v>
      </c>
      <c r="G32" s="163">
        <f t="shared" si="2"/>
        <v>599309.88</v>
      </c>
      <c r="H32" s="163">
        <f t="shared" si="3"/>
        <v>88836164.520000011</v>
      </c>
      <c r="I32" s="5"/>
      <c r="J32" s="5"/>
      <c r="K32" s="5"/>
    </row>
    <row r="33" spans="1:11" ht="21.75" customHeight="1" x14ac:dyDescent="0.25">
      <c r="A33" s="309">
        <v>19</v>
      </c>
      <c r="B33" s="163">
        <f>ROUND(+'1'!C28*'2'!$F$8,2)</f>
        <v>91901520</v>
      </c>
      <c r="C33" s="486">
        <v>300000</v>
      </c>
      <c r="D33" s="163">
        <f t="shared" si="1"/>
        <v>92201520</v>
      </c>
      <c r="E33" s="163">
        <f t="shared" si="0"/>
        <v>2766045.6</v>
      </c>
      <c r="F33" s="601">
        <v>6.4999999999999997E-3</v>
      </c>
      <c r="G33" s="163">
        <f t="shared" si="2"/>
        <v>599309.88</v>
      </c>
      <c r="H33" s="163">
        <f t="shared" si="3"/>
        <v>88836164.520000011</v>
      </c>
      <c r="I33" s="5"/>
      <c r="J33" s="5"/>
      <c r="K33" s="5"/>
    </row>
    <row r="34" spans="1:11" ht="21.75" customHeight="1" x14ac:dyDescent="0.25">
      <c r="A34" s="309">
        <v>20</v>
      </c>
      <c r="B34" s="163">
        <f>ROUND(+'1'!C29*'2'!$F$8,2)</f>
        <v>91901520</v>
      </c>
      <c r="C34" s="486">
        <v>300000</v>
      </c>
      <c r="D34" s="163">
        <f t="shared" si="1"/>
        <v>92201520</v>
      </c>
      <c r="E34" s="163">
        <f t="shared" si="0"/>
        <v>2766045.6</v>
      </c>
      <c r="F34" s="601">
        <v>6.4999999999999997E-3</v>
      </c>
      <c r="G34" s="163">
        <f t="shared" si="2"/>
        <v>599309.88</v>
      </c>
      <c r="H34" s="163">
        <f t="shared" si="3"/>
        <v>88836164.520000011</v>
      </c>
      <c r="I34" s="5"/>
      <c r="J34" s="5"/>
      <c r="K34" s="5"/>
    </row>
    <row r="35" spans="1:1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</row>
    <row r="36" spans="1:11" x14ac:dyDescent="0.25">
      <c r="A36" s="490" t="s">
        <v>447</v>
      </c>
      <c r="B36" s="5"/>
      <c r="C36" s="5"/>
      <c r="D36" s="5"/>
      <c r="E36" s="5"/>
      <c r="F36" s="5"/>
      <c r="G36" s="5"/>
      <c r="H36" s="5"/>
      <c r="I36" s="5"/>
      <c r="J36" s="5"/>
      <c r="K36" s="5"/>
    </row>
    <row r="37" spans="1:1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</row>
    <row r="38" spans="1:1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</row>
    <row r="39" spans="1:1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</row>
    <row r="40" spans="1:1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</row>
    <row r="42" spans="1:1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</row>
    <row r="43" spans="1:1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</row>
    <row r="44" spans="1:1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</row>
    <row r="45" spans="1:1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</row>
    <row r="46" spans="1:1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</row>
    <row r="47" spans="1:1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</row>
    <row r="48" spans="1:1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</row>
    <row r="49" spans="1:1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</row>
    <row r="50" spans="1:1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</row>
    <row r="51" spans="1:1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</row>
    <row r="52" spans="1:1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</row>
    <row r="53" spans="1:1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1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</row>
    <row r="55" spans="1:1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1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1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1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7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0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5" width="5.81640625" style="34" bestFit="1" customWidth="1"/>
    <col min="6" max="10" width="9.81640625" style="34" bestFit="1" customWidth="1"/>
    <col min="11" max="17" width="5.81640625" style="34" bestFit="1" customWidth="1"/>
    <col min="18" max="21" width="9.81640625" style="34" bestFit="1" customWidth="1"/>
    <col min="22" max="22" width="5.81640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328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&amp;TECNOLOGIAS!$A$10</f>
        <v>VEÍCULO TIPO Articulados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17" t="s">
        <v>223</v>
      </c>
      <c r="B13" s="655">
        <f>'4D'!B19</f>
        <v>0</v>
      </c>
      <c r="C13" s="655">
        <f>'4D'!C19</f>
        <v>0</v>
      </c>
      <c r="D13" s="655">
        <f>'4D'!D19</f>
        <v>0</v>
      </c>
      <c r="E13" s="655">
        <f>'4D'!E19</f>
        <v>0</v>
      </c>
      <c r="F13" s="655">
        <f>'4D'!F19</f>
        <v>3640000</v>
      </c>
      <c r="G13" s="655">
        <f>'4D'!G19</f>
        <v>3640000</v>
      </c>
      <c r="H13" s="655">
        <f>'4D'!H19</f>
        <v>3360000</v>
      </c>
      <c r="I13" s="655">
        <f>'4D'!I19</f>
        <v>3640000</v>
      </c>
      <c r="J13" s="655">
        <f>'4D'!J19</f>
        <v>3080000</v>
      </c>
      <c r="K13" s="655">
        <f>'4D'!K19</f>
        <v>0</v>
      </c>
      <c r="L13" s="655">
        <f>'4D'!L19</f>
        <v>0</v>
      </c>
      <c r="M13" s="655">
        <f>'4D'!M19</f>
        <v>0</v>
      </c>
      <c r="N13" s="655">
        <f>'4D'!N19</f>
        <v>0</v>
      </c>
      <c r="O13" s="655">
        <f>'4D'!O19</f>
        <v>0</v>
      </c>
      <c r="P13" s="655">
        <f>'4D'!P19</f>
        <v>0</v>
      </c>
      <c r="Q13" s="655">
        <f>'4D'!Q19</f>
        <v>0</v>
      </c>
      <c r="R13" s="655">
        <f>'4D'!R19</f>
        <v>1400000</v>
      </c>
      <c r="S13" s="655">
        <f>'4D'!S19</f>
        <v>1120000</v>
      </c>
      <c r="T13" s="655">
        <f>'4D'!T19</f>
        <v>1120000</v>
      </c>
      <c r="U13" s="655">
        <f>'4D'!U19</f>
        <v>1120000</v>
      </c>
      <c r="V13" s="655">
        <f>'4D'!V19</f>
        <v>0</v>
      </c>
    </row>
    <row r="14" spans="1:22" x14ac:dyDescent="0.35">
      <c r="A14" s="101" t="s">
        <v>224</v>
      </c>
      <c r="B14" s="656">
        <f>B13</f>
        <v>0</v>
      </c>
      <c r="C14" s="656">
        <f t="shared" ref="C14:V14" si="0">C13</f>
        <v>0</v>
      </c>
      <c r="D14" s="656">
        <f t="shared" si="0"/>
        <v>0</v>
      </c>
      <c r="E14" s="656">
        <f t="shared" si="0"/>
        <v>0</v>
      </c>
      <c r="F14" s="656">
        <f t="shared" si="0"/>
        <v>3640000</v>
      </c>
      <c r="G14" s="656">
        <f t="shared" si="0"/>
        <v>3640000</v>
      </c>
      <c r="H14" s="656">
        <f t="shared" si="0"/>
        <v>3360000</v>
      </c>
      <c r="I14" s="656">
        <f t="shared" si="0"/>
        <v>3640000</v>
      </c>
      <c r="J14" s="656">
        <f t="shared" si="0"/>
        <v>3080000</v>
      </c>
      <c r="K14" s="656">
        <f t="shared" si="0"/>
        <v>0</v>
      </c>
      <c r="L14" s="656">
        <f t="shared" si="0"/>
        <v>0</v>
      </c>
      <c r="M14" s="656">
        <f t="shared" si="0"/>
        <v>0</v>
      </c>
      <c r="N14" s="656">
        <f t="shared" si="0"/>
        <v>0</v>
      </c>
      <c r="O14" s="656">
        <f t="shared" si="0"/>
        <v>0</v>
      </c>
      <c r="P14" s="656">
        <f t="shared" si="0"/>
        <v>0</v>
      </c>
      <c r="Q14" s="656">
        <f t="shared" si="0"/>
        <v>0</v>
      </c>
      <c r="R14" s="656">
        <f t="shared" si="0"/>
        <v>1400000</v>
      </c>
      <c r="S14" s="656">
        <f t="shared" si="0"/>
        <v>1120000</v>
      </c>
      <c r="T14" s="656">
        <f t="shared" si="0"/>
        <v>1120000</v>
      </c>
      <c r="U14" s="656">
        <f t="shared" si="0"/>
        <v>1120000</v>
      </c>
      <c r="V14" s="656">
        <f t="shared" si="0"/>
        <v>0</v>
      </c>
    </row>
    <row r="15" spans="1:22" x14ac:dyDescent="0.35">
      <c r="A15" s="101" t="s">
        <v>225</v>
      </c>
      <c r="B15" s="656"/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</row>
    <row r="16" spans="1:22" x14ac:dyDescent="0.35">
      <c r="A16" s="101" t="s">
        <v>226</v>
      </c>
      <c r="B16" s="656"/>
      <c r="C16" s="656"/>
      <c r="D16" s="656"/>
      <c r="E16" s="656"/>
      <c r="F16" s="656"/>
      <c r="G16" s="656"/>
      <c r="H16" s="656"/>
      <c r="I16" s="656"/>
      <c r="J16" s="656"/>
      <c r="K16" s="656"/>
      <c r="L16" s="656"/>
      <c r="M16" s="656"/>
      <c r="N16" s="656"/>
      <c r="O16" s="656"/>
      <c r="P16" s="656"/>
      <c r="Q16" s="656"/>
      <c r="R16" s="656"/>
      <c r="S16" s="656"/>
      <c r="T16" s="656"/>
      <c r="U16" s="656"/>
      <c r="V16" s="6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74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1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2" width="5.81640625" style="34" bestFit="1" customWidth="1"/>
    <col min="3" max="3" width="9.81640625" style="34" bestFit="1" customWidth="1"/>
    <col min="4" max="12" width="5.81640625" style="34" bestFit="1" customWidth="1"/>
    <col min="13" max="13" width="8.7265625" style="34" bestFit="1" customWidth="1"/>
    <col min="14" max="14" width="5.81640625" style="34" bestFit="1" customWidth="1"/>
    <col min="15" max="15" width="8.7265625" style="34" bestFit="1" customWidth="1"/>
    <col min="16" max="16" width="5.81640625" style="34" bestFit="1" customWidth="1"/>
    <col min="17" max="17" width="8.7265625" style="34" bestFit="1" customWidth="1"/>
    <col min="18" max="18" width="5.81640625" style="34" bestFit="1" customWidth="1"/>
    <col min="19" max="19" width="8.7265625" style="34" bestFit="1" customWidth="1"/>
    <col min="20" max="20" width="5.81640625" style="34" bestFit="1" customWidth="1"/>
    <col min="21" max="21" width="8.7265625" style="34" bestFit="1" customWidth="1"/>
    <col min="22" max="22" width="5.81640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350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&amp;TECNOLOGIAS!$A$11</f>
        <v>VEÍCULO TIPO Híbrido Piso Baixo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17" t="s">
        <v>223</v>
      </c>
      <c r="B13" s="655">
        <f>'4E'!B19</f>
        <v>0</v>
      </c>
      <c r="C13" s="655">
        <f>'4E'!C19</f>
        <v>4642000</v>
      </c>
      <c r="D13" s="655">
        <f>'4E'!D19</f>
        <v>0</v>
      </c>
      <c r="E13" s="655">
        <f>'4E'!E19</f>
        <v>0</v>
      </c>
      <c r="F13" s="655">
        <f>'4E'!F19</f>
        <v>0</v>
      </c>
      <c r="G13" s="655">
        <f>'4E'!G19</f>
        <v>0</v>
      </c>
      <c r="H13" s="655">
        <f>'4E'!H19</f>
        <v>0</v>
      </c>
      <c r="I13" s="655">
        <f>'4E'!I19</f>
        <v>0</v>
      </c>
      <c r="J13" s="655">
        <f>'4E'!J19</f>
        <v>0</v>
      </c>
      <c r="K13" s="655">
        <f>'4E'!K19</f>
        <v>0</v>
      </c>
      <c r="L13" s="655">
        <f>'4E'!L19</f>
        <v>0</v>
      </c>
      <c r="M13" s="655">
        <f>'4E'!M19</f>
        <v>844000</v>
      </c>
      <c r="N13" s="655">
        <f>'4E'!N19</f>
        <v>0</v>
      </c>
      <c r="O13" s="655">
        <f>'4E'!O19</f>
        <v>844000</v>
      </c>
      <c r="P13" s="655">
        <f>'4E'!P19</f>
        <v>0</v>
      </c>
      <c r="Q13" s="655">
        <f>'4E'!Q19</f>
        <v>422000</v>
      </c>
      <c r="R13" s="655">
        <f>'4E'!R19</f>
        <v>0</v>
      </c>
      <c r="S13" s="655">
        <f>'4E'!S19</f>
        <v>844000</v>
      </c>
      <c r="T13" s="655">
        <f>'4E'!T19</f>
        <v>0</v>
      </c>
      <c r="U13" s="655">
        <f>'4E'!U19</f>
        <v>422000</v>
      </c>
      <c r="V13" s="655">
        <f>'4E'!V19</f>
        <v>0</v>
      </c>
    </row>
    <row r="14" spans="1:22" x14ac:dyDescent="0.35">
      <c r="A14" s="101" t="s">
        <v>224</v>
      </c>
      <c r="B14" s="656">
        <f>B13</f>
        <v>0</v>
      </c>
      <c r="C14" s="656">
        <f>0.2*C13</f>
        <v>928400</v>
      </c>
      <c r="D14" s="656">
        <f t="shared" ref="D14:V14" si="0">D13</f>
        <v>0</v>
      </c>
      <c r="E14" s="656">
        <f t="shared" si="0"/>
        <v>0</v>
      </c>
      <c r="F14" s="656">
        <f t="shared" si="0"/>
        <v>0</v>
      </c>
      <c r="G14" s="656">
        <f t="shared" si="0"/>
        <v>0</v>
      </c>
      <c r="H14" s="656">
        <f t="shared" si="0"/>
        <v>0</v>
      </c>
      <c r="I14" s="656">
        <f t="shared" si="0"/>
        <v>0</v>
      </c>
      <c r="J14" s="656">
        <f t="shared" si="0"/>
        <v>0</v>
      </c>
      <c r="K14" s="656">
        <f t="shared" si="0"/>
        <v>0</v>
      </c>
      <c r="L14" s="656">
        <f t="shared" si="0"/>
        <v>0</v>
      </c>
      <c r="M14" s="656">
        <f t="shared" si="0"/>
        <v>844000</v>
      </c>
      <c r="N14" s="656">
        <f t="shared" si="0"/>
        <v>0</v>
      </c>
      <c r="O14" s="656">
        <f t="shared" si="0"/>
        <v>844000</v>
      </c>
      <c r="P14" s="656">
        <f t="shared" si="0"/>
        <v>0</v>
      </c>
      <c r="Q14" s="656">
        <f t="shared" si="0"/>
        <v>422000</v>
      </c>
      <c r="R14" s="656">
        <f t="shared" si="0"/>
        <v>0</v>
      </c>
      <c r="S14" s="656">
        <f t="shared" si="0"/>
        <v>844000</v>
      </c>
      <c r="T14" s="656">
        <f t="shared" si="0"/>
        <v>0</v>
      </c>
      <c r="U14" s="656">
        <f t="shared" si="0"/>
        <v>422000</v>
      </c>
      <c r="V14" s="656">
        <f t="shared" si="0"/>
        <v>0</v>
      </c>
    </row>
    <row r="15" spans="1:22" x14ac:dyDescent="0.35">
      <c r="A15" s="101" t="s">
        <v>225</v>
      </c>
      <c r="B15" s="656"/>
      <c r="C15" s="656">
        <f>0.8*C13</f>
        <v>3713600</v>
      </c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</row>
    <row r="16" spans="1:22" x14ac:dyDescent="0.35">
      <c r="A16" s="101" t="s">
        <v>226</v>
      </c>
      <c r="B16" s="656"/>
      <c r="C16" s="656"/>
      <c r="D16" s="656"/>
      <c r="E16" s="656"/>
      <c r="F16" s="656"/>
      <c r="G16" s="656"/>
      <c r="H16" s="656"/>
      <c r="I16" s="656"/>
      <c r="J16" s="656"/>
      <c r="K16" s="656"/>
      <c r="L16" s="656"/>
      <c r="M16" s="656"/>
      <c r="N16" s="656"/>
      <c r="O16" s="656"/>
      <c r="P16" s="656"/>
      <c r="Q16" s="656"/>
      <c r="R16" s="656"/>
      <c r="S16" s="656"/>
      <c r="T16" s="656"/>
      <c r="U16" s="656"/>
      <c r="V16" s="6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2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2" width="8.7265625" style="34" bestFit="1" customWidth="1"/>
    <col min="3" max="3" width="5.81640625" style="34" bestFit="1" customWidth="1"/>
    <col min="4" max="4" width="8.7265625" style="34" bestFit="1" customWidth="1"/>
    <col min="5" max="5" width="5.81640625" style="34" bestFit="1" customWidth="1"/>
    <col min="6" max="6" width="8.7265625" style="34" bestFit="1" customWidth="1"/>
    <col min="7" max="7" width="5.81640625" style="34" bestFit="1" customWidth="1"/>
    <col min="8" max="8" width="8.7265625" style="34" bestFit="1" customWidth="1"/>
    <col min="9" max="9" width="5.81640625" style="34" bestFit="1" customWidth="1"/>
    <col min="10" max="10" width="8.7265625" style="34" bestFit="1" customWidth="1"/>
    <col min="11" max="11" width="5.81640625" style="34" bestFit="1" customWidth="1"/>
    <col min="12" max="12" width="8.7265625" style="34" bestFit="1" customWidth="1"/>
    <col min="13" max="13" width="5.81640625" style="34" bestFit="1" customWidth="1"/>
    <col min="14" max="14" width="8.7265625" style="34" bestFit="1" customWidth="1"/>
    <col min="15" max="15" width="5.81640625" style="34" bestFit="1" customWidth="1"/>
    <col min="16" max="16" width="8.7265625" style="34" bestFit="1" customWidth="1"/>
    <col min="17" max="17" width="5.81640625" style="34" bestFit="1" customWidth="1"/>
    <col min="18" max="18" width="8.7265625" style="34" bestFit="1" customWidth="1"/>
    <col min="19" max="19" width="5.81640625" style="34" bestFit="1" customWidth="1"/>
    <col min="20" max="20" width="8.7265625" style="34" bestFit="1" customWidth="1"/>
    <col min="21" max="22" width="5.8164062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351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&amp;TECNOLOGIAS!$A$12</f>
        <v>VEÍCULO TIPO Van Atende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01" t="s">
        <v>223</v>
      </c>
      <c r="B13" s="655">
        <f>'4F'!B19</f>
        <v>882000</v>
      </c>
      <c r="C13" s="655">
        <f>'4F'!C19</f>
        <v>0</v>
      </c>
      <c r="D13" s="655">
        <f>'4F'!D19</f>
        <v>240000</v>
      </c>
      <c r="E13" s="655">
        <f>'4F'!E19</f>
        <v>0</v>
      </c>
      <c r="F13" s="655">
        <f>'4F'!F19</f>
        <v>240000</v>
      </c>
      <c r="G13" s="655">
        <f>'4F'!G19</f>
        <v>0</v>
      </c>
      <c r="H13" s="655">
        <f>'4F'!H19</f>
        <v>240000</v>
      </c>
      <c r="I13" s="655">
        <f>'4F'!I19</f>
        <v>0</v>
      </c>
      <c r="J13" s="655">
        <f>'4F'!J19</f>
        <v>240000</v>
      </c>
      <c r="K13" s="655">
        <f>'4F'!K19</f>
        <v>0</v>
      </c>
      <c r="L13" s="655">
        <f>'4F'!L19</f>
        <v>240000</v>
      </c>
      <c r="M13" s="655">
        <f>'4F'!M19</f>
        <v>0</v>
      </c>
      <c r="N13" s="655">
        <f>'4F'!N19</f>
        <v>240000</v>
      </c>
      <c r="O13" s="655">
        <f>'4F'!O19</f>
        <v>0</v>
      </c>
      <c r="P13" s="655">
        <f>'4F'!P19</f>
        <v>240000</v>
      </c>
      <c r="Q13" s="655">
        <f>'4F'!Q19</f>
        <v>0</v>
      </c>
      <c r="R13" s="655">
        <f>'4F'!R19</f>
        <v>240000</v>
      </c>
      <c r="S13" s="655">
        <f>'4F'!S19</f>
        <v>0</v>
      </c>
      <c r="T13" s="655">
        <f>'4F'!T19</f>
        <v>180000</v>
      </c>
      <c r="U13" s="655">
        <f>'4F'!U19</f>
        <v>0</v>
      </c>
      <c r="V13" s="655">
        <f>'4F'!V19</f>
        <v>0</v>
      </c>
    </row>
    <row r="14" spans="1:22" x14ac:dyDescent="0.35">
      <c r="A14" s="101" t="s">
        <v>224</v>
      </c>
      <c r="B14" s="656">
        <f>B13</f>
        <v>882000</v>
      </c>
      <c r="C14" s="656">
        <f t="shared" ref="C14:V14" si="0">C13</f>
        <v>0</v>
      </c>
      <c r="D14" s="656">
        <f t="shared" si="0"/>
        <v>240000</v>
      </c>
      <c r="E14" s="656">
        <f t="shared" si="0"/>
        <v>0</v>
      </c>
      <c r="F14" s="656">
        <f t="shared" si="0"/>
        <v>240000</v>
      </c>
      <c r="G14" s="656">
        <f t="shared" si="0"/>
        <v>0</v>
      </c>
      <c r="H14" s="656">
        <f t="shared" si="0"/>
        <v>240000</v>
      </c>
      <c r="I14" s="656">
        <f t="shared" si="0"/>
        <v>0</v>
      </c>
      <c r="J14" s="656">
        <f t="shared" si="0"/>
        <v>240000</v>
      </c>
      <c r="K14" s="656">
        <f t="shared" si="0"/>
        <v>0</v>
      </c>
      <c r="L14" s="656">
        <f t="shared" si="0"/>
        <v>240000</v>
      </c>
      <c r="M14" s="656">
        <f t="shared" si="0"/>
        <v>0</v>
      </c>
      <c r="N14" s="656">
        <f t="shared" si="0"/>
        <v>240000</v>
      </c>
      <c r="O14" s="656">
        <f t="shared" si="0"/>
        <v>0</v>
      </c>
      <c r="P14" s="656">
        <f t="shared" si="0"/>
        <v>240000</v>
      </c>
      <c r="Q14" s="656">
        <f t="shared" si="0"/>
        <v>0</v>
      </c>
      <c r="R14" s="656">
        <f t="shared" si="0"/>
        <v>240000</v>
      </c>
      <c r="S14" s="656">
        <f t="shared" si="0"/>
        <v>0</v>
      </c>
      <c r="T14" s="656">
        <f t="shared" si="0"/>
        <v>180000</v>
      </c>
      <c r="U14" s="656">
        <f t="shared" si="0"/>
        <v>0</v>
      </c>
      <c r="V14" s="656">
        <f t="shared" si="0"/>
        <v>0</v>
      </c>
    </row>
    <row r="15" spans="1:22" x14ac:dyDescent="0.35">
      <c r="A15" s="101" t="s">
        <v>225</v>
      </c>
      <c r="B15" s="656"/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</row>
    <row r="16" spans="1:22" x14ac:dyDescent="0.35">
      <c r="A16" s="101" t="s">
        <v>226</v>
      </c>
      <c r="B16" s="656"/>
      <c r="C16" s="656"/>
      <c r="D16" s="656"/>
      <c r="E16" s="656"/>
      <c r="F16" s="656"/>
      <c r="G16" s="656"/>
      <c r="H16" s="656"/>
      <c r="I16" s="656"/>
      <c r="J16" s="656"/>
      <c r="K16" s="656"/>
      <c r="L16" s="656"/>
      <c r="M16" s="656"/>
      <c r="N16" s="656"/>
      <c r="O16" s="656"/>
      <c r="P16" s="656"/>
      <c r="Q16" s="656"/>
      <c r="R16" s="656"/>
      <c r="S16" s="656"/>
      <c r="T16" s="656"/>
      <c r="U16" s="656"/>
      <c r="V16" s="6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76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3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22" width="6.179687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352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&amp;TECNOLOGIAS!$A$13</f>
        <v>VEÍCULO TIPO TIPO 7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01" t="s">
        <v>223</v>
      </c>
      <c r="B13" s="159">
        <f>'4G'!B19</f>
        <v>0</v>
      </c>
      <c r="C13" s="159">
        <f>'4G'!C19</f>
        <v>0</v>
      </c>
      <c r="D13" s="159">
        <f>'4G'!D19</f>
        <v>0</v>
      </c>
      <c r="E13" s="159">
        <f>'4G'!E19</f>
        <v>0</v>
      </c>
      <c r="F13" s="159">
        <f>'4G'!F19</f>
        <v>0</v>
      </c>
      <c r="G13" s="159">
        <f>'4G'!G19</f>
        <v>0</v>
      </c>
      <c r="H13" s="159">
        <f>'4G'!H19</f>
        <v>0</v>
      </c>
      <c r="I13" s="159">
        <f>'4G'!I19</f>
        <v>0</v>
      </c>
      <c r="J13" s="159">
        <f>'4G'!J19</f>
        <v>0</v>
      </c>
      <c r="K13" s="159">
        <f>'4G'!K19</f>
        <v>0</v>
      </c>
      <c r="L13" s="159">
        <f>'4G'!L19</f>
        <v>0</v>
      </c>
      <c r="M13" s="159">
        <f>'4G'!M19</f>
        <v>0</v>
      </c>
      <c r="N13" s="159">
        <f>'4G'!N19</f>
        <v>0</v>
      </c>
      <c r="O13" s="159">
        <f>'4G'!O19</f>
        <v>0</v>
      </c>
      <c r="P13" s="159">
        <f>'4G'!P19</f>
        <v>0</v>
      </c>
      <c r="Q13" s="159">
        <f>'4G'!Q19</f>
        <v>0</v>
      </c>
      <c r="R13" s="159">
        <f>'4G'!R19</f>
        <v>0</v>
      </c>
      <c r="S13" s="159">
        <f>'4G'!S19</f>
        <v>0</v>
      </c>
      <c r="T13" s="159">
        <f>'4G'!T19</f>
        <v>0</v>
      </c>
      <c r="U13" s="159">
        <f>'4G'!U19</f>
        <v>0</v>
      </c>
      <c r="V13" s="159">
        <f>'4G'!V19</f>
        <v>0</v>
      </c>
    </row>
    <row r="14" spans="1:22" x14ac:dyDescent="0.35">
      <c r="A14" s="101" t="s">
        <v>224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</row>
    <row r="15" spans="1:22" x14ac:dyDescent="0.35">
      <c r="A15" s="101" t="s">
        <v>225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</row>
    <row r="16" spans="1:22" x14ac:dyDescent="0.35">
      <c r="A16" s="101" t="s">
        <v>226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0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4">
    <pageSetUpPr fitToPage="1"/>
  </sheetPr>
  <dimension ref="A1:V13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3.453125" style="34" customWidth="1"/>
    <col min="2" max="22" width="6.1796875" style="34" bestFit="1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353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222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x14ac:dyDescent="0.35">
      <c r="A8" s="36" t="str">
        <f>"VEÍCULO TIPO "  &amp;TECNOLOGIAS!$A$14</f>
        <v>VEÍCULO TIPO TIPO 8</v>
      </c>
      <c r="B8" s="77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33"/>
      <c r="B9" s="33"/>
      <c r="C9" s="33"/>
      <c r="D9" s="33"/>
      <c r="E9" s="33"/>
      <c r="F9" s="33"/>
      <c r="G9" s="77"/>
      <c r="H9" s="77"/>
      <c r="I9" s="77"/>
      <c r="J9" s="77"/>
      <c r="K9" s="77"/>
      <c r="L9" s="77"/>
    </row>
    <row r="10" spans="1:22" ht="16" thickBot="1" x14ac:dyDescent="0.4">
      <c r="A10" s="260"/>
      <c r="B10" s="668" t="s">
        <v>22</v>
      </c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70"/>
    </row>
    <row r="11" spans="1:22" x14ac:dyDescent="0.35">
      <c r="A11" s="162" t="s">
        <v>23</v>
      </c>
      <c r="B11" s="264" t="s">
        <v>372</v>
      </c>
      <c r="C11" s="265" t="s">
        <v>372</v>
      </c>
      <c r="D11" s="265" t="s">
        <v>372</v>
      </c>
      <c r="E11" s="265" t="s">
        <v>372</v>
      </c>
      <c r="F11" s="265" t="s">
        <v>372</v>
      </c>
      <c r="G11" s="265" t="s">
        <v>372</v>
      </c>
      <c r="H11" s="265" t="s">
        <v>372</v>
      </c>
      <c r="I11" s="265" t="s">
        <v>372</v>
      </c>
      <c r="J11" s="265" t="s">
        <v>372</v>
      </c>
      <c r="K11" s="265" t="s">
        <v>372</v>
      </c>
      <c r="L11" s="265" t="s">
        <v>372</v>
      </c>
      <c r="M11" s="265" t="s">
        <v>372</v>
      </c>
      <c r="N11" s="265" t="s">
        <v>372</v>
      </c>
      <c r="O11" s="265" t="s">
        <v>372</v>
      </c>
      <c r="P11" s="265" t="s">
        <v>372</v>
      </c>
      <c r="Q11" s="265" t="s">
        <v>372</v>
      </c>
      <c r="R11" s="265" t="s">
        <v>372</v>
      </c>
      <c r="S11" s="265" t="s">
        <v>372</v>
      </c>
      <c r="T11" s="265" t="s">
        <v>372</v>
      </c>
      <c r="U11" s="265" t="s">
        <v>372</v>
      </c>
      <c r="V11" s="265" t="s">
        <v>372</v>
      </c>
    </row>
    <row r="12" spans="1:22" ht="16" thickBot="1" x14ac:dyDescent="0.4">
      <c r="A12" s="152"/>
      <c r="B12" s="373" t="s">
        <v>413</v>
      </c>
      <c r="C12" s="80">
        <v>1</v>
      </c>
      <c r="D12" s="80">
        <v>2</v>
      </c>
      <c r="E12" s="80">
        <v>3</v>
      </c>
      <c r="F12" s="80">
        <v>4</v>
      </c>
      <c r="G12" s="80">
        <v>5</v>
      </c>
      <c r="H12" s="80">
        <v>6</v>
      </c>
      <c r="I12" s="80">
        <v>7</v>
      </c>
      <c r="J12" s="80">
        <v>8</v>
      </c>
      <c r="K12" s="80">
        <v>9</v>
      </c>
      <c r="L12" s="80">
        <v>10</v>
      </c>
      <c r="M12" s="80">
        <v>11</v>
      </c>
      <c r="N12" s="80">
        <v>12</v>
      </c>
      <c r="O12" s="80">
        <v>13</v>
      </c>
      <c r="P12" s="80">
        <v>14</v>
      </c>
      <c r="Q12" s="80">
        <v>15</v>
      </c>
      <c r="R12" s="80">
        <v>16</v>
      </c>
      <c r="S12" s="80">
        <v>17</v>
      </c>
      <c r="T12" s="80">
        <v>18</v>
      </c>
      <c r="U12" s="80">
        <v>19</v>
      </c>
      <c r="V12" s="80">
        <v>20</v>
      </c>
    </row>
    <row r="13" spans="1:22" x14ac:dyDescent="0.35">
      <c r="A13" s="101" t="s">
        <v>223</v>
      </c>
      <c r="B13" s="159">
        <f>'4H'!B19</f>
        <v>0</v>
      </c>
      <c r="C13" s="159">
        <f>'4H'!C19</f>
        <v>0</v>
      </c>
      <c r="D13" s="159">
        <f>'4H'!D19</f>
        <v>0</v>
      </c>
      <c r="E13" s="159">
        <f>'4H'!E19</f>
        <v>0</v>
      </c>
      <c r="F13" s="159">
        <f>'4H'!F19</f>
        <v>0</v>
      </c>
      <c r="G13" s="159">
        <f>'4H'!G19</f>
        <v>0</v>
      </c>
      <c r="H13" s="159">
        <f>'4H'!H19</f>
        <v>0</v>
      </c>
      <c r="I13" s="159">
        <f>'4H'!I19</f>
        <v>0</v>
      </c>
      <c r="J13" s="159">
        <f>'4H'!J19</f>
        <v>0</v>
      </c>
      <c r="K13" s="159">
        <f>'4H'!K19</f>
        <v>0</v>
      </c>
      <c r="L13" s="159">
        <f>'4H'!L19</f>
        <v>0</v>
      </c>
      <c r="M13" s="159">
        <f>'4H'!M19</f>
        <v>0</v>
      </c>
      <c r="N13" s="159">
        <f>'4H'!N19</f>
        <v>0</v>
      </c>
      <c r="O13" s="159">
        <f>'4H'!O19</f>
        <v>0</v>
      </c>
      <c r="P13" s="159">
        <f>'4H'!P19</f>
        <v>0</v>
      </c>
      <c r="Q13" s="159">
        <f>'4H'!Q19</f>
        <v>0</v>
      </c>
      <c r="R13" s="159">
        <f>'4H'!R19</f>
        <v>0</v>
      </c>
      <c r="S13" s="159">
        <f>'4H'!S19</f>
        <v>0</v>
      </c>
      <c r="T13" s="159">
        <f>'4H'!T19</f>
        <v>0</v>
      </c>
      <c r="U13" s="159">
        <f>'4H'!U19</f>
        <v>0</v>
      </c>
      <c r="V13" s="159">
        <f>'4H'!V19</f>
        <v>0</v>
      </c>
    </row>
    <row r="14" spans="1:22" x14ac:dyDescent="0.35">
      <c r="A14" s="101" t="s">
        <v>224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</row>
    <row r="15" spans="1:22" x14ac:dyDescent="0.35">
      <c r="A15" s="101" t="s">
        <v>225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</row>
    <row r="16" spans="1:22" x14ac:dyDescent="0.35">
      <c r="A16" s="101" t="s">
        <v>226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</row>
    <row r="17" spans="1:12" x14ac:dyDescent="0.35">
      <c r="A17" s="100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 x14ac:dyDescent="0.35">
      <c r="A18" t="s">
        <v>447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23" spans="1:12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35">
      <c r="A24" s="100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35">
      <c r="A36" s="33"/>
      <c r="B36" s="33"/>
      <c r="C36" s="33"/>
      <c r="D36" s="33"/>
      <c r="E36" s="33"/>
      <c r="F36" s="33"/>
      <c r="G36" s="77"/>
      <c r="H36" s="77"/>
      <c r="I36" s="77"/>
      <c r="J36" s="77"/>
      <c r="K36" s="77"/>
      <c r="L36" s="77"/>
    </row>
    <row r="37" spans="1:12" x14ac:dyDescent="0.35">
      <c r="A37" s="33"/>
      <c r="B37" s="33"/>
      <c r="C37" s="33"/>
      <c r="D37" s="33"/>
      <c r="E37" s="33"/>
      <c r="F37" s="33"/>
      <c r="G37" s="77"/>
      <c r="H37" s="77"/>
      <c r="I37" s="77"/>
      <c r="J37" s="77"/>
      <c r="K37" s="77"/>
      <c r="L37" s="77"/>
    </row>
    <row r="38" spans="1:12" x14ac:dyDescent="0.35">
      <c r="A38" s="33"/>
      <c r="B38" s="33"/>
      <c r="C38" s="33"/>
      <c r="D38" s="33"/>
      <c r="E38" s="33"/>
      <c r="F38" s="33"/>
      <c r="G38" s="77"/>
      <c r="H38" s="77"/>
      <c r="I38" s="77"/>
      <c r="J38" s="77"/>
      <c r="K38" s="77"/>
      <c r="L38" s="77"/>
    </row>
    <row r="39" spans="1:12" x14ac:dyDescent="0.35">
      <c r="A39" s="33"/>
      <c r="B39" s="33"/>
      <c r="C39" s="33"/>
      <c r="D39" s="33"/>
      <c r="E39" s="33"/>
      <c r="F39" s="33"/>
      <c r="G39" s="77"/>
      <c r="H39" s="77"/>
      <c r="I39" s="77"/>
      <c r="J39" s="77"/>
      <c r="K39" s="77"/>
      <c r="L39" s="77"/>
    </row>
    <row r="40" spans="1:12" x14ac:dyDescent="0.35">
      <c r="A40" s="33"/>
      <c r="B40" s="33"/>
      <c r="C40" s="33"/>
      <c r="D40" s="33"/>
      <c r="E40" s="33"/>
      <c r="F40" s="33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x14ac:dyDescent="0.3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x14ac:dyDescent="0.3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x14ac:dyDescent="0.3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x14ac:dyDescent="0.3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x14ac:dyDescent="0.3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x14ac:dyDescent="0.3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x14ac:dyDescent="0.3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x14ac:dyDescent="0.3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x14ac:dyDescent="0.3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x14ac:dyDescent="0.3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x14ac:dyDescent="0.3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x14ac:dyDescent="0.3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x14ac:dyDescent="0.3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x14ac:dyDescent="0.3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x14ac:dyDescent="0.3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x14ac:dyDescent="0.3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x14ac:dyDescent="0.3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x14ac:dyDescent="0.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0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5">
    <pageSetUpPr fitToPage="1"/>
  </sheetPr>
  <dimension ref="A1:IV117"/>
  <sheetViews>
    <sheetView showGridLines="0" showZeros="0" view="pageBreakPreview" zoomScale="40" zoomScaleNormal="87" workbookViewId="0"/>
  </sheetViews>
  <sheetFormatPr defaultColWidth="12.54296875" defaultRowHeight="15.5" x14ac:dyDescent="0.35"/>
  <cols>
    <col min="1" max="1" width="48.453125" style="34" customWidth="1"/>
    <col min="2" max="2" width="13.453125" style="34" bestFit="1" customWidth="1"/>
    <col min="3" max="3" width="15.1796875" style="34" bestFit="1" customWidth="1"/>
    <col min="4" max="5" width="13.7265625" style="34" bestFit="1" customWidth="1"/>
    <col min="6" max="8" width="8.7265625" style="34" customWidth="1"/>
    <col min="9" max="9" width="13" style="34" bestFit="1" customWidth="1"/>
    <col min="10" max="22" width="8.7265625" style="34" customWidth="1"/>
    <col min="23" max="16384" width="12.54296875" style="34"/>
  </cols>
  <sheetData>
    <row r="1" spans="1:22" x14ac:dyDescent="0.35">
      <c r="A1" s="370" t="str">
        <f>TECNOLOGIAS!A1</f>
        <v>Proponente: TransPolitécnica</v>
      </c>
    </row>
    <row r="2" spans="1:22" x14ac:dyDescent="0.35">
      <c r="A2" s="370" t="str">
        <f>TECNOLOGIAS!A2</f>
        <v>Área de Concessão: 5 (Cinco)</v>
      </c>
    </row>
    <row r="4" spans="1:22" ht="18" x14ac:dyDescent="0.4">
      <c r="A4" s="32" t="s">
        <v>419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22" x14ac:dyDescent="0.35">
      <c r="A6" s="35" t="s">
        <v>402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22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22" ht="16" thickBot="1" x14ac:dyDescent="0.4">
      <c r="A8" s="33"/>
      <c r="B8" s="33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22" ht="16" thickBot="1" x14ac:dyDescent="0.4">
      <c r="A9" s="260"/>
      <c r="B9" s="266" t="s">
        <v>22</v>
      </c>
      <c r="C9" s="267"/>
      <c r="D9" s="267"/>
      <c r="E9" s="267"/>
      <c r="F9" s="267"/>
      <c r="G9" s="268"/>
      <c r="H9" s="268"/>
      <c r="I9" s="268"/>
      <c r="J9" s="268"/>
      <c r="K9" s="268"/>
      <c r="L9" s="268"/>
      <c r="M9" s="674" t="s">
        <v>22</v>
      </c>
      <c r="N9" s="674"/>
      <c r="O9" s="674"/>
      <c r="P9" s="674"/>
      <c r="Q9" s="674"/>
      <c r="R9" s="674"/>
      <c r="S9" s="674"/>
      <c r="T9" s="674"/>
      <c r="U9" s="674"/>
      <c r="V9" s="675"/>
    </row>
    <row r="10" spans="1:22" x14ac:dyDescent="0.35">
      <c r="A10" s="335" t="s">
        <v>21</v>
      </c>
      <c r="B10" s="344" t="s">
        <v>372</v>
      </c>
      <c r="C10" s="344" t="s">
        <v>372</v>
      </c>
      <c r="D10" s="344" t="s">
        <v>372</v>
      </c>
      <c r="E10" s="344" t="s">
        <v>372</v>
      </c>
      <c r="F10" s="344" t="s">
        <v>372</v>
      </c>
      <c r="G10" s="344" t="s">
        <v>372</v>
      </c>
      <c r="H10" s="344" t="s">
        <v>372</v>
      </c>
      <c r="I10" s="344" t="s">
        <v>372</v>
      </c>
      <c r="J10" s="344" t="s">
        <v>372</v>
      </c>
      <c r="K10" s="344" t="s">
        <v>372</v>
      </c>
      <c r="L10" s="344" t="s">
        <v>372</v>
      </c>
      <c r="M10" s="344" t="s">
        <v>372</v>
      </c>
      <c r="N10" s="344" t="s">
        <v>372</v>
      </c>
      <c r="O10" s="344" t="s">
        <v>372</v>
      </c>
      <c r="P10" s="344" t="s">
        <v>372</v>
      </c>
      <c r="Q10" s="344" t="s">
        <v>372</v>
      </c>
      <c r="R10" s="344" t="s">
        <v>372</v>
      </c>
      <c r="S10" s="344" t="s">
        <v>372</v>
      </c>
      <c r="T10" s="344" t="s">
        <v>372</v>
      </c>
      <c r="U10" s="344" t="s">
        <v>372</v>
      </c>
      <c r="V10" s="344" t="s">
        <v>372</v>
      </c>
    </row>
    <row r="11" spans="1:22" ht="16" thickBot="1" x14ac:dyDescent="0.4">
      <c r="A11" s="343"/>
      <c r="B11" s="373" t="s">
        <v>413</v>
      </c>
      <c r="C11" s="345">
        <v>1</v>
      </c>
      <c r="D11" s="345">
        <v>2</v>
      </c>
      <c r="E11" s="345">
        <v>3</v>
      </c>
      <c r="F11" s="345">
        <v>4</v>
      </c>
      <c r="G11" s="345">
        <v>5</v>
      </c>
      <c r="H11" s="345">
        <v>6</v>
      </c>
      <c r="I11" s="345">
        <v>7</v>
      </c>
      <c r="J11" s="345">
        <v>8</v>
      </c>
      <c r="K11" s="345">
        <v>9</v>
      </c>
      <c r="L11" s="345">
        <v>10</v>
      </c>
      <c r="M11" s="80">
        <v>11</v>
      </c>
      <c r="N11" s="80">
        <v>12</v>
      </c>
      <c r="O11" s="80">
        <v>13</v>
      </c>
      <c r="P11" s="80">
        <v>14</v>
      </c>
      <c r="Q11" s="80">
        <v>15</v>
      </c>
      <c r="R11" s="80">
        <v>16</v>
      </c>
      <c r="S11" s="80">
        <v>17</v>
      </c>
      <c r="T11" s="80">
        <v>18</v>
      </c>
      <c r="U11" s="80">
        <v>19</v>
      </c>
      <c r="V11" s="80">
        <v>20</v>
      </c>
    </row>
    <row r="12" spans="1:22" x14ac:dyDescent="0.35">
      <c r="A12" s="117" t="s">
        <v>904</v>
      </c>
      <c r="B12" s="340"/>
      <c r="C12" s="156">
        <f>1750578/3</f>
        <v>583526</v>
      </c>
      <c r="D12" s="156">
        <f>1750578/3</f>
        <v>583526</v>
      </c>
      <c r="E12" s="156">
        <f>1750578/3</f>
        <v>583526</v>
      </c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35">
      <c r="A13" s="117" t="s">
        <v>905</v>
      </c>
      <c r="B13" s="156">
        <v>140395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</row>
    <row r="14" spans="1:22" x14ac:dyDescent="0.35">
      <c r="A14" s="117" t="s">
        <v>906</v>
      </c>
      <c r="B14" s="156"/>
      <c r="C14" s="156">
        <v>140395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</row>
    <row r="15" spans="1:22" x14ac:dyDescent="0.35">
      <c r="A15" s="117" t="s">
        <v>907</v>
      </c>
      <c r="B15" s="156"/>
      <c r="C15" s="156">
        <v>142395</v>
      </c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</row>
    <row r="16" spans="1:22" x14ac:dyDescent="0.35">
      <c r="A16" s="117" t="s">
        <v>911</v>
      </c>
      <c r="B16" s="156"/>
      <c r="C16" s="156"/>
      <c r="D16" s="156"/>
      <c r="E16" s="156"/>
      <c r="F16" s="156"/>
      <c r="G16" s="156"/>
      <c r="H16" s="156"/>
      <c r="I16" s="156">
        <v>280790</v>
      </c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</row>
    <row r="17" spans="1:256" x14ac:dyDescent="0.35">
      <c r="A17" s="117" t="s">
        <v>909</v>
      </c>
      <c r="B17" s="156"/>
      <c r="C17" s="156">
        <f>7481600/8/3</f>
        <v>311733.33333333331</v>
      </c>
      <c r="D17" s="156">
        <f>7481600/8/3</f>
        <v>311733.33333333331</v>
      </c>
      <c r="E17" s="156">
        <f>7481600/8/3</f>
        <v>311733.33333333331</v>
      </c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</row>
    <row r="18" spans="1:256" x14ac:dyDescent="0.35">
      <c r="A18" s="117" t="s">
        <v>908</v>
      </c>
      <c r="B18" s="156"/>
      <c r="C18" s="156">
        <v>142395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</row>
    <row r="19" spans="1:256" x14ac:dyDescent="0.35">
      <c r="A19" s="603" t="s">
        <v>399</v>
      </c>
      <c r="B19" s="159">
        <f t="shared" ref="B19:V19" si="0">SUM(B12:B18)</f>
        <v>140395</v>
      </c>
      <c r="C19" s="159">
        <f t="shared" si="0"/>
        <v>1320444.3333333333</v>
      </c>
      <c r="D19" s="159">
        <f t="shared" si="0"/>
        <v>895259.33333333326</v>
      </c>
      <c r="E19" s="159">
        <f t="shared" si="0"/>
        <v>895259.33333333326</v>
      </c>
      <c r="F19" s="159">
        <f t="shared" si="0"/>
        <v>0</v>
      </c>
      <c r="G19" s="159">
        <f t="shared" si="0"/>
        <v>0</v>
      </c>
      <c r="H19" s="159">
        <f t="shared" si="0"/>
        <v>0</v>
      </c>
      <c r="I19" s="159">
        <f t="shared" si="0"/>
        <v>280790</v>
      </c>
      <c r="J19" s="159">
        <f t="shared" si="0"/>
        <v>0</v>
      </c>
      <c r="K19" s="159">
        <f t="shared" si="0"/>
        <v>0</v>
      </c>
      <c r="L19" s="159">
        <f t="shared" si="0"/>
        <v>0</v>
      </c>
      <c r="M19" s="159">
        <f t="shared" si="0"/>
        <v>0</v>
      </c>
      <c r="N19" s="159">
        <f t="shared" si="0"/>
        <v>0</v>
      </c>
      <c r="O19" s="159">
        <f t="shared" si="0"/>
        <v>0</v>
      </c>
      <c r="P19" s="159">
        <f t="shared" si="0"/>
        <v>0</v>
      </c>
      <c r="Q19" s="159">
        <f t="shared" si="0"/>
        <v>0</v>
      </c>
      <c r="R19" s="159">
        <f t="shared" si="0"/>
        <v>0</v>
      </c>
      <c r="S19" s="159">
        <f t="shared" si="0"/>
        <v>0</v>
      </c>
      <c r="T19" s="159">
        <f t="shared" si="0"/>
        <v>0</v>
      </c>
      <c r="U19" s="159">
        <f t="shared" si="0"/>
        <v>0</v>
      </c>
      <c r="V19" s="159">
        <f t="shared" si="0"/>
        <v>0</v>
      </c>
    </row>
    <row r="20" spans="1:256" s="337" customFormat="1" ht="13" x14ac:dyDescent="0.3">
      <c r="A20" s="603" t="s">
        <v>400</v>
      </c>
      <c r="U20" s="338"/>
      <c r="V20" s="341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 s="339"/>
      <c r="AU20" s="339"/>
      <c r="AV20" s="339"/>
      <c r="AW20" s="339"/>
      <c r="AX20" s="339"/>
      <c r="AY20" s="339"/>
      <c r="AZ20" s="339"/>
      <c r="BA20" s="339"/>
      <c r="BB20" s="339"/>
      <c r="BC20" s="339"/>
      <c r="BD20" s="339"/>
      <c r="BE20" s="339"/>
      <c r="BF20" s="339"/>
      <c r="BG20" s="339"/>
      <c r="BH20" s="339"/>
      <c r="BI20" s="339"/>
      <c r="BJ20" s="339"/>
      <c r="BK20" s="339"/>
      <c r="BL20" s="339"/>
      <c r="BM20" s="339"/>
      <c r="BN20" s="339"/>
      <c r="BO20" s="339"/>
      <c r="BP20" s="339"/>
      <c r="BQ20" s="339"/>
      <c r="BR20" s="339"/>
      <c r="BS20" s="339"/>
      <c r="BT20" s="339"/>
      <c r="BU20" s="339"/>
      <c r="BV20" s="339"/>
      <c r="BW20" s="339"/>
      <c r="BX20" s="339"/>
      <c r="BY20" s="339"/>
      <c r="BZ20" s="339"/>
      <c r="CA20" s="339"/>
      <c r="CB20" s="339"/>
      <c r="CC20" s="339"/>
      <c r="CD20" s="339"/>
      <c r="CE20" s="339"/>
      <c r="CF20" s="339"/>
      <c r="CG20" s="339"/>
      <c r="CH20" s="339"/>
      <c r="CI20" s="339"/>
      <c r="CJ20" s="339"/>
      <c r="CK20" s="339"/>
      <c r="CL20" s="339"/>
      <c r="CM20" s="339"/>
      <c r="CN20" s="339"/>
      <c r="CO20" s="339"/>
      <c r="CP20" s="339"/>
      <c r="CQ20" s="339"/>
      <c r="CR20" s="339"/>
      <c r="CS20" s="339"/>
      <c r="CT20" s="339"/>
      <c r="CU20" s="339"/>
      <c r="CV20" s="339"/>
      <c r="CW20" s="339"/>
      <c r="CX20" s="339"/>
      <c r="CY20" s="339"/>
      <c r="CZ20" s="339"/>
      <c r="DA20" s="339"/>
      <c r="DB20" s="339"/>
      <c r="DC20" s="339"/>
      <c r="DD20" s="339"/>
      <c r="DE20" s="339"/>
      <c r="DF20" s="339"/>
      <c r="DG20" s="339"/>
      <c r="DH20" s="339"/>
      <c r="DI20" s="339"/>
      <c r="DJ20" s="339"/>
      <c r="DK20" s="339"/>
      <c r="DL20" s="339"/>
      <c r="DM20" s="339"/>
      <c r="DN20" s="339"/>
      <c r="DO20" s="339"/>
      <c r="DP20" s="339"/>
      <c r="DQ20" s="339"/>
      <c r="DR20" s="339"/>
      <c r="DS20" s="339"/>
      <c r="DT20" s="339"/>
      <c r="DU20" s="339"/>
      <c r="DV20" s="339"/>
      <c r="DW20" s="339"/>
      <c r="DX20" s="339"/>
      <c r="DY20" s="339"/>
      <c r="DZ20" s="339"/>
      <c r="EA20" s="339"/>
      <c r="EB20" s="339"/>
      <c r="EC20" s="339"/>
      <c r="ED20" s="339"/>
      <c r="EE20" s="339"/>
      <c r="EF20" s="339"/>
      <c r="EG20" s="339"/>
      <c r="EH20" s="339"/>
      <c r="EI20" s="339"/>
      <c r="EJ20" s="339"/>
      <c r="EK20" s="339"/>
      <c r="EL20" s="339"/>
      <c r="EM20" s="339"/>
      <c r="EN20" s="339"/>
      <c r="EO20" s="339"/>
      <c r="EP20" s="339"/>
      <c r="EQ20" s="339"/>
      <c r="ER20" s="339"/>
      <c r="ES20" s="339"/>
      <c r="ET20" s="339"/>
      <c r="EU20" s="339"/>
      <c r="EV20" s="339"/>
      <c r="EW20" s="339"/>
      <c r="EX20" s="339"/>
      <c r="EY20" s="339"/>
      <c r="EZ20" s="339"/>
      <c r="FA20" s="339"/>
      <c r="FB20" s="339"/>
      <c r="FC20" s="339"/>
      <c r="FD20" s="339"/>
      <c r="FE20" s="339"/>
      <c r="FF20" s="339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</row>
    <row r="21" spans="1:256" x14ac:dyDescent="0.35">
      <c r="A21" s="117" t="s">
        <v>224</v>
      </c>
      <c r="B21" s="156">
        <f>B19</f>
        <v>140395</v>
      </c>
      <c r="C21" s="156">
        <f t="shared" ref="C21:V21" si="1">C19</f>
        <v>1320444.3333333333</v>
      </c>
      <c r="D21" s="156">
        <f t="shared" si="1"/>
        <v>895259.33333333326</v>
      </c>
      <c r="E21" s="156">
        <f t="shared" si="1"/>
        <v>895259.33333333326</v>
      </c>
      <c r="F21" s="156">
        <f t="shared" si="1"/>
        <v>0</v>
      </c>
      <c r="G21" s="156">
        <f t="shared" si="1"/>
        <v>0</v>
      </c>
      <c r="H21" s="156">
        <f t="shared" si="1"/>
        <v>0</v>
      </c>
      <c r="I21" s="156">
        <f t="shared" si="1"/>
        <v>280790</v>
      </c>
      <c r="J21" s="156">
        <f t="shared" si="1"/>
        <v>0</v>
      </c>
      <c r="K21" s="156">
        <f t="shared" si="1"/>
        <v>0</v>
      </c>
      <c r="L21" s="156">
        <f t="shared" si="1"/>
        <v>0</v>
      </c>
      <c r="M21" s="156">
        <f t="shared" si="1"/>
        <v>0</v>
      </c>
      <c r="N21" s="156">
        <f t="shared" si="1"/>
        <v>0</v>
      </c>
      <c r="O21" s="156">
        <f t="shared" si="1"/>
        <v>0</v>
      </c>
      <c r="P21" s="156">
        <f t="shared" si="1"/>
        <v>0</v>
      </c>
      <c r="Q21" s="156">
        <f t="shared" si="1"/>
        <v>0</v>
      </c>
      <c r="R21" s="156">
        <f t="shared" si="1"/>
        <v>0</v>
      </c>
      <c r="S21" s="156">
        <f t="shared" si="1"/>
        <v>0</v>
      </c>
      <c r="T21" s="156">
        <f t="shared" si="1"/>
        <v>0</v>
      </c>
      <c r="U21" s="156">
        <f t="shared" si="1"/>
        <v>0</v>
      </c>
      <c r="V21" s="156">
        <f t="shared" si="1"/>
        <v>0</v>
      </c>
    </row>
    <row r="22" spans="1:256" x14ac:dyDescent="0.35">
      <c r="A22" s="117" t="s">
        <v>225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</row>
    <row r="23" spans="1:256" x14ac:dyDescent="0.35">
      <c r="A23" s="100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56" x14ac:dyDescent="0.35">
      <c r="A24" t="s">
        <v>447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56" x14ac:dyDescent="0.3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</row>
    <row r="26" spans="1:256" x14ac:dyDescent="0.3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</row>
    <row r="27" spans="1:256" x14ac:dyDescent="0.3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</row>
    <row r="28" spans="1:256" x14ac:dyDescent="0.3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</row>
    <row r="29" spans="1:256" x14ac:dyDescent="0.3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</row>
    <row r="30" spans="1:256" x14ac:dyDescent="0.3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</row>
    <row r="31" spans="1:256" x14ac:dyDescent="0.3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</row>
    <row r="32" spans="1:256" x14ac:dyDescent="0.3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</row>
    <row r="33" spans="1:12" x14ac:dyDescent="0.3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</row>
    <row r="34" spans="1:12" x14ac:dyDescent="0.3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</row>
    <row r="35" spans="1:12" x14ac:dyDescent="0.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</row>
    <row r="36" spans="1:12" x14ac:dyDescent="0.3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</row>
    <row r="37" spans="1:12" x14ac:dyDescent="0.3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</row>
    <row r="38" spans="1:12" x14ac:dyDescent="0.3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</row>
    <row r="39" spans="1:12" x14ac:dyDescent="0.3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</row>
    <row r="40" spans="1:12" x14ac:dyDescent="0.3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  <row r="56" spans="1:12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7" spans="1:12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</row>
    <row r="58" spans="1:12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</row>
    <row r="59" spans="1:12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</row>
    <row r="60" spans="1:12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</row>
    <row r="61" spans="1:12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</row>
    <row r="62" spans="1:12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</row>
    <row r="63" spans="1:12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</row>
    <row r="64" spans="1:12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</row>
    <row r="65" spans="1:12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</row>
    <row r="66" spans="1:12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</row>
    <row r="67" spans="1:12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</row>
    <row r="68" spans="1:12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</row>
    <row r="69" spans="1:12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</row>
    <row r="70" spans="1:12" x14ac:dyDescent="0.3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</row>
    <row r="72" spans="1:12" x14ac:dyDescent="0.3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</row>
    <row r="73" spans="1:12" x14ac:dyDescent="0.3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</row>
    <row r="74" spans="1:12" x14ac:dyDescent="0.3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</row>
    <row r="75" spans="1:12" x14ac:dyDescent="0.3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</row>
    <row r="76" spans="1:12" x14ac:dyDescent="0.3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</row>
    <row r="77" spans="1:12" x14ac:dyDescent="0.3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</row>
    <row r="78" spans="1:12" x14ac:dyDescent="0.3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</row>
    <row r="79" spans="1:12" x14ac:dyDescent="0.3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</row>
    <row r="80" spans="1:12" x14ac:dyDescent="0.3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</row>
    <row r="81" spans="1:12" x14ac:dyDescent="0.3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</row>
    <row r="82" spans="1:12" x14ac:dyDescent="0.3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</row>
    <row r="83" spans="1:12" x14ac:dyDescent="0.3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</row>
    <row r="84" spans="1:12" x14ac:dyDescent="0.3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 x14ac:dyDescent="0.3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2" x14ac:dyDescent="0.3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</row>
    <row r="87" spans="1:12" x14ac:dyDescent="0.3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</row>
    <row r="88" spans="1:12" x14ac:dyDescent="0.3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</row>
    <row r="89" spans="1:12" x14ac:dyDescent="0.3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</row>
    <row r="90" spans="1:12" x14ac:dyDescent="0.3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2" x14ac:dyDescent="0.3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</row>
    <row r="92" spans="1:12" x14ac:dyDescent="0.3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</row>
    <row r="93" spans="1:12" x14ac:dyDescent="0.3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</row>
    <row r="94" spans="1:12" x14ac:dyDescent="0.3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</row>
    <row r="95" spans="1:12" x14ac:dyDescent="0.3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2" x14ac:dyDescent="0.3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</row>
    <row r="97" spans="1:12" x14ac:dyDescent="0.3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</row>
    <row r="98" spans="1:12" x14ac:dyDescent="0.3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</row>
    <row r="99" spans="1:12" x14ac:dyDescent="0.3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</row>
    <row r="100" spans="1:12" x14ac:dyDescent="0.3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x14ac:dyDescent="0.3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x14ac:dyDescent="0.3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x14ac:dyDescent="0.3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x14ac:dyDescent="0.3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x14ac:dyDescent="0.3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x14ac:dyDescent="0.3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x14ac:dyDescent="0.3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x14ac:dyDescent="0.3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x14ac:dyDescent="0.3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x14ac:dyDescent="0.3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x14ac:dyDescent="0.3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x14ac:dyDescent="0.3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x14ac:dyDescent="0.3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x14ac:dyDescent="0.3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x14ac:dyDescent="0.3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x14ac:dyDescent="0.3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x14ac:dyDescent="0.3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</row>
  </sheetData>
  <sheetProtection objects="1"/>
  <mergeCells count="1">
    <mergeCell ref="M9:V9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78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/>
  <dimension ref="A1:AL5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9" style="34" customWidth="1"/>
    <col min="2" max="2" width="15.1796875" style="34" bestFit="1" customWidth="1"/>
    <col min="3" max="10" width="13.453125" style="34" bestFit="1" customWidth="1"/>
    <col min="11" max="22" width="8.81640625" style="34" customWidth="1"/>
    <col min="23" max="16384" width="12.54296875" style="34"/>
  </cols>
  <sheetData>
    <row r="1" spans="1:38" x14ac:dyDescent="0.35">
      <c r="A1" s="370" t="str">
        <f>TECNOLOGIAS!A1</f>
        <v>Proponente: TransPolitécnica</v>
      </c>
    </row>
    <row r="2" spans="1:38" x14ac:dyDescent="0.35">
      <c r="A2" s="370" t="str">
        <f>TECNOLOGIAS!A2</f>
        <v>Área de Concessão: 5 (Cinco)</v>
      </c>
    </row>
    <row r="4" spans="1:38" ht="18" x14ac:dyDescent="0.4">
      <c r="A4" s="32" t="s">
        <v>261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38" x14ac:dyDescent="0.35">
      <c r="A6" s="93" t="s">
        <v>844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38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38" ht="16" thickBot="1" x14ac:dyDescent="0.4">
      <c r="A8" s="33"/>
      <c r="B8" s="33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38" ht="16" thickBot="1" x14ac:dyDescent="0.4">
      <c r="A9" s="260"/>
      <c r="B9" s="668" t="s">
        <v>22</v>
      </c>
      <c r="C9" s="669"/>
      <c r="D9" s="669"/>
      <c r="E9" s="669"/>
      <c r="F9" s="669"/>
      <c r="G9" s="669"/>
      <c r="H9" s="669"/>
      <c r="I9" s="669"/>
      <c r="J9" s="669"/>
      <c r="K9" s="669"/>
      <c r="L9" s="670"/>
      <c r="M9" s="268" t="s">
        <v>22</v>
      </c>
      <c r="N9" s="336"/>
      <c r="O9" s="336"/>
      <c r="P9" s="336"/>
      <c r="Q9" s="336"/>
      <c r="R9" s="336"/>
      <c r="S9" s="336"/>
      <c r="T9" s="336"/>
      <c r="U9" s="336"/>
      <c r="V9" s="269"/>
    </row>
    <row r="10" spans="1:38" x14ac:dyDescent="0.35">
      <c r="A10" s="335" t="s">
        <v>913</v>
      </c>
      <c r="B10" s="342" t="s">
        <v>372</v>
      </c>
      <c r="C10" s="342" t="s">
        <v>372</v>
      </c>
      <c r="D10" s="342" t="s">
        <v>372</v>
      </c>
      <c r="E10" s="342" t="s">
        <v>372</v>
      </c>
      <c r="F10" s="342" t="s">
        <v>372</v>
      </c>
      <c r="G10" s="342" t="s">
        <v>372</v>
      </c>
      <c r="H10" s="342" t="s">
        <v>372</v>
      </c>
      <c r="I10" s="342" t="s">
        <v>372</v>
      </c>
      <c r="J10" s="342" t="s">
        <v>372</v>
      </c>
      <c r="K10" s="342" t="s">
        <v>372</v>
      </c>
      <c r="L10" s="342" t="s">
        <v>372</v>
      </c>
      <c r="M10" s="342" t="s">
        <v>372</v>
      </c>
      <c r="N10" s="342" t="s">
        <v>372</v>
      </c>
      <c r="O10" s="342" t="s">
        <v>372</v>
      </c>
      <c r="P10" s="342" t="s">
        <v>372</v>
      </c>
      <c r="Q10" s="342" t="s">
        <v>372</v>
      </c>
      <c r="R10" s="342" t="s">
        <v>372</v>
      </c>
      <c r="S10" s="342" t="s">
        <v>372</v>
      </c>
      <c r="T10" s="342" t="s">
        <v>372</v>
      </c>
      <c r="U10" s="342" t="s">
        <v>372</v>
      </c>
      <c r="V10" s="344" t="s">
        <v>372</v>
      </c>
    </row>
    <row r="11" spans="1:38" ht="16" thickBot="1" x14ac:dyDescent="0.4">
      <c r="A11" s="152"/>
      <c r="B11" s="373" t="s">
        <v>413</v>
      </c>
      <c r="C11" s="99">
        <v>1</v>
      </c>
      <c r="D11" s="99">
        <v>2</v>
      </c>
      <c r="E11" s="99">
        <v>3</v>
      </c>
      <c r="F11" s="99">
        <v>4</v>
      </c>
      <c r="G11" s="99">
        <v>5</v>
      </c>
      <c r="H11" s="99">
        <v>6</v>
      </c>
      <c r="I11" s="99">
        <v>7</v>
      </c>
      <c r="J11" s="99">
        <v>8</v>
      </c>
      <c r="K11" s="99">
        <v>9</v>
      </c>
      <c r="L11" s="99">
        <v>10</v>
      </c>
      <c r="M11" s="99">
        <v>11</v>
      </c>
      <c r="N11" s="99">
        <v>12</v>
      </c>
      <c r="O11" s="99">
        <v>13</v>
      </c>
      <c r="P11" s="99">
        <v>14</v>
      </c>
      <c r="Q11" s="99">
        <v>15</v>
      </c>
      <c r="R11" s="99">
        <v>16</v>
      </c>
      <c r="S11" s="99">
        <v>17</v>
      </c>
      <c r="T11" s="99">
        <v>18</v>
      </c>
      <c r="U11" s="346">
        <v>19</v>
      </c>
      <c r="V11" s="345">
        <v>20</v>
      </c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</row>
    <row r="12" spans="1:38" x14ac:dyDescent="0.35">
      <c r="A12" s="92" t="s">
        <v>327</v>
      </c>
      <c r="B12" s="159">
        <f>B13+B14</f>
        <v>4887190</v>
      </c>
      <c r="C12" s="159">
        <f t="shared" ref="C12:L12" si="0">C13+C14</f>
        <v>426080</v>
      </c>
      <c r="D12" s="159">
        <f t="shared" si="0"/>
        <v>369410</v>
      </c>
      <c r="E12" s="159">
        <f t="shared" si="0"/>
        <v>371270</v>
      </c>
      <c r="F12" s="159">
        <f t="shared" si="0"/>
        <v>460630</v>
      </c>
      <c r="G12" s="159">
        <f t="shared" si="0"/>
        <v>454240</v>
      </c>
      <c r="H12" s="159">
        <f t="shared" si="0"/>
        <v>450030</v>
      </c>
      <c r="I12" s="159">
        <f t="shared" si="0"/>
        <v>454240</v>
      </c>
      <c r="J12" s="159">
        <f t="shared" si="0"/>
        <v>437560</v>
      </c>
      <c r="K12" s="159">
        <f t="shared" si="0"/>
        <v>0</v>
      </c>
      <c r="L12" s="159">
        <f t="shared" si="0"/>
        <v>0</v>
      </c>
      <c r="M12" s="159">
        <f t="shared" ref="M12:V12" si="1">M13+M14</f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347">
        <f t="shared" si="1"/>
        <v>0</v>
      </c>
    </row>
    <row r="13" spans="1:38" x14ac:dyDescent="0.35">
      <c r="A13" s="92" t="s">
        <v>224</v>
      </c>
      <c r="B13" s="156">
        <f>B15</f>
        <v>4887190</v>
      </c>
      <c r="C13" s="156">
        <f t="shared" ref="C13:V13" si="2">C15</f>
        <v>426080</v>
      </c>
      <c r="D13" s="156">
        <f t="shared" si="2"/>
        <v>369410</v>
      </c>
      <c r="E13" s="156">
        <f t="shared" si="2"/>
        <v>371270</v>
      </c>
      <c r="F13" s="156">
        <f t="shared" si="2"/>
        <v>460630</v>
      </c>
      <c r="G13" s="156">
        <f t="shared" si="2"/>
        <v>454240</v>
      </c>
      <c r="H13" s="156">
        <f t="shared" si="2"/>
        <v>450030</v>
      </c>
      <c r="I13" s="156">
        <f t="shared" si="2"/>
        <v>454240</v>
      </c>
      <c r="J13" s="156">
        <f t="shared" si="2"/>
        <v>437560</v>
      </c>
      <c r="K13" s="156">
        <f t="shared" si="2"/>
        <v>0</v>
      </c>
      <c r="L13" s="156">
        <f t="shared" si="2"/>
        <v>0</v>
      </c>
      <c r="M13" s="156">
        <f t="shared" si="2"/>
        <v>0</v>
      </c>
      <c r="N13" s="156">
        <f t="shared" si="2"/>
        <v>0</v>
      </c>
      <c r="O13" s="156">
        <f t="shared" si="2"/>
        <v>0</v>
      </c>
      <c r="P13" s="156">
        <f t="shared" si="2"/>
        <v>0</v>
      </c>
      <c r="Q13" s="156">
        <f t="shared" si="2"/>
        <v>0</v>
      </c>
      <c r="R13" s="156">
        <f t="shared" si="2"/>
        <v>0</v>
      </c>
      <c r="S13" s="156">
        <f t="shared" si="2"/>
        <v>0</v>
      </c>
      <c r="T13" s="156">
        <f t="shared" si="2"/>
        <v>0</v>
      </c>
      <c r="U13" s="156">
        <f t="shared" si="2"/>
        <v>0</v>
      </c>
      <c r="V13" s="156">
        <f t="shared" si="2"/>
        <v>0</v>
      </c>
    </row>
    <row r="14" spans="1:38" x14ac:dyDescent="0.35">
      <c r="A14" s="92" t="s">
        <v>225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</row>
    <row r="15" spans="1:38" x14ac:dyDescent="0.35">
      <c r="A15" s="100"/>
      <c r="B15" s="606">
        <f>'9'!C26-B23</f>
        <v>4887190</v>
      </c>
      <c r="C15" s="606">
        <f>'9'!D26-C23</f>
        <v>426080</v>
      </c>
      <c r="D15" s="606">
        <f>'9'!E26-D23</f>
        <v>369410</v>
      </c>
      <c r="E15" s="606">
        <f>'9'!F26-E23</f>
        <v>371270</v>
      </c>
      <c r="F15" s="606">
        <f>'9'!G26-F23</f>
        <v>460630</v>
      </c>
      <c r="G15" s="606">
        <f>'9'!H26-G23</f>
        <v>454240</v>
      </c>
      <c r="H15" s="606">
        <f>'9'!I26-H23</f>
        <v>450030</v>
      </c>
      <c r="I15" s="606">
        <f>'9'!J26-I23</f>
        <v>454240</v>
      </c>
      <c r="J15" s="606">
        <f>'9'!K26-J23</f>
        <v>437560</v>
      </c>
      <c r="K15" s="606">
        <f>'9'!L26-K23</f>
        <v>0</v>
      </c>
      <c r="L15" s="606">
        <f>'9'!M26-L23</f>
        <v>0</v>
      </c>
      <c r="M15" s="606">
        <f>'9'!N26-M23</f>
        <v>0</v>
      </c>
      <c r="N15" s="606">
        <f>'9'!O26-N23</f>
        <v>0</v>
      </c>
      <c r="O15" s="606">
        <f>'9'!P26-O23</f>
        <v>0</v>
      </c>
      <c r="P15" s="606">
        <f>'9'!Q26-P23</f>
        <v>0</v>
      </c>
      <c r="Q15" s="606">
        <f>'9'!R26-Q23</f>
        <v>0</v>
      </c>
      <c r="R15" s="606">
        <f>'9'!S26-R23</f>
        <v>0</v>
      </c>
      <c r="S15" s="606">
        <f>'9'!T26-S23</f>
        <v>0</v>
      </c>
      <c r="T15" s="606">
        <f>'9'!U26-T23</f>
        <v>0</v>
      </c>
      <c r="U15" s="606">
        <f>'9'!V26-U23</f>
        <v>0</v>
      </c>
      <c r="V15" s="606">
        <f>'9'!W26-V23</f>
        <v>0</v>
      </c>
    </row>
    <row r="16" spans="1:38" ht="16" thickBot="1" x14ac:dyDescent="0.4">
      <c r="A16" s="100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16" thickBot="1" x14ac:dyDescent="0.4">
      <c r="A17" s="260"/>
      <c r="B17" s="668" t="s">
        <v>22</v>
      </c>
      <c r="C17" s="669"/>
      <c r="D17" s="669"/>
      <c r="E17" s="669"/>
      <c r="F17" s="669"/>
      <c r="G17" s="669"/>
      <c r="H17" s="669"/>
      <c r="I17" s="669"/>
      <c r="J17" s="669"/>
      <c r="K17" s="669"/>
      <c r="L17" s="670"/>
      <c r="M17" s="268" t="s">
        <v>22</v>
      </c>
      <c r="N17" s="268"/>
      <c r="O17" s="268"/>
      <c r="P17" s="268"/>
      <c r="Q17" s="268"/>
      <c r="R17" s="268"/>
      <c r="S17" s="268"/>
      <c r="T17" s="268"/>
      <c r="U17" s="268"/>
      <c r="V17" s="269"/>
    </row>
    <row r="18" spans="1:22" x14ac:dyDescent="0.35">
      <c r="A18" s="282" t="s">
        <v>273</v>
      </c>
      <c r="B18" s="264" t="s">
        <v>372</v>
      </c>
      <c r="C18" s="265" t="s">
        <v>372</v>
      </c>
      <c r="D18" s="265" t="s">
        <v>372</v>
      </c>
      <c r="E18" s="265" t="s">
        <v>372</v>
      </c>
      <c r="F18" s="265" t="s">
        <v>372</v>
      </c>
      <c r="G18" s="265" t="s">
        <v>372</v>
      </c>
      <c r="H18" s="265" t="s">
        <v>372</v>
      </c>
      <c r="I18" s="265" t="s">
        <v>372</v>
      </c>
      <c r="J18" s="265" t="s">
        <v>372</v>
      </c>
      <c r="K18" s="265" t="s">
        <v>372</v>
      </c>
      <c r="L18" s="265" t="s">
        <v>372</v>
      </c>
      <c r="M18" s="265" t="s">
        <v>372</v>
      </c>
      <c r="N18" s="265" t="s">
        <v>372</v>
      </c>
      <c r="O18" s="265" t="s">
        <v>372</v>
      </c>
      <c r="P18" s="265" t="s">
        <v>372</v>
      </c>
      <c r="Q18" s="265" t="s">
        <v>372</v>
      </c>
      <c r="R18" s="265" t="s">
        <v>372</v>
      </c>
      <c r="S18" s="265" t="s">
        <v>372</v>
      </c>
      <c r="T18" s="265" t="s">
        <v>372</v>
      </c>
      <c r="U18" s="265" t="s">
        <v>372</v>
      </c>
      <c r="V18" s="265" t="s">
        <v>372</v>
      </c>
    </row>
    <row r="19" spans="1:22" ht="16" thickBot="1" x14ac:dyDescent="0.4">
      <c r="A19" s="152"/>
      <c r="B19" s="373" t="s">
        <v>413</v>
      </c>
      <c r="C19" s="80">
        <v>1</v>
      </c>
      <c r="D19" s="80">
        <v>2</v>
      </c>
      <c r="E19" s="80">
        <v>3</v>
      </c>
      <c r="F19" s="80">
        <v>4</v>
      </c>
      <c r="G19" s="80">
        <v>5</v>
      </c>
      <c r="H19" s="80">
        <v>6</v>
      </c>
      <c r="I19" s="80">
        <v>7</v>
      </c>
      <c r="J19" s="80">
        <v>8</v>
      </c>
      <c r="K19" s="80">
        <v>9</v>
      </c>
      <c r="L19" s="80">
        <v>10</v>
      </c>
      <c r="M19" s="80">
        <v>11</v>
      </c>
      <c r="N19" s="80">
        <v>12</v>
      </c>
      <c r="O19" s="80">
        <v>13</v>
      </c>
      <c r="P19" s="80">
        <v>14</v>
      </c>
      <c r="Q19" s="80">
        <v>15</v>
      </c>
      <c r="R19" s="80">
        <v>16</v>
      </c>
      <c r="S19" s="80">
        <v>17</v>
      </c>
      <c r="T19" s="80">
        <v>18</v>
      </c>
      <c r="U19" s="80">
        <v>19</v>
      </c>
      <c r="V19" s="80">
        <v>20</v>
      </c>
    </row>
    <row r="20" spans="1:22" x14ac:dyDescent="0.35">
      <c r="A20" s="92" t="s">
        <v>327</v>
      </c>
      <c r="B20" s="159">
        <f t="shared" ref="B20:L20" si="3">B21+B22</f>
        <v>1802000</v>
      </c>
      <c r="C20" s="159">
        <f t="shared" si="3"/>
        <v>0</v>
      </c>
      <c r="D20" s="159">
        <f t="shared" si="3"/>
        <v>0</v>
      </c>
      <c r="E20" s="159">
        <f t="shared" si="3"/>
        <v>0</v>
      </c>
      <c r="F20" s="159">
        <f t="shared" si="3"/>
        <v>0</v>
      </c>
      <c r="G20" s="159">
        <f t="shared" si="3"/>
        <v>0</v>
      </c>
      <c r="H20" s="159">
        <f t="shared" si="3"/>
        <v>0</v>
      </c>
      <c r="I20" s="159">
        <f t="shared" si="3"/>
        <v>0</v>
      </c>
      <c r="J20" s="159">
        <f t="shared" si="3"/>
        <v>0</v>
      </c>
      <c r="K20" s="159">
        <f t="shared" si="3"/>
        <v>0</v>
      </c>
      <c r="L20" s="159">
        <f t="shared" si="3"/>
        <v>0</v>
      </c>
      <c r="M20" s="159">
        <f t="shared" ref="M20:V20" si="4">M21+M22</f>
        <v>0</v>
      </c>
      <c r="N20" s="159">
        <f t="shared" si="4"/>
        <v>0</v>
      </c>
      <c r="O20" s="159">
        <f t="shared" si="4"/>
        <v>0</v>
      </c>
      <c r="P20" s="159">
        <f t="shared" si="4"/>
        <v>0</v>
      </c>
      <c r="Q20" s="159">
        <f t="shared" si="4"/>
        <v>0</v>
      </c>
      <c r="R20" s="159">
        <f t="shared" si="4"/>
        <v>0</v>
      </c>
      <c r="S20" s="159">
        <f t="shared" si="4"/>
        <v>0</v>
      </c>
      <c r="T20" s="159">
        <f t="shared" si="4"/>
        <v>0</v>
      </c>
      <c r="U20" s="159">
        <f t="shared" si="4"/>
        <v>0</v>
      </c>
      <c r="V20" s="159">
        <f t="shared" si="4"/>
        <v>0</v>
      </c>
    </row>
    <row r="21" spans="1:22" x14ac:dyDescent="0.35">
      <c r="A21" s="92" t="s">
        <v>224</v>
      </c>
      <c r="B21" s="156">
        <f>B23</f>
        <v>1802000</v>
      </c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</row>
    <row r="22" spans="1:22" x14ac:dyDescent="0.35">
      <c r="A22" s="92" t="s">
        <v>225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</row>
    <row r="23" spans="1:22" x14ac:dyDescent="0.35">
      <c r="A23" s="100"/>
      <c r="B23" s="606">
        <f>'9'!$C$14*'9'!$B$14</f>
        <v>1802000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22" x14ac:dyDescent="0.35">
      <c r="A24" t="s">
        <v>447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</row>
    <row r="25" spans="1:22" x14ac:dyDescent="0.3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</row>
    <row r="26" spans="1:22" x14ac:dyDescent="0.3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</row>
    <row r="27" spans="1:22" x14ac:dyDescent="0.3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</row>
    <row r="28" spans="1:22" x14ac:dyDescent="0.3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</row>
    <row r="29" spans="1:22" x14ac:dyDescent="0.3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</row>
    <row r="30" spans="1:22" x14ac:dyDescent="0.3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</row>
    <row r="31" spans="1:22" x14ac:dyDescent="0.3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</row>
    <row r="32" spans="1:22" x14ac:dyDescent="0.3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</row>
    <row r="33" spans="1:12" x14ac:dyDescent="0.3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</row>
    <row r="34" spans="1:12" x14ac:dyDescent="0.3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</row>
    <row r="35" spans="1:12" x14ac:dyDescent="0.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</row>
    <row r="36" spans="1:12" x14ac:dyDescent="0.3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</row>
    <row r="37" spans="1:12" x14ac:dyDescent="0.3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</row>
    <row r="38" spans="1:12" x14ac:dyDescent="0.3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</row>
    <row r="39" spans="1:12" x14ac:dyDescent="0.3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</row>
    <row r="40" spans="1:12" x14ac:dyDescent="0.3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</sheetData>
  <sheetProtection objects="1"/>
  <mergeCells count="2">
    <mergeCell ref="B9:L9"/>
    <mergeCell ref="B17:L17"/>
  </mergeCells>
  <phoneticPr fontId="0" type="noConversion"/>
  <pageMargins left="0.39" right="0.78740157499999996" top="0.984251969" bottom="0.984251969" header="0.49212598499999999" footer="0.49212598499999999"/>
  <pageSetup paperSize="9" scale="60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pageSetUpPr fitToPage="1"/>
  </sheetPr>
  <dimension ref="A1:AL55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9" style="34" customWidth="1"/>
    <col min="2" max="2" width="15.1796875" style="34" bestFit="1" customWidth="1"/>
    <col min="3" max="6" width="8.7265625" style="34" customWidth="1"/>
    <col min="7" max="7" width="13.453125" style="34" bestFit="1" customWidth="1"/>
    <col min="8" max="12" width="8.7265625" style="34" customWidth="1"/>
    <col min="13" max="13" width="13.453125" style="34" bestFit="1" customWidth="1"/>
    <col min="14" max="22" width="8.81640625" style="34" customWidth="1"/>
    <col min="23" max="16384" width="12.54296875" style="34"/>
  </cols>
  <sheetData>
    <row r="1" spans="1:38" x14ac:dyDescent="0.35">
      <c r="A1" s="370" t="str">
        <f>TECNOLOGIAS!A1</f>
        <v>Proponente: TransPolitécnica</v>
      </c>
    </row>
    <row r="2" spans="1:38" x14ac:dyDescent="0.35">
      <c r="A2" s="370" t="str">
        <f>TECNOLOGIAS!A2</f>
        <v>Área de Concessão: 5 (Cinco)</v>
      </c>
    </row>
    <row r="4" spans="1:38" ht="18" x14ac:dyDescent="0.4">
      <c r="A4" s="32" t="s">
        <v>828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6" spans="1:38" x14ac:dyDescent="0.35">
      <c r="A6" s="35" t="s">
        <v>827</v>
      </c>
      <c r="B6" s="33"/>
      <c r="C6" s="33"/>
      <c r="D6" s="33"/>
      <c r="E6" s="33"/>
      <c r="F6" s="33"/>
      <c r="G6" s="77"/>
      <c r="H6" s="77"/>
      <c r="I6" s="77"/>
      <c r="J6" s="77"/>
      <c r="K6" s="77"/>
      <c r="L6" s="77"/>
    </row>
    <row r="7" spans="1:38" x14ac:dyDescent="0.35">
      <c r="A7" s="33"/>
      <c r="B7" s="33"/>
      <c r="C7" s="33"/>
      <c r="D7" s="33"/>
      <c r="E7" s="33"/>
      <c r="F7" s="33"/>
      <c r="G7" s="77"/>
      <c r="H7" s="77"/>
      <c r="I7" s="77"/>
      <c r="J7" s="77"/>
      <c r="K7" s="77"/>
      <c r="L7" s="77"/>
    </row>
    <row r="8" spans="1:38" ht="16" thickBot="1" x14ac:dyDescent="0.4">
      <c r="A8" s="33"/>
      <c r="B8" s="33"/>
      <c r="C8" s="33"/>
      <c r="D8" s="33"/>
      <c r="E8" s="33"/>
      <c r="F8" s="33"/>
      <c r="G8" s="77"/>
      <c r="H8" s="77"/>
      <c r="I8" s="77"/>
      <c r="J8" s="77"/>
      <c r="K8" s="77"/>
      <c r="L8" s="77"/>
    </row>
    <row r="9" spans="1:38" ht="16" thickBot="1" x14ac:dyDescent="0.4">
      <c r="A9" s="260"/>
      <c r="B9" s="668" t="s">
        <v>22</v>
      </c>
      <c r="C9" s="669"/>
      <c r="D9" s="669"/>
      <c r="E9" s="669"/>
      <c r="F9" s="669"/>
      <c r="G9" s="669"/>
      <c r="H9" s="669"/>
      <c r="I9" s="669"/>
      <c r="J9" s="669"/>
      <c r="K9" s="669"/>
      <c r="L9" s="670"/>
      <c r="M9" s="268" t="s">
        <v>22</v>
      </c>
      <c r="N9" s="336"/>
      <c r="O9" s="336"/>
      <c r="P9" s="336"/>
      <c r="Q9" s="336"/>
      <c r="R9" s="336"/>
      <c r="S9" s="336"/>
      <c r="T9" s="336"/>
      <c r="U9" s="336"/>
      <c r="V9" s="269"/>
    </row>
    <row r="10" spans="1:38" x14ac:dyDescent="0.35">
      <c r="A10" s="335" t="s">
        <v>910</v>
      </c>
      <c r="B10" s="342" t="s">
        <v>372</v>
      </c>
      <c r="C10" s="342" t="s">
        <v>372</v>
      </c>
      <c r="D10" s="342" t="s">
        <v>372</v>
      </c>
      <c r="E10" s="342" t="s">
        <v>372</v>
      </c>
      <c r="F10" s="342" t="s">
        <v>372</v>
      </c>
      <c r="G10" s="342" t="s">
        <v>372</v>
      </c>
      <c r="H10" s="342" t="s">
        <v>372</v>
      </c>
      <c r="I10" s="342" t="s">
        <v>372</v>
      </c>
      <c r="J10" s="342" t="s">
        <v>372</v>
      </c>
      <c r="K10" s="342" t="s">
        <v>372</v>
      </c>
      <c r="L10" s="342" t="s">
        <v>372</v>
      </c>
      <c r="M10" s="342" t="s">
        <v>372</v>
      </c>
      <c r="N10" s="342" t="s">
        <v>372</v>
      </c>
      <c r="O10" s="342" t="s">
        <v>372</v>
      </c>
      <c r="P10" s="342" t="s">
        <v>372</v>
      </c>
      <c r="Q10" s="342" t="s">
        <v>372</v>
      </c>
      <c r="R10" s="342" t="s">
        <v>372</v>
      </c>
      <c r="S10" s="342" t="s">
        <v>372</v>
      </c>
      <c r="T10" s="342" t="s">
        <v>372</v>
      </c>
      <c r="U10" s="342" t="s">
        <v>372</v>
      </c>
      <c r="V10" s="344" t="s">
        <v>372</v>
      </c>
    </row>
    <row r="11" spans="1:38" ht="16" thickBot="1" x14ac:dyDescent="0.4">
      <c r="A11" s="152"/>
      <c r="B11" s="373" t="s">
        <v>413</v>
      </c>
      <c r="C11" s="99">
        <v>1</v>
      </c>
      <c r="D11" s="99">
        <v>2</v>
      </c>
      <c r="E11" s="99">
        <v>3</v>
      </c>
      <c r="F11" s="99">
        <v>4</v>
      </c>
      <c r="G11" s="99">
        <v>5</v>
      </c>
      <c r="H11" s="99">
        <v>6</v>
      </c>
      <c r="I11" s="99">
        <v>7</v>
      </c>
      <c r="J11" s="99">
        <v>8</v>
      </c>
      <c r="K11" s="99">
        <v>9</v>
      </c>
      <c r="L11" s="99">
        <v>10</v>
      </c>
      <c r="M11" s="99">
        <v>11</v>
      </c>
      <c r="N11" s="99">
        <v>12</v>
      </c>
      <c r="O11" s="99">
        <v>13</v>
      </c>
      <c r="P11" s="99">
        <v>14</v>
      </c>
      <c r="Q11" s="99">
        <v>15</v>
      </c>
      <c r="R11" s="99">
        <v>16</v>
      </c>
      <c r="S11" s="99">
        <v>17</v>
      </c>
      <c r="T11" s="99">
        <v>18</v>
      </c>
      <c r="U11" s="346">
        <v>19</v>
      </c>
      <c r="V11" s="345">
        <v>20</v>
      </c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</row>
    <row r="12" spans="1:38" x14ac:dyDescent="0.35">
      <c r="A12" s="92" t="s">
        <v>327</v>
      </c>
      <c r="B12" s="159">
        <f t="shared" ref="B12:V12" si="0">B13+B14</f>
        <v>1921200</v>
      </c>
      <c r="C12" s="159">
        <f t="shared" si="0"/>
        <v>0</v>
      </c>
      <c r="D12" s="159">
        <f t="shared" si="0"/>
        <v>0</v>
      </c>
      <c r="E12" s="159">
        <f t="shared" si="0"/>
        <v>0</v>
      </c>
      <c r="F12" s="159">
        <f t="shared" si="0"/>
        <v>0</v>
      </c>
      <c r="G12" s="159">
        <f t="shared" si="0"/>
        <v>200000</v>
      </c>
      <c r="H12" s="159">
        <f t="shared" si="0"/>
        <v>0</v>
      </c>
      <c r="I12" s="159">
        <f t="shared" si="0"/>
        <v>0</v>
      </c>
      <c r="J12" s="159">
        <f t="shared" si="0"/>
        <v>0</v>
      </c>
      <c r="K12" s="159">
        <f t="shared" si="0"/>
        <v>0</v>
      </c>
      <c r="L12" s="159">
        <f t="shared" si="0"/>
        <v>0</v>
      </c>
      <c r="M12" s="159">
        <f t="shared" si="0"/>
        <v>628000</v>
      </c>
      <c r="N12" s="159">
        <f t="shared" si="0"/>
        <v>0</v>
      </c>
      <c r="O12" s="159">
        <f t="shared" si="0"/>
        <v>0</v>
      </c>
      <c r="P12" s="159">
        <f t="shared" si="0"/>
        <v>0</v>
      </c>
      <c r="Q12" s="159">
        <f t="shared" si="0"/>
        <v>0</v>
      </c>
      <c r="R12" s="159">
        <f t="shared" si="0"/>
        <v>0</v>
      </c>
      <c r="S12" s="159">
        <f t="shared" si="0"/>
        <v>0</v>
      </c>
      <c r="T12" s="159">
        <f t="shared" si="0"/>
        <v>0</v>
      </c>
      <c r="U12" s="159">
        <f t="shared" si="0"/>
        <v>0</v>
      </c>
      <c r="V12" s="347">
        <f t="shared" si="0"/>
        <v>0</v>
      </c>
    </row>
    <row r="13" spans="1:38" x14ac:dyDescent="0.35">
      <c r="A13" s="92" t="s">
        <v>224</v>
      </c>
      <c r="B13" s="156">
        <f>B15</f>
        <v>1921200</v>
      </c>
      <c r="C13" s="156">
        <f t="shared" ref="C13:V13" si="1">C15</f>
        <v>0</v>
      </c>
      <c r="D13" s="156">
        <f t="shared" si="1"/>
        <v>0</v>
      </c>
      <c r="E13" s="156">
        <f t="shared" si="1"/>
        <v>0</v>
      </c>
      <c r="F13" s="156">
        <f t="shared" si="1"/>
        <v>0</v>
      </c>
      <c r="G13" s="156">
        <f t="shared" si="1"/>
        <v>200000</v>
      </c>
      <c r="H13" s="156">
        <f t="shared" si="1"/>
        <v>0</v>
      </c>
      <c r="I13" s="156">
        <f t="shared" si="1"/>
        <v>0</v>
      </c>
      <c r="J13" s="156">
        <f t="shared" si="1"/>
        <v>0</v>
      </c>
      <c r="K13" s="156">
        <f t="shared" si="1"/>
        <v>0</v>
      </c>
      <c r="L13" s="156">
        <f t="shared" si="1"/>
        <v>0</v>
      </c>
      <c r="M13" s="156">
        <f t="shared" si="1"/>
        <v>628000</v>
      </c>
      <c r="N13" s="156">
        <f t="shared" si="1"/>
        <v>0</v>
      </c>
      <c r="O13" s="156">
        <f t="shared" si="1"/>
        <v>0</v>
      </c>
      <c r="P13" s="156">
        <f t="shared" si="1"/>
        <v>0</v>
      </c>
      <c r="Q13" s="156">
        <f t="shared" si="1"/>
        <v>0</v>
      </c>
      <c r="R13" s="156">
        <f t="shared" si="1"/>
        <v>0</v>
      </c>
      <c r="S13" s="156">
        <f t="shared" si="1"/>
        <v>0</v>
      </c>
      <c r="T13" s="156">
        <f t="shared" si="1"/>
        <v>0</v>
      </c>
      <c r="U13" s="156">
        <f t="shared" si="1"/>
        <v>0</v>
      </c>
      <c r="V13" s="156">
        <f t="shared" si="1"/>
        <v>0</v>
      </c>
    </row>
    <row r="14" spans="1:38" x14ac:dyDescent="0.35">
      <c r="A14" s="92" t="s">
        <v>225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</row>
    <row r="15" spans="1:38" x14ac:dyDescent="0.35">
      <c r="A15" s="484"/>
      <c r="B15" s="609">
        <f>'27'!B24</f>
        <v>1921200</v>
      </c>
      <c r="C15" s="609">
        <f>'27'!C24</f>
        <v>0</v>
      </c>
      <c r="D15" s="609">
        <f>'27'!D24</f>
        <v>0</v>
      </c>
      <c r="E15" s="609">
        <f>'27'!E24</f>
        <v>0</v>
      </c>
      <c r="F15" s="609">
        <f>'27'!F24</f>
        <v>0</v>
      </c>
      <c r="G15" s="609">
        <f>'27'!G24</f>
        <v>200000</v>
      </c>
      <c r="H15" s="609">
        <f>'27'!H24</f>
        <v>0</v>
      </c>
      <c r="I15" s="609">
        <f>'27'!I24</f>
        <v>0</v>
      </c>
      <c r="J15" s="609">
        <f>'27'!J24</f>
        <v>0</v>
      </c>
      <c r="K15" s="609">
        <f>'27'!K24</f>
        <v>0</v>
      </c>
      <c r="L15" s="609">
        <f>'27'!L24</f>
        <v>0</v>
      </c>
      <c r="M15" s="609">
        <f>'27'!M24</f>
        <v>628000</v>
      </c>
      <c r="N15" s="609">
        <f>'27'!N24</f>
        <v>0</v>
      </c>
      <c r="O15" s="609">
        <f>'27'!O24</f>
        <v>0</v>
      </c>
      <c r="P15" s="609">
        <f>'27'!P24</f>
        <v>0</v>
      </c>
      <c r="Q15" s="609">
        <f>'27'!Q24</f>
        <v>0</v>
      </c>
      <c r="R15" s="609">
        <f>'27'!R24</f>
        <v>0</v>
      </c>
      <c r="S15" s="609">
        <f>'27'!S24</f>
        <v>0</v>
      </c>
      <c r="T15" s="609">
        <f>'27'!T24</f>
        <v>0</v>
      </c>
      <c r="U15" s="609">
        <f>'27'!U24</f>
        <v>0</v>
      </c>
      <c r="V15" s="609">
        <f>'27'!V24</f>
        <v>0</v>
      </c>
    </row>
    <row r="16" spans="1:38" ht="16" thickBot="1" x14ac:dyDescent="0.4">
      <c r="A16" s="100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38" ht="16" thickBot="1" x14ac:dyDescent="0.4">
      <c r="A17" s="260"/>
      <c r="B17" s="668" t="s">
        <v>22</v>
      </c>
      <c r="C17" s="669"/>
      <c r="D17" s="669"/>
      <c r="E17" s="669"/>
      <c r="F17" s="669"/>
      <c r="G17" s="669"/>
      <c r="H17" s="669"/>
      <c r="I17" s="669"/>
      <c r="J17" s="669"/>
      <c r="K17" s="669"/>
      <c r="L17" s="670"/>
      <c r="M17" s="268" t="s">
        <v>22</v>
      </c>
      <c r="N17" s="336"/>
      <c r="O17" s="336"/>
      <c r="P17" s="336"/>
      <c r="Q17" s="336"/>
      <c r="R17" s="336"/>
      <c r="S17" s="336"/>
      <c r="T17" s="336"/>
      <c r="U17" s="336"/>
      <c r="V17" s="269"/>
    </row>
    <row r="18" spans="1:38" x14ac:dyDescent="0.35">
      <c r="A18" s="335"/>
      <c r="B18" s="342" t="s">
        <v>372</v>
      </c>
      <c r="C18" s="342" t="s">
        <v>372</v>
      </c>
      <c r="D18" s="342" t="s">
        <v>372</v>
      </c>
      <c r="E18" s="342" t="s">
        <v>372</v>
      </c>
      <c r="F18" s="342" t="s">
        <v>372</v>
      </c>
      <c r="G18" s="342" t="s">
        <v>372</v>
      </c>
      <c r="H18" s="342" t="s">
        <v>372</v>
      </c>
      <c r="I18" s="342" t="s">
        <v>372</v>
      </c>
      <c r="J18" s="342" t="s">
        <v>372</v>
      </c>
      <c r="K18" s="342" t="s">
        <v>372</v>
      </c>
      <c r="L18" s="342" t="s">
        <v>372</v>
      </c>
      <c r="M18" s="342" t="s">
        <v>372</v>
      </c>
      <c r="N18" s="342" t="s">
        <v>372</v>
      </c>
      <c r="O18" s="342" t="s">
        <v>372</v>
      </c>
      <c r="P18" s="342" t="s">
        <v>372</v>
      </c>
      <c r="Q18" s="342" t="s">
        <v>372</v>
      </c>
      <c r="R18" s="342" t="s">
        <v>372</v>
      </c>
      <c r="S18" s="342" t="s">
        <v>372</v>
      </c>
      <c r="T18" s="342" t="s">
        <v>372</v>
      </c>
      <c r="U18" s="342" t="s">
        <v>372</v>
      </c>
      <c r="V18" s="344" t="s">
        <v>372</v>
      </c>
    </row>
    <row r="19" spans="1:38" ht="16" thickBot="1" x14ac:dyDescent="0.4">
      <c r="A19" s="152"/>
      <c r="B19" s="373" t="s">
        <v>413</v>
      </c>
      <c r="C19" s="99">
        <v>1</v>
      </c>
      <c r="D19" s="99">
        <v>2</v>
      </c>
      <c r="E19" s="99">
        <v>3</v>
      </c>
      <c r="F19" s="99">
        <v>4</v>
      </c>
      <c r="G19" s="99">
        <v>5</v>
      </c>
      <c r="H19" s="99">
        <v>6</v>
      </c>
      <c r="I19" s="99">
        <v>7</v>
      </c>
      <c r="J19" s="99">
        <v>8</v>
      </c>
      <c r="K19" s="99">
        <v>9</v>
      </c>
      <c r="L19" s="99">
        <v>10</v>
      </c>
      <c r="M19" s="99">
        <v>11</v>
      </c>
      <c r="N19" s="99">
        <v>12</v>
      </c>
      <c r="O19" s="99">
        <v>13</v>
      </c>
      <c r="P19" s="99">
        <v>14</v>
      </c>
      <c r="Q19" s="99">
        <v>15</v>
      </c>
      <c r="R19" s="99">
        <v>16</v>
      </c>
      <c r="S19" s="99">
        <v>17</v>
      </c>
      <c r="T19" s="99">
        <v>18</v>
      </c>
      <c r="U19" s="346">
        <v>19</v>
      </c>
      <c r="V19" s="345">
        <v>20</v>
      </c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</row>
    <row r="20" spans="1:38" x14ac:dyDescent="0.35">
      <c r="A20" s="92" t="s">
        <v>327</v>
      </c>
      <c r="B20" s="159">
        <f t="shared" ref="B20:V20" si="2">B21+B22</f>
        <v>0</v>
      </c>
      <c r="C20" s="159">
        <f t="shared" si="2"/>
        <v>0</v>
      </c>
      <c r="D20" s="159">
        <f t="shared" si="2"/>
        <v>0</v>
      </c>
      <c r="E20" s="159">
        <f t="shared" si="2"/>
        <v>0</v>
      </c>
      <c r="F20" s="159">
        <f t="shared" si="2"/>
        <v>0</v>
      </c>
      <c r="G20" s="159">
        <f t="shared" si="2"/>
        <v>0</v>
      </c>
      <c r="H20" s="159">
        <f t="shared" si="2"/>
        <v>0</v>
      </c>
      <c r="I20" s="159">
        <f t="shared" si="2"/>
        <v>0</v>
      </c>
      <c r="J20" s="159">
        <f t="shared" si="2"/>
        <v>0</v>
      </c>
      <c r="K20" s="159">
        <f t="shared" si="2"/>
        <v>0</v>
      </c>
      <c r="L20" s="159">
        <f t="shared" si="2"/>
        <v>0</v>
      </c>
      <c r="M20" s="159">
        <f t="shared" si="2"/>
        <v>0</v>
      </c>
      <c r="N20" s="159">
        <f t="shared" si="2"/>
        <v>0</v>
      </c>
      <c r="O20" s="159">
        <f t="shared" si="2"/>
        <v>0</v>
      </c>
      <c r="P20" s="159">
        <f t="shared" si="2"/>
        <v>0</v>
      </c>
      <c r="Q20" s="159">
        <f t="shared" si="2"/>
        <v>0</v>
      </c>
      <c r="R20" s="159">
        <f t="shared" si="2"/>
        <v>0</v>
      </c>
      <c r="S20" s="159">
        <f t="shared" si="2"/>
        <v>0</v>
      </c>
      <c r="T20" s="159">
        <f t="shared" si="2"/>
        <v>0</v>
      </c>
      <c r="U20" s="159">
        <f t="shared" si="2"/>
        <v>0</v>
      </c>
      <c r="V20" s="347">
        <f t="shared" si="2"/>
        <v>0</v>
      </c>
    </row>
    <row r="21" spans="1:38" x14ac:dyDescent="0.35">
      <c r="A21" s="92" t="s">
        <v>224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</row>
    <row r="22" spans="1:38" x14ac:dyDescent="0.35">
      <c r="A22" s="92" t="s">
        <v>225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</row>
    <row r="23" spans="1:38" x14ac:dyDescent="0.35">
      <c r="A23" s="484"/>
      <c r="B23" s="485"/>
      <c r="C23" s="485"/>
      <c r="D23" s="485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</row>
    <row r="24" spans="1:38" x14ac:dyDescent="0.35">
      <c r="A24" t="s">
        <v>447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</row>
    <row r="25" spans="1:38" x14ac:dyDescent="0.3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</row>
    <row r="26" spans="1:38" x14ac:dyDescent="0.3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</row>
    <row r="27" spans="1:38" x14ac:dyDescent="0.3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</row>
    <row r="28" spans="1:38" x14ac:dyDescent="0.3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</row>
    <row r="29" spans="1:38" x14ac:dyDescent="0.3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</row>
    <row r="30" spans="1:38" x14ac:dyDescent="0.3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</row>
    <row r="31" spans="1:38" x14ac:dyDescent="0.3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</row>
    <row r="32" spans="1:38" x14ac:dyDescent="0.3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</row>
    <row r="33" spans="1:12" x14ac:dyDescent="0.3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</row>
    <row r="34" spans="1:12" x14ac:dyDescent="0.3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</row>
    <row r="35" spans="1:12" x14ac:dyDescent="0.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</row>
    <row r="36" spans="1:12" x14ac:dyDescent="0.3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</row>
    <row r="37" spans="1:12" x14ac:dyDescent="0.3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</row>
    <row r="38" spans="1:12" x14ac:dyDescent="0.3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</row>
    <row r="39" spans="1:12" x14ac:dyDescent="0.3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</row>
    <row r="40" spans="1:12" x14ac:dyDescent="0.3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</row>
    <row r="41" spans="1:12" x14ac:dyDescent="0.3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 x14ac:dyDescent="0.3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</row>
    <row r="43" spans="1:12" x14ac:dyDescent="0.3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  <row r="44" spans="1:12" x14ac:dyDescent="0.3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</row>
    <row r="45" spans="1:12" x14ac:dyDescent="0.3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</row>
    <row r="46" spans="1:12" x14ac:dyDescent="0.3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</row>
    <row r="47" spans="1:12" x14ac:dyDescent="0.3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</row>
    <row r="48" spans="1:12" x14ac:dyDescent="0.3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</row>
    <row r="49" spans="1:12" x14ac:dyDescent="0.3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</row>
    <row r="50" spans="1:12" x14ac:dyDescent="0.3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</row>
    <row r="51" spans="1:12" x14ac:dyDescent="0.3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</row>
    <row r="52" spans="1:12" x14ac:dyDescent="0.3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</row>
    <row r="53" spans="1:12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</row>
    <row r="54" spans="1:12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</row>
    <row r="55" spans="1:12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</sheetData>
  <sheetProtection objects="1"/>
  <mergeCells count="2">
    <mergeCell ref="B9:L9"/>
    <mergeCell ref="B17:L17"/>
  </mergeCells>
  <phoneticPr fontId="0" type="noConversion"/>
  <pageMargins left="0.39" right="0.78740157499999996" top="0.984251969" bottom="0.984251969" header="0.49212598499999999" footer="0.49212598499999999"/>
  <pageSetup paperSize="9" scale="81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8">
    <pageSetUpPr fitToPage="1"/>
  </sheetPr>
  <dimension ref="A1:I22"/>
  <sheetViews>
    <sheetView showGridLines="0" showZeros="0" view="pageBreakPreview" zoomScale="60" zoomScaleNormal="87" workbookViewId="0">
      <selection activeCell="D14" sqref="D14"/>
    </sheetView>
  </sheetViews>
  <sheetFormatPr defaultColWidth="12.54296875" defaultRowHeight="15.5" x14ac:dyDescent="0.35"/>
  <cols>
    <col min="1" max="1" width="39.54296875" style="168" customWidth="1"/>
    <col min="2" max="2" width="18.26953125" style="168" customWidth="1"/>
    <col min="3" max="3" width="16.453125" style="168" customWidth="1"/>
    <col min="4" max="4" width="17.81640625" style="168" customWidth="1"/>
    <col min="5" max="6" width="16.453125" style="168" customWidth="1"/>
    <col min="7" max="7" width="15.453125" style="168" bestFit="1" customWidth="1"/>
    <col min="8" max="16384" width="12.54296875" style="168"/>
  </cols>
  <sheetData>
    <row r="1" spans="1:9" x14ac:dyDescent="0.35">
      <c r="A1" s="369" t="str">
        <f>TECNOLOGIAS!A1</f>
        <v>Proponente: TransPolitécnica</v>
      </c>
    </row>
    <row r="2" spans="1:9" x14ac:dyDescent="0.35">
      <c r="A2" s="369" t="str">
        <f>TECNOLOGIAS!A2</f>
        <v>Área de Concessão: 5 (Cinco)</v>
      </c>
    </row>
    <row r="4" spans="1:9" ht="18" x14ac:dyDescent="0.4">
      <c r="A4" s="167" t="s">
        <v>271</v>
      </c>
    </row>
    <row r="6" spans="1:9" x14ac:dyDescent="0.35">
      <c r="A6" s="169" t="s">
        <v>233</v>
      </c>
    </row>
    <row r="8" spans="1:9" x14ac:dyDescent="0.35">
      <c r="A8" s="170" t="s">
        <v>234</v>
      </c>
      <c r="B8" s="171"/>
      <c r="C8" s="172"/>
      <c r="D8" s="171"/>
      <c r="E8" s="171"/>
      <c r="F8" s="171"/>
      <c r="G8" s="171"/>
    </row>
    <row r="9" spans="1:9" ht="16" thickBot="1" x14ac:dyDescent="0.4">
      <c r="A9" s="171"/>
      <c r="B9" s="171"/>
      <c r="C9" s="172"/>
      <c r="D9" s="171"/>
      <c r="E9" s="171"/>
      <c r="F9" s="171"/>
      <c r="G9" s="171"/>
    </row>
    <row r="10" spans="1:9" ht="16" thickBot="1" x14ac:dyDescent="0.4">
      <c r="A10" s="279" t="s">
        <v>235</v>
      </c>
      <c r="B10" s="295" t="s">
        <v>236</v>
      </c>
      <c r="C10" s="292"/>
      <c r="D10" s="292"/>
      <c r="E10" s="292"/>
      <c r="F10" s="292"/>
      <c r="G10" s="292"/>
      <c r="H10" s="293"/>
      <c r="I10" s="294"/>
    </row>
    <row r="11" spans="1:9" ht="16" thickBot="1" x14ac:dyDescent="0.4">
      <c r="A11" s="173"/>
      <c r="B11" s="287" t="str">
        <f>TECNOLOGIAS!$A$7</f>
        <v>Micro Ônibus</v>
      </c>
      <c r="C11" s="287" t="str">
        <f>TECNOLOGIAS!$A$8</f>
        <v>Básico</v>
      </c>
      <c r="D11" s="287" t="str">
        <f>TECNOLOGIAS!$A$9</f>
        <v>Padron</v>
      </c>
      <c r="E11" s="288" t="str">
        <f>TECNOLOGIAS!$A$10</f>
        <v>Articulados</v>
      </c>
      <c r="F11" s="289" t="str">
        <f>TECNOLOGIAS!$A$11</f>
        <v>Híbrido Piso Baixo</v>
      </c>
      <c r="G11" s="290" t="str">
        <f>TECNOLOGIAS!$A$12</f>
        <v>Van Atende</v>
      </c>
      <c r="H11" s="287" t="str">
        <f>TECNOLOGIAS!$A$13</f>
        <v>TIPO 7</v>
      </c>
      <c r="I11" s="287" t="str">
        <f>TECNOLOGIAS!$A$14</f>
        <v>TIPO 8</v>
      </c>
    </row>
    <row r="12" spans="1:9" x14ac:dyDescent="0.35">
      <c r="A12" s="175" t="s">
        <v>237</v>
      </c>
      <c r="B12" s="610">
        <v>6.5000000000000002E-2</v>
      </c>
      <c r="C12" s="618">
        <v>0.13</v>
      </c>
      <c r="D12" s="618">
        <v>0.13</v>
      </c>
      <c r="E12" s="610">
        <v>6.5000000000000002E-2</v>
      </c>
      <c r="F12" s="618">
        <v>0.13</v>
      </c>
      <c r="G12" s="610">
        <v>6.5000000000000002E-2</v>
      </c>
      <c r="H12" s="610">
        <v>6.5000000000000002E-2</v>
      </c>
      <c r="I12" s="610">
        <v>6.5000000000000002E-2</v>
      </c>
    </row>
    <row r="13" spans="1:9" x14ac:dyDescent="0.35">
      <c r="A13" s="175" t="s">
        <v>238</v>
      </c>
      <c r="B13" s="611">
        <v>8</v>
      </c>
      <c r="C13" s="619">
        <v>8</v>
      </c>
      <c r="D13" s="619">
        <v>8</v>
      </c>
      <c r="E13" s="611">
        <v>8</v>
      </c>
      <c r="F13" s="619">
        <v>8</v>
      </c>
      <c r="G13" s="611">
        <v>8</v>
      </c>
      <c r="H13" s="611">
        <v>8</v>
      </c>
      <c r="I13" s="611">
        <v>8</v>
      </c>
    </row>
    <row r="14" spans="1:9" x14ac:dyDescent="0.35">
      <c r="A14" s="175" t="s">
        <v>239</v>
      </c>
      <c r="B14" s="611">
        <v>0.5</v>
      </c>
      <c r="C14" s="619">
        <v>0.5</v>
      </c>
      <c r="D14" s="619">
        <v>0.5</v>
      </c>
      <c r="E14" s="611">
        <v>0.5</v>
      </c>
      <c r="F14" s="619">
        <v>0.5</v>
      </c>
      <c r="G14" s="611">
        <v>0.5</v>
      </c>
      <c r="H14" s="611">
        <v>0.5</v>
      </c>
      <c r="I14" s="611">
        <v>0.5</v>
      </c>
    </row>
    <row r="15" spans="1:9" x14ac:dyDescent="0.35">
      <c r="A15" s="175" t="s">
        <v>240</v>
      </c>
      <c r="B15" s="611" t="s">
        <v>914</v>
      </c>
      <c r="C15" s="619" t="s">
        <v>914</v>
      </c>
      <c r="D15" s="619" t="s">
        <v>914</v>
      </c>
      <c r="E15" s="611" t="s">
        <v>914</v>
      </c>
      <c r="F15" s="619" t="s">
        <v>914</v>
      </c>
      <c r="G15" s="611" t="s">
        <v>914</v>
      </c>
      <c r="H15" s="611" t="s">
        <v>914</v>
      </c>
      <c r="I15" s="611" t="s">
        <v>914</v>
      </c>
    </row>
    <row r="16" spans="1:9" x14ac:dyDescent="0.35">
      <c r="A16" s="175" t="s">
        <v>241</v>
      </c>
      <c r="B16" s="611"/>
      <c r="C16" s="619">
        <v>2</v>
      </c>
      <c r="D16" s="619">
        <v>2</v>
      </c>
      <c r="E16" s="612"/>
      <c r="F16" s="620">
        <v>2</v>
      </c>
      <c r="G16" s="613"/>
      <c r="H16" s="613"/>
      <c r="I16" s="613"/>
    </row>
    <row r="18" spans="1:4" x14ac:dyDescent="0.35">
      <c r="A18" s="176" t="s">
        <v>242</v>
      </c>
    </row>
    <row r="19" spans="1:4" x14ac:dyDescent="0.35">
      <c r="A19" s="177">
        <v>1</v>
      </c>
      <c r="B19" s="206" t="s">
        <v>243</v>
      </c>
      <c r="C19" s="178"/>
      <c r="D19" s="178"/>
    </row>
    <row r="20" spans="1:4" x14ac:dyDescent="0.35">
      <c r="A20" s="177">
        <v>2</v>
      </c>
      <c r="B20" s="206" t="s">
        <v>244</v>
      </c>
      <c r="C20" s="178"/>
      <c r="D20" s="178"/>
    </row>
    <row r="22" spans="1:4" x14ac:dyDescent="0.35">
      <c r="A22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59">
    <pageSetUpPr fitToPage="1"/>
  </sheetPr>
  <dimension ref="A1:F22"/>
  <sheetViews>
    <sheetView showGridLines="0" showZeros="0" defaultGridColor="0" view="pageBreakPreview" colorId="22" zoomScale="60" zoomScaleNormal="87" workbookViewId="0">
      <selection activeCell="C12" sqref="C12"/>
    </sheetView>
  </sheetViews>
  <sheetFormatPr defaultColWidth="12.54296875" defaultRowHeight="15.5" x14ac:dyDescent="0.35"/>
  <cols>
    <col min="1" max="1" width="39.54296875" style="168" customWidth="1"/>
    <col min="2" max="5" width="24" style="168" customWidth="1"/>
    <col min="6" max="16384" width="12.54296875" style="168"/>
  </cols>
  <sheetData>
    <row r="1" spans="1:6" x14ac:dyDescent="0.35">
      <c r="A1" s="369" t="str">
        <f>TECNOLOGIAS!A1</f>
        <v>Proponente: TransPolitécnica</v>
      </c>
    </row>
    <row r="2" spans="1:6" x14ac:dyDescent="0.35">
      <c r="A2" s="369" t="str">
        <f>TECNOLOGIAS!A2</f>
        <v>Área de Concessão: 5 (Cinco)</v>
      </c>
    </row>
    <row r="4" spans="1:6" ht="18" x14ac:dyDescent="0.4">
      <c r="A4" s="167" t="s">
        <v>274</v>
      </c>
    </row>
    <row r="6" spans="1:6" x14ac:dyDescent="0.35">
      <c r="A6" s="169" t="s">
        <v>233</v>
      </c>
    </row>
    <row r="8" spans="1:6" x14ac:dyDescent="0.35">
      <c r="A8" s="170" t="s">
        <v>401</v>
      </c>
      <c r="B8" s="171"/>
      <c r="C8" s="172"/>
      <c r="D8" s="171"/>
      <c r="E8" s="171"/>
    </row>
    <row r="9" spans="1:6" x14ac:dyDescent="0.35">
      <c r="A9" s="171"/>
      <c r="B9" s="171"/>
      <c r="C9" s="172"/>
      <c r="D9" s="171"/>
      <c r="E9" s="171"/>
    </row>
    <row r="10" spans="1:6" s="351" customFormat="1" ht="16" thickBot="1" x14ac:dyDescent="0.4">
      <c r="A10" s="350"/>
      <c r="B10" s="353"/>
      <c r="C10" s="353"/>
      <c r="D10" s="353"/>
      <c r="E10" s="353"/>
      <c r="F10" s="354"/>
    </row>
    <row r="11" spans="1:6" ht="16" thickBot="1" x14ac:dyDescent="0.4">
      <c r="A11" s="355" t="s">
        <v>235</v>
      </c>
      <c r="B11" s="174" t="s">
        <v>916</v>
      </c>
      <c r="C11" s="174" t="s">
        <v>915</v>
      </c>
      <c r="D11" s="174"/>
      <c r="E11" s="174"/>
      <c r="F11" s="171"/>
    </row>
    <row r="12" spans="1:6" x14ac:dyDescent="0.35">
      <c r="A12" s="348" t="s">
        <v>237</v>
      </c>
      <c r="B12" s="610">
        <v>6.5000000000000002E-2</v>
      </c>
      <c r="C12" s="610">
        <v>6.5000000000000002E-2</v>
      </c>
      <c r="D12" s="610"/>
      <c r="E12" s="614"/>
      <c r="F12" s="171"/>
    </row>
    <row r="13" spans="1:6" x14ac:dyDescent="0.35">
      <c r="A13" s="175" t="s">
        <v>238</v>
      </c>
      <c r="B13" s="611">
        <v>5</v>
      </c>
      <c r="C13" s="611">
        <v>5</v>
      </c>
      <c r="D13" s="611"/>
      <c r="E13" s="612"/>
      <c r="F13" s="171"/>
    </row>
    <row r="14" spans="1:6" x14ac:dyDescent="0.35">
      <c r="A14" s="175" t="s">
        <v>239</v>
      </c>
      <c r="B14" s="611">
        <v>0.5</v>
      </c>
      <c r="C14" s="611">
        <v>0.5</v>
      </c>
      <c r="D14" s="611"/>
      <c r="E14" s="612"/>
      <c r="F14" s="171"/>
    </row>
    <row r="15" spans="1:6" x14ac:dyDescent="0.35">
      <c r="A15" s="175" t="s">
        <v>240</v>
      </c>
      <c r="B15" s="611" t="s">
        <v>914</v>
      </c>
      <c r="C15" s="611" t="s">
        <v>914</v>
      </c>
      <c r="D15" s="611"/>
      <c r="E15" s="612"/>
      <c r="F15" s="171"/>
    </row>
    <row r="16" spans="1:6" x14ac:dyDescent="0.35">
      <c r="A16" s="175" t="s">
        <v>241</v>
      </c>
      <c r="B16" s="611"/>
      <c r="C16" s="611"/>
      <c r="D16" s="611"/>
      <c r="E16" s="612"/>
      <c r="F16" s="171"/>
    </row>
    <row r="18" spans="1:4" x14ac:dyDescent="0.35">
      <c r="A18" s="176" t="s">
        <v>242</v>
      </c>
    </row>
    <row r="19" spans="1:4" x14ac:dyDescent="0.35">
      <c r="A19" s="177">
        <v>1</v>
      </c>
      <c r="B19" s="206" t="s">
        <v>243</v>
      </c>
      <c r="C19" s="178"/>
      <c r="D19" s="178"/>
    </row>
    <row r="20" spans="1:4" x14ac:dyDescent="0.35">
      <c r="A20" s="177">
        <v>2</v>
      </c>
      <c r="B20" s="206" t="s">
        <v>244</v>
      </c>
      <c r="C20" s="178"/>
      <c r="D20" s="178"/>
    </row>
    <row r="22" spans="1:4" x14ac:dyDescent="0.35">
      <c r="A22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9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pageSetUpPr fitToPage="1"/>
  </sheetPr>
  <dimension ref="A1:T141"/>
  <sheetViews>
    <sheetView showGridLines="0" showZeros="0" view="pageBreakPreview" zoomScale="50" zoomScaleNormal="75" workbookViewId="0"/>
  </sheetViews>
  <sheetFormatPr defaultColWidth="12.54296875" defaultRowHeight="24.75" customHeight="1" x14ac:dyDescent="0.25"/>
  <cols>
    <col min="1" max="1" width="6.26953125" style="536" customWidth="1"/>
    <col min="2" max="19" width="11.453125" style="536" customWidth="1"/>
    <col min="20" max="20" width="13.453125" style="536" customWidth="1"/>
    <col min="21" max="16384" width="12.54296875" style="536"/>
  </cols>
  <sheetData>
    <row r="1" spans="1:20" ht="24.75" customHeight="1" x14ac:dyDescent="0.25">
      <c r="A1" s="535" t="str">
        <f>TECNOLOGIAS!A1</f>
        <v>Proponente: TransPolitécnica</v>
      </c>
    </row>
    <row r="2" spans="1:20" ht="24.75" customHeight="1" x14ac:dyDescent="0.25">
      <c r="A2" s="535" t="str">
        <f>TECNOLOGIAS!A2</f>
        <v>Área de Concessão: 5 (Cinco)</v>
      </c>
    </row>
    <row r="4" spans="1:20" ht="24.75" customHeight="1" x14ac:dyDescent="0.25">
      <c r="A4" s="219" t="s">
        <v>19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</row>
    <row r="6" spans="1:20" ht="24.75" customHeight="1" x14ac:dyDescent="0.25">
      <c r="A6" s="222" t="s">
        <v>11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0"/>
      <c r="N6" s="220"/>
      <c r="O6" s="220"/>
      <c r="P6" s="220"/>
      <c r="Q6" s="220"/>
      <c r="R6" s="220"/>
    </row>
    <row r="7" spans="1:20" ht="24.75" customHeight="1" x14ac:dyDescent="0.25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0"/>
      <c r="N7" s="220"/>
      <c r="O7" s="220"/>
      <c r="P7" s="220"/>
      <c r="Q7" s="220"/>
      <c r="R7" s="220"/>
    </row>
    <row r="8" spans="1:20" ht="24.75" customHeight="1" x14ac:dyDescent="0.25">
      <c r="A8" s="224"/>
      <c r="B8" s="212" t="s">
        <v>12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4"/>
      <c r="N8" s="214"/>
      <c r="O8" s="214"/>
      <c r="P8" s="214"/>
      <c r="Q8" s="214"/>
      <c r="R8" s="214"/>
      <c r="S8" s="214"/>
      <c r="T8" s="225" t="s">
        <v>13</v>
      </c>
    </row>
    <row r="9" spans="1:20" ht="24.75" customHeight="1" x14ac:dyDescent="0.25">
      <c r="A9" s="310" t="s">
        <v>494</v>
      </c>
      <c r="B9" s="215" t="str">
        <f>TECNOLOGIAS!$A$7</f>
        <v>Micro Ônibus</v>
      </c>
      <c r="C9" s="216"/>
      <c r="D9" s="215" t="str">
        <f>TECNOLOGIAS!$A$8</f>
        <v>Básico</v>
      </c>
      <c r="E9" s="216"/>
      <c r="F9" s="215" t="str">
        <f>TECNOLOGIAS!$A$9</f>
        <v>Padron</v>
      </c>
      <c r="G9" s="216"/>
      <c r="H9" s="215" t="str">
        <f>TECNOLOGIAS!$A$10</f>
        <v>Articulados</v>
      </c>
      <c r="I9" s="216"/>
      <c r="J9" s="215" t="str">
        <f>TECNOLOGIAS!$A$11</f>
        <v>Híbrido Piso Baixo</v>
      </c>
      <c r="K9" s="216"/>
      <c r="L9" s="215" t="str">
        <f>TECNOLOGIAS!$A$12</f>
        <v>Van Atende</v>
      </c>
      <c r="M9" s="217"/>
      <c r="N9" s="215" t="str">
        <f>TECNOLOGIAS!$A$13</f>
        <v>TIPO 7</v>
      </c>
      <c r="O9" s="217"/>
      <c r="P9" s="215" t="str">
        <f>TECNOLOGIAS!$A$14</f>
        <v>TIPO 8</v>
      </c>
      <c r="Q9" s="217"/>
      <c r="R9" s="218" t="s">
        <v>14</v>
      </c>
      <c r="S9" s="217"/>
      <c r="T9" s="226" t="s">
        <v>15</v>
      </c>
    </row>
    <row r="10" spans="1:20" ht="24.75" customHeight="1" x14ac:dyDescent="0.25">
      <c r="A10" s="227"/>
      <c r="B10" s="298" t="s">
        <v>16</v>
      </c>
      <c r="C10" s="298" t="s">
        <v>17</v>
      </c>
      <c r="D10" s="298" t="s">
        <v>16</v>
      </c>
      <c r="E10" s="298" t="s">
        <v>17</v>
      </c>
      <c r="F10" s="298" t="s">
        <v>16</v>
      </c>
      <c r="G10" s="298" t="s">
        <v>17</v>
      </c>
      <c r="H10" s="298" t="s">
        <v>16</v>
      </c>
      <c r="I10" s="298" t="s">
        <v>17</v>
      </c>
      <c r="J10" s="298" t="s">
        <v>16</v>
      </c>
      <c r="K10" s="298" t="s">
        <v>17</v>
      </c>
      <c r="L10" s="298" t="s">
        <v>16</v>
      </c>
      <c r="M10" s="298" t="s">
        <v>17</v>
      </c>
      <c r="N10" s="298" t="s">
        <v>16</v>
      </c>
      <c r="O10" s="298" t="s">
        <v>17</v>
      </c>
      <c r="P10" s="298" t="s">
        <v>16</v>
      </c>
      <c r="Q10" s="298" t="s">
        <v>17</v>
      </c>
      <c r="R10" s="298" t="s">
        <v>16</v>
      </c>
      <c r="S10" s="298" t="s">
        <v>17</v>
      </c>
      <c r="T10" s="299" t="s">
        <v>18</v>
      </c>
    </row>
    <row r="11" spans="1:20" ht="24.75" customHeight="1" x14ac:dyDescent="0.25">
      <c r="A11" s="228">
        <v>1</v>
      </c>
      <c r="B11" s="227">
        <v>13</v>
      </c>
      <c r="C11" s="227">
        <f>ROUNDUP(B11*1.05,0)</f>
        <v>14</v>
      </c>
      <c r="D11" s="227">
        <v>746</v>
      </c>
      <c r="E11" s="227">
        <f>ROUNDUP(D11*1.05,0)</f>
        <v>784</v>
      </c>
      <c r="F11" s="227">
        <v>63</v>
      </c>
      <c r="G11" s="227">
        <f>ROUNDUP(F11*1.05,0)</f>
        <v>67</v>
      </c>
      <c r="H11" s="227">
        <v>0</v>
      </c>
      <c r="I11" s="227">
        <f>ROUNDUP(H11*1.05,0)</f>
        <v>0</v>
      </c>
      <c r="J11" s="227">
        <v>0</v>
      </c>
      <c r="K11" s="227">
        <f>ROUNDUP(J11*1.05,0)</f>
        <v>0</v>
      </c>
      <c r="L11" s="227">
        <v>33</v>
      </c>
      <c r="M11" s="227">
        <v>35</v>
      </c>
      <c r="N11" s="227">
        <f t="shared" ref="N11:N30" si="0">ROUNDDOWN(O11/1.05,0)</f>
        <v>0</v>
      </c>
      <c r="O11" s="227"/>
      <c r="P11" s="227">
        <f t="shared" ref="P11:P30" si="1">ROUNDDOWN(Q11/1.05,0)</f>
        <v>0</v>
      </c>
      <c r="Q11" s="227"/>
      <c r="R11" s="480">
        <f>B11+D11+F11+H11+J11+L11+N11+P11</f>
        <v>855</v>
      </c>
      <c r="S11" s="480">
        <f>C11+E11+G11+I11+K11+M11+O11+Q11</f>
        <v>900</v>
      </c>
      <c r="T11" s="621">
        <f t="shared" ref="T11:T20" si="2">IF(R11=0,0,(S11-R11)/R11)</f>
        <v>5.2631578947368418E-2</v>
      </c>
    </row>
    <row r="12" spans="1:20" ht="24.75" customHeight="1" x14ac:dyDescent="0.25">
      <c r="A12" s="229">
        <v>2</v>
      </c>
      <c r="B12" s="227">
        <v>25</v>
      </c>
      <c r="C12" s="227">
        <f t="shared" ref="C12:C30" si="3">ROUNDUP(B12*1.05,0)</f>
        <v>27</v>
      </c>
      <c r="D12" s="227">
        <v>662</v>
      </c>
      <c r="E12" s="227">
        <f t="shared" ref="E12:E30" si="4">ROUNDUP(D12*1.05,0)</f>
        <v>696</v>
      </c>
      <c r="F12" s="227">
        <v>125</v>
      </c>
      <c r="G12" s="227">
        <f t="shared" ref="G12:G30" si="5">ROUNDUP(F12*1.05,0)</f>
        <v>132</v>
      </c>
      <c r="H12" s="227">
        <v>0</v>
      </c>
      <c r="I12" s="227">
        <f t="shared" ref="I12:I30" si="6">ROUNDUP(H12*1.05,0)</f>
        <v>0</v>
      </c>
      <c r="J12" s="227">
        <v>10</v>
      </c>
      <c r="K12" s="227">
        <f t="shared" ref="K12:K30" si="7">ROUNDUP(J12*1.05,0)</f>
        <v>11</v>
      </c>
      <c r="L12" s="227">
        <v>33</v>
      </c>
      <c r="M12" s="227">
        <v>35</v>
      </c>
      <c r="N12" s="227">
        <f t="shared" si="0"/>
        <v>0</v>
      </c>
      <c r="O12" s="230"/>
      <c r="P12" s="227">
        <f t="shared" si="1"/>
        <v>0</v>
      </c>
      <c r="Q12" s="230"/>
      <c r="R12" s="480">
        <f t="shared" ref="R12:R20" si="8">B12+D12+F12+H12+J12+L12+N12+P12</f>
        <v>855</v>
      </c>
      <c r="S12" s="480">
        <f t="shared" ref="S12:S20" si="9">C12+E12+G12+I12+K12+M12+O12+Q12</f>
        <v>901</v>
      </c>
      <c r="T12" s="622">
        <f t="shared" si="2"/>
        <v>5.3801169590643273E-2</v>
      </c>
    </row>
    <row r="13" spans="1:20" ht="24.75" customHeight="1" x14ac:dyDescent="0.25">
      <c r="A13" s="229">
        <v>3</v>
      </c>
      <c r="B13" s="227">
        <v>37</v>
      </c>
      <c r="C13" s="227">
        <f t="shared" si="3"/>
        <v>39</v>
      </c>
      <c r="D13" s="227">
        <v>588</v>
      </c>
      <c r="E13" s="227">
        <f t="shared" si="4"/>
        <v>618</v>
      </c>
      <c r="F13" s="227">
        <v>187</v>
      </c>
      <c r="G13" s="227">
        <f t="shared" si="5"/>
        <v>197</v>
      </c>
      <c r="H13" s="227">
        <v>0</v>
      </c>
      <c r="I13" s="227">
        <f t="shared" si="6"/>
        <v>0</v>
      </c>
      <c r="J13" s="227">
        <v>10</v>
      </c>
      <c r="K13" s="227">
        <f t="shared" si="7"/>
        <v>11</v>
      </c>
      <c r="L13" s="227">
        <v>33</v>
      </c>
      <c r="M13" s="227">
        <v>35</v>
      </c>
      <c r="N13" s="227">
        <f t="shared" si="0"/>
        <v>0</v>
      </c>
      <c r="O13" s="230"/>
      <c r="P13" s="227">
        <f t="shared" si="1"/>
        <v>0</v>
      </c>
      <c r="Q13" s="230"/>
      <c r="R13" s="480">
        <f t="shared" si="8"/>
        <v>855</v>
      </c>
      <c r="S13" s="480">
        <f t="shared" si="9"/>
        <v>900</v>
      </c>
      <c r="T13" s="622">
        <f t="shared" si="2"/>
        <v>5.2631578947368418E-2</v>
      </c>
    </row>
    <row r="14" spans="1:20" ht="24.75" customHeight="1" x14ac:dyDescent="0.25">
      <c r="A14" s="229">
        <v>4</v>
      </c>
      <c r="B14" s="227">
        <v>50</v>
      </c>
      <c r="C14" s="227">
        <f t="shared" si="3"/>
        <v>53</v>
      </c>
      <c r="D14" s="227">
        <v>513</v>
      </c>
      <c r="E14" s="227">
        <f t="shared" si="4"/>
        <v>539</v>
      </c>
      <c r="F14" s="227">
        <v>249</v>
      </c>
      <c r="G14" s="227">
        <f t="shared" si="5"/>
        <v>262</v>
      </c>
      <c r="H14" s="227">
        <v>0</v>
      </c>
      <c r="I14" s="227">
        <f t="shared" si="6"/>
        <v>0</v>
      </c>
      <c r="J14" s="227">
        <v>10</v>
      </c>
      <c r="K14" s="227">
        <f t="shared" si="7"/>
        <v>11</v>
      </c>
      <c r="L14" s="227">
        <v>33</v>
      </c>
      <c r="M14" s="227">
        <v>35</v>
      </c>
      <c r="N14" s="227">
        <f t="shared" si="0"/>
        <v>0</v>
      </c>
      <c r="O14" s="230"/>
      <c r="P14" s="227">
        <f t="shared" si="1"/>
        <v>0</v>
      </c>
      <c r="Q14" s="230"/>
      <c r="R14" s="480">
        <f t="shared" si="8"/>
        <v>855</v>
      </c>
      <c r="S14" s="480">
        <f t="shared" si="9"/>
        <v>900</v>
      </c>
      <c r="T14" s="622">
        <f t="shared" si="2"/>
        <v>5.2631578947368418E-2</v>
      </c>
    </row>
    <row r="15" spans="1:20" ht="24.75" customHeight="1" x14ac:dyDescent="0.25">
      <c r="A15" s="229">
        <v>5</v>
      </c>
      <c r="B15" s="227">
        <v>62</v>
      </c>
      <c r="C15" s="227">
        <f t="shared" si="3"/>
        <v>66</v>
      </c>
      <c r="D15" s="227">
        <v>426</v>
      </c>
      <c r="E15" s="227">
        <f t="shared" si="4"/>
        <v>448</v>
      </c>
      <c r="F15" s="227">
        <v>312</v>
      </c>
      <c r="G15" s="227">
        <f t="shared" si="5"/>
        <v>328</v>
      </c>
      <c r="H15" s="227">
        <v>12</v>
      </c>
      <c r="I15" s="227">
        <f t="shared" si="6"/>
        <v>13</v>
      </c>
      <c r="J15" s="227">
        <v>10</v>
      </c>
      <c r="K15" s="227">
        <f t="shared" si="7"/>
        <v>11</v>
      </c>
      <c r="L15" s="227">
        <v>33</v>
      </c>
      <c r="M15" s="227">
        <v>35</v>
      </c>
      <c r="N15" s="227">
        <f t="shared" si="0"/>
        <v>0</v>
      </c>
      <c r="O15" s="230"/>
      <c r="P15" s="227">
        <f t="shared" si="1"/>
        <v>0</v>
      </c>
      <c r="Q15" s="230"/>
      <c r="R15" s="480">
        <f t="shared" si="8"/>
        <v>855</v>
      </c>
      <c r="S15" s="480">
        <f t="shared" si="9"/>
        <v>901</v>
      </c>
      <c r="T15" s="622">
        <f t="shared" si="2"/>
        <v>5.3801169590643273E-2</v>
      </c>
    </row>
    <row r="16" spans="1:20" ht="24.75" customHeight="1" x14ac:dyDescent="0.25">
      <c r="A16" s="229">
        <v>6</v>
      </c>
      <c r="B16" s="227">
        <v>74</v>
      </c>
      <c r="C16" s="227">
        <f t="shared" si="3"/>
        <v>78</v>
      </c>
      <c r="D16" s="227">
        <v>340</v>
      </c>
      <c r="E16" s="227">
        <f t="shared" si="4"/>
        <v>357</v>
      </c>
      <c r="F16" s="227">
        <v>374</v>
      </c>
      <c r="G16" s="227">
        <f t="shared" si="5"/>
        <v>393</v>
      </c>
      <c r="H16" s="227">
        <v>24</v>
      </c>
      <c r="I16" s="227">
        <f t="shared" si="6"/>
        <v>26</v>
      </c>
      <c r="J16" s="227">
        <v>10</v>
      </c>
      <c r="K16" s="227">
        <f t="shared" si="7"/>
        <v>11</v>
      </c>
      <c r="L16" s="227">
        <v>33</v>
      </c>
      <c r="M16" s="227">
        <v>35</v>
      </c>
      <c r="N16" s="227">
        <f t="shared" si="0"/>
        <v>0</v>
      </c>
      <c r="O16" s="230"/>
      <c r="P16" s="227">
        <f t="shared" si="1"/>
        <v>0</v>
      </c>
      <c r="Q16" s="230"/>
      <c r="R16" s="480">
        <f t="shared" si="8"/>
        <v>855</v>
      </c>
      <c r="S16" s="480">
        <f t="shared" si="9"/>
        <v>900</v>
      </c>
      <c r="T16" s="622">
        <f t="shared" si="2"/>
        <v>5.2631578947368418E-2</v>
      </c>
    </row>
    <row r="17" spans="1:20" ht="24.75" customHeight="1" x14ac:dyDescent="0.25">
      <c r="A17" s="229">
        <v>7</v>
      </c>
      <c r="B17" s="227">
        <v>87</v>
      </c>
      <c r="C17" s="227">
        <f t="shared" si="3"/>
        <v>92</v>
      </c>
      <c r="D17" s="227">
        <v>253</v>
      </c>
      <c r="E17" s="227">
        <f t="shared" si="4"/>
        <v>266</v>
      </c>
      <c r="F17" s="227">
        <v>436</v>
      </c>
      <c r="G17" s="227">
        <f t="shared" si="5"/>
        <v>458</v>
      </c>
      <c r="H17" s="227">
        <v>36</v>
      </c>
      <c r="I17" s="227">
        <f t="shared" si="6"/>
        <v>38</v>
      </c>
      <c r="J17" s="227">
        <v>10</v>
      </c>
      <c r="K17" s="227">
        <f t="shared" si="7"/>
        <v>11</v>
      </c>
      <c r="L17" s="227">
        <v>33</v>
      </c>
      <c r="M17" s="227">
        <v>35</v>
      </c>
      <c r="N17" s="227">
        <f t="shared" si="0"/>
        <v>0</v>
      </c>
      <c r="O17" s="230"/>
      <c r="P17" s="227">
        <f t="shared" si="1"/>
        <v>0</v>
      </c>
      <c r="Q17" s="230"/>
      <c r="R17" s="480">
        <f t="shared" si="8"/>
        <v>855</v>
      </c>
      <c r="S17" s="480">
        <f t="shared" si="9"/>
        <v>900</v>
      </c>
      <c r="T17" s="622">
        <f t="shared" si="2"/>
        <v>5.2631578947368418E-2</v>
      </c>
    </row>
    <row r="18" spans="1:20" ht="24.75" customHeight="1" x14ac:dyDescent="0.25">
      <c r="A18" s="229">
        <v>8</v>
      </c>
      <c r="B18" s="227">
        <v>99</v>
      </c>
      <c r="C18" s="227">
        <f t="shared" si="3"/>
        <v>104</v>
      </c>
      <c r="D18" s="227">
        <v>167</v>
      </c>
      <c r="E18" s="227">
        <f t="shared" si="4"/>
        <v>176</v>
      </c>
      <c r="F18" s="227">
        <v>498</v>
      </c>
      <c r="G18" s="227">
        <f t="shared" si="5"/>
        <v>523</v>
      </c>
      <c r="H18" s="227">
        <v>48</v>
      </c>
      <c r="I18" s="227">
        <f t="shared" si="6"/>
        <v>51</v>
      </c>
      <c r="J18" s="227">
        <v>10</v>
      </c>
      <c r="K18" s="227">
        <f t="shared" si="7"/>
        <v>11</v>
      </c>
      <c r="L18" s="227">
        <v>33</v>
      </c>
      <c r="M18" s="227">
        <v>35</v>
      </c>
      <c r="N18" s="227">
        <f t="shared" si="0"/>
        <v>0</v>
      </c>
      <c r="O18" s="230"/>
      <c r="P18" s="227">
        <f t="shared" si="1"/>
        <v>0</v>
      </c>
      <c r="Q18" s="230"/>
      <c r="R18" s="480">
        <f t="shared" si="8"/>
        <v>855</v>
      </c>
      <c r="S18" s="480">
        <f t="shared" si="9"/>
        <v>900</v>
      </c>
      <c r="T18" s="622">
        <f t="shared" si="2"/>
        <v>5.2631578947368418E-2</v>
      </c>
    </row>
    <row r="19" spans="1:20" ht="24.75" customHeight="1" x14ac:dyDescent="0.25">
      <c r="A19" s="229">
        <v>9</v>
      </c>
      <c r="B19" s="227">
        <v>111</v>
      </c>
      <c r="C19" s="227">
        <f t="shared" si="3"/>
        <v>117</v>
      </c>
      <c r="D19" s="227">
        <v>76</v>
      </c>
      <c r="E19" s="227">
        <f t="shared" si="4"/>
        <v>80</v>
      </c>
      <c r="F19" s="227">
        <v>560</v>
      </c>
      <c r="G19" s="227">
        <f t="shared" si="5"/>
        <v>588</v>
      </c>
      <c r="H19" s="227">
        <v>59</v>
      </c>
      <c r="I19" s="227">
        <f t="shared" si="6"/>
        <v>62</v>
      </c>
      <c r="J19" s="227">
        <v>10</v>
      </c>
      <c r="K19" s="227">
        <f t="shared" si="7"/>
        <v>11</v>
      </c>
      <c r="L19" s="227">
        <v>33</v>
      </c>
      <c r="M19" s="227">
        <v>35</v>
      </c>
      <c r="N19" s="227">
        <f t="shared" si="0"/>
        <v>0</v>
      </c>
      <c r="O19" s="230"/>
      <c r="P19" s="227">
        <f t="shared" si="1"/>
        <v>0</v>
      </c>
      <c r="Q19" s="230"/>
      <c r="R19" s="480">
        <f t="shared" si="8"/>
        <v>849</v>
      </c>
      <c r="S19" s="480">
        <f t="shared" si="9"/>
        <v>893</v>
      </c>
      <c r="T19" s="622">
        <f t="shared" si="2"/>
        <v>5.1825677267373381E-2</v>
      </c>
    </row>
    <row r="20" spans="1:20" ht="24.75" customHeight="1" x14ac:dyDescent="0.25">
      <c r="A20" s="229">
        <v>10</v>
      </c>
      <c r="B20" s="227">
        <v>111</v>
      </c>
      <c r="C20" s="227">
        <f t="shared" si="3"/>
        <v>117</v>
      </c>
      <c r="D20" s="227">
        <v>76</v>
      </c>
      <c r="E20" s="227">
        <f t="shared" si="4"/>
        <v>80</v>
      </c>
      <c r="F20" s="227">
        <v>560</v>
      </c>
      <c r="G20" s="227">
        <f t="shared" si="5"/>
        <v>588</v>
      </c>
      <c r="H20" s="227">
        <v>59</v>
      </c>
      <c r="I20" s="227">
        <f t="shared" si="6"/>
        <v>62</v>
      </c>
      <c r="J20" s="227">
        <v>10</v>
      </c>
      <c r="K20" s="227">
        <f t="shared" si="7"/>
        <v>11</v>
      </c>
      <c r="L20" s="227">
        <v>33</v>
      </c>
      <c r="M20" s="227">
        <v>35</v>
      </c>
      <c r="N20" s="227">
        <f t="shared" si="0"/>
        <v>0</v>
      </c>
      <c r="O20" s="230"/>
      <c r="P20" s="227">
        <f t="shared" si="1"/>
        <v>0</v>
      </c>
      <c r="Q20" s="230"/>
      <c r="R20" s="480">
        <f t="shared" si="8"/>
        <v>849</v>
      </c>
      <c r="S20" s="480">
        <f t="shared" si="9"/>
        <v>893</v>
      </c>
      <c r="T20" s="622">
        <f t="shared" si="2"/>
        <v>5.1825677267373381E-2</v>
      </c>
    </row>
    <row r="21" spans="1:20" ht="24.75" customHeight="1" x14ac:dyDescent="0.25">
      <c r="A21" s="229">
        <v>11</v>
      </c>
      <c r="B21" s="227">
        <v>111</v>
      </c>
      <c r="C21" s="227">
        <f t="shared" si="3"/>
        <v>117</v>
      </c>
      <c r="D21" s="227">
        <v>76</v>
      </c>
      <c r="E21" s="227">
        <f t="shared" si="4"/>
        <v>80</v>
      </c>
      <c r="F21" s="227">
        <v>560</v>
      </c>
      <c r="G21" s="227">
        <f t="shared" si="5"/>
        <v>588</v>
      </c>
      <c r="H21" s="227">
        <v>59</v>
      </c>
      <c r="I21" s="227">
        <f t="shared" si="6"/>
        <v>62</v>
      </c>
      <c r="J21" s="227">
        <v>10</v>
      </c>
      <c r="K21" s="227">
        <f t="shared" si="7"/>
        <v>11</v>
      </c>
      <c r="L21" s="227">
        <v>33</v>
      </c>
      <c r="M21" s="227">
        <v>35</v>
      </c>
      <c r="N21" s="227">
        <f t="shared" si="0"/>
        <v>0</v>
      </c>
      <c r="O21" s="230"/>
      <c r="P21" s="227">
        <f t="shared" si="1"/>
        <v>0</v>
      </c>
      <c r="Q21" s="230"/>
      <c r="R21" s="480">
        <f t="shared" ref="R21:R30" si="10">B21+D21+F21+H21+J21+L21+N21+P21</f>
        <v>849</v>
      </c>
      <c r="S21" s="480">
        <f t="shared" ref="S21:S30" si="11">C21+E21+G21+I21+K21+M21+O21+Q21</f>
        <v>893</v>
      </c>
      <c r="T21" s="622">
        <f t="shared" ref="T21:T30" si="12">IF(R21=0,0,(S21-R21)/R21)</f>
        <v>5.1825677267373381E-2</v>
      </c>
    </row>
    <row r="22" spans="1:20" ht="24.75" customHeight="1" x14ac:dyDescent="0.25">
      <c r="A22" s="229">
        <v>12</v>
      </c>
      <c r="B22" s="227">
        <v>111</v>
      </c>
      <c r="C22" s="227">
        <f t="shared" si="3"/>
        <v>117</v>
      </c>
      <c r="D22" s="227">
        <v>76</v>
      </c>
      <c r="E22" s="227">
        <f t="shared" si="4"/>
        <v>80</v>
      </c>
      <c r="F22" s="227">
        <v>560</v>
      </c>
      <c r="G22" s="227">
        <f t="shared" si="5"/>
        <v>588</v>
      </c>
      <c r="H22" s="227">
        <v>59</v>
      </c>
      <c r="I22" s="227">
        <f t="shared" si="6"/>
        <v>62</v>
      </c>
      <c r="J22" s="227">
        <v>10</v>
      </c>
      <c r="K22" s="227">
        <f t="shared" si="7"/>
        <v>11</v>
      </c>
      <c r="L22" s="227">
        <v>33</v>
      </c>
      <c r="M22" s="227">
        <v>35</v>
      </c>
      <c r="N22" s="227">
        <f t="shared" si="0"/>
        <v>0</v>
      </c>
      <c r="O22" s="230"/>
      <c r="P22" s="227">
        <f t="shared" si="1"/>
        <v>0</v>
      </c>
      <c r="Q22" s="230"/>
      <c r="R22" s="480">
        <f t="shared" si="10"/>
        <v>849</v>
      </c>
      <c r="S22" s="480">
        <f t="shared" si="11"/>
        <v>893</v>
      </c>
      <c r="T22" s="622">
        <f t="shared" si="12"/>
        <v>5.1825677267373381E-2</v>
      </c>
    </row>
    <row r="23" spans="1:20" ht="24.75" customHeight="1" x14ac:dyDescent="0.25">
      <c r="A23" s="229">
        <v>13</v>
      </c>
      <c r="B23" s="227">
        <v>111</v>
      </c>
      <c r="C23" s="227">
        <f t="shared" si="3"/>
        <v>117</v>
      </c>
      <c r="D23" s="227">
        <v>76</v>
      </c>
      <c r="E23" s="227">
        <f t="shared" si="4"/>
        <v>80</v>
      </c>
      <c r="F23" s="227">
        <v>560</v>
      </c>
      <c r="G23" s="227">
        <f t="shared" si="5"/>
        <v>588</v>
      </c>
      <c r="H23" s="227">
        <v>59</v>
      </c>
      <c r="I23" s="227">
        <f t="shared" si="6"/>
        <v>62</v>
      </c>
      <c r="J23" s="227">
        <v>10</v>
      </c>
      <c r="K23" s="227">
        <f t="shared" si="7"/>
        <v>11</v>
      </c>
      <c r="L23" s="227">
        <v>33</v>
      </c>
      <c r="M23" s="227">
        <v>35</v>
      </c>
      <c r="N23" s="227">
        <f t="shared" si="0"/>
        <v>0</v>
      </c>
      <c r="O23" s="230"/>
      <c r="P23" s="227">
        <f t="shared" si="1"/>
        <v>0</v>
      </c>
      <c r="Q23" s="230"/>
      <c r="R23" s="480">
        <f t="shared" si="10"/>
        <v>849</v>
      </c>
      <c r="S23" s="480">
        <f t="shared" si="11"/>
        <v>893</v>
      </c>
      <c r="T23" s="622">
        <f t="shared" si="12"/>
        <v>5.1825677267373381E-2</v>
      </c>
    </row>
    <row r="24" spans="1:20" ht="24.75" customHeight="1" x14ac:dyDescent="0.25">
      <c r="A24" s="229">
        <v>14</v>
      </c>
      <c r="B24" s="227">
        <v>111</v>
      </c>
      <c r="C24" s="227">
        <f t="shared" si="3"/>
        <v>117</v>
      </c>
      <c r="D24" s="227">
        <v>76</v>
      </c>
      <c r="E24" s="227">
        <f t="shared" si="4"/>
        <v>80</v>
      </c>
      <c r="F24" s="227">
        <v>560</v>
      </c>
      <c r="G24" s="227">
        <f t="shared" si="5"/>
        <v>588</v>
      </c>
      <c r="H24" s="227">
        <v>59</v>
      </c>
      <c r="I24" s="227">
        <f t="shared" si="6"/>
        <v>62</v>
      </c>
      <c r="J24" s="227">
        <v>10</v>
      </c>
      <c r="K24" s="227">
        <f t="shared" si="7"/>
        <v>11</v>
      </c>
      <c r="L24" s="227">
        <v>33</v>
      </c>
      <c r="M24" s="227">
        <v>35</v>
      </c>
      <c r="N24" s="227">
        <f t="shared" si="0"/>
        <v>0</v>
      </c>
      <c r="O24" s="230"/>
      <c r="P24" s="227">
        <f t="shared" si="1"/>
        <v>0</v>
      </c>
      <c r="Q24" s="230"/>
      <c r="R24" s="480">
        <f t="shared" si="10"/>
        <v>849</v>
      </c>
      <c r="S24" s="480">
        <f t="shared" si="11"/>
        <v>893</v>
      </c>
      <c r="T24" s="622">
        <f t="shared" si="12"/>
        <v>5.1825677267373381E-2</v>
      </c>
    </row>
    <row r="25" spans="1:20" ht="24.75" customHeight="1" x14ac:dyDescent="0.25">
      <c r="A25" s="229">
        <v>15</v>
      </c>
      <c r="B25" s="227">
        <v>111</v>
      </c>
      <c r="C25" s="227">
        <f t="shared" si="3"/>
        <v>117</v>
      </c>
      <c r="D25" s="227">
        <v>76</v>
      </c>
      <c r="E25" s="227">
        <f t="shared" si="4"/>
        <v>80</v>
      </c>
      <c r="F25" s="227">
        <v>560</v>
      </c>
      <c r="G25" s="227">
        <f t="shared" si="5"/>
        <v>588</v>
      </c>
      <c r="H25" s="227">
        <v>59</v>
      </c>
      <c r="I25" s="227">
        <f t="shared" si="6"/>
        <v>62</v>
      </c>
      <c r="J25" s="227">
        <v>10</v>
      </c>
      <c r="K25" s="227">
        <f t="shared" si="7"/>
        <v>11</v>
      </c>
      <c r="L25" s="227">
        <v>33</v>
      </c>
      <c r="M25" s="227">
        <v>35</v>
      </c>
      <c r="N25" s="227">
        <f t="shared" si="0"/>
        <v>0</v>
      </c>
      <c r="O25" s="230"/>
      <c r="P25" s="227">
        <f t="shared" si="1"/>
        <v>0</v>
      </c>
      <c r="Q25" s="230"/>
      <c r="R25" s="480">
        <f t="shared" si="10"/>
        <v>849</v>
      </c>
      <c r="S25" s="480">
        <f t="shared" si="11"/>
        <v>893</v>
      </c>
      <c r="T25" s="622">
        <f t="shared" si="12"/>
        <v>5.1825677267373381E-2</v>
      </c>
    </row>
    <row r="26" spans="1:20" ht="24.75" customHeight="1" x14ac:dyDescent="0.25">
      <c r="A26" s="229">
        <v>16</v>
      </c>
      <c r="B26" s="227">
        <v>111</v>
      </c>
      <c r="C26" s="227">
        <f t="shared" si="3"/>
        <v>117</v>
      </c>
      <c r="D26" s="227">
        <v>76</v>
      </c>
      <c r="E26" s="227">
        <f t="shared" si="4"/>
        <v>80</v>
      </c>
      <c r="F26" s="227">
        <v>560</v>
      </c>
      <c r="G26" s="227">
        <f t="shared" si="5"/>
        <v>588</v>
      </c>
      <c r="H26" s="227">
        <v>59</v>
      </c>
      <c r="I26" s="227">
        <f t="shared" si="6"/>
        <v>62</v>
      </c>
      <c r="J26" s="227">
        <v>10</v>
      </c>
      <c r="K26" s="227">
        <f t="shared" si="7"/>
        <v>11</v>
      </c>
      <c r="L26" s="227">
        <v>33</v>
      </c>
      <c r="M26" s="227">
        <v>35</v>
      </c>
      <c r="N26" s="227">
        <f t="shared" si="0"/>
        <v>0</v>
      </c>
      <c r="O26" s="230"/>
      <c r="P26" s="227">
        <f t="shared" si="1"/>
        <v>0</v>
      </c>
      <c r="Q26" s="230"/>
      <c r="R26" s="480">
        <f t="shared" si="10"/>
        <v>849</v>
      </c>
      <c r="S26" s="480">
        <f t="shared" si="11"/>
        <v>893</v>
      </c>
      <c r="T26" s="622">
        <f t="shared" si="12"/>
        <v>5.1825677267373381E-2</v>
      </c>
    </row>
    <row r="27" spans="1:20" ht="24.75" customHeight="1" x14ac:dyDescent="0.25">
      <c r="A27" s="229">
        <v>17</v>
      </c>
      <c r="B27" s="227">
        <v>111</v>
      </c>
      <c r="C27" s="227">
        <f t="shared" si="3"/>
        <v>117</v>
      </c>
      <c r="D27" s="227">
        <v>76</v>
      </c>
      <c r="E27" s="227">
        <f t="shared" si="4"/>
        <v>80</v>
      </c>
      <c r="F27" s="227">
        <v>560</v>
      </c>
      <c r="G27" s="227">
        <f t="shared" si="5"/>
        <v>588</v>
      </c>
      <c r="H27" s="227">
        <v>59</v>
      </c>
      <c r="I27" s="227">
        <f t="shared" si="6"/>
        <v>62</v>
      </c>
      <c r="J27" s="227">
        <v>10</v>
      </c>
      <c r="K27" s="227">
        <f t="shared" si="7"/>
        <v>11</v>
      </c>
      <c r="L27" s="227">
        <v>33</v>
      </c>
      <c r="M27" s="227">
        <v>35</v>
      </c>
      <c r="N27" s="227">
        <f t="shared" si="0"/>
        <v>0</v>
      </c>
      <c r="O27" s="230"/>
      <c r="P27" s="227">
        <f t="shared" si="1"/>
        <v>0</v>
      </c>
      <c r="Q27" s="230"/>
      <c r="R27" s="480">
        <f t="shared" si="10"/>
        <v>849</v>
      </c>
      <c r="S27" s="480">
        <f t="shared" si="11"/>
        <v>893</v>
      </c>
      <c r="T27" s="622">
        <f t="shared" si="12"/>
        <v>5.1825677267373381E-2</v>
      </c>
    </row>
    <row r="28" spans="1:20" ht="24.75" customHeight="1" x14ac:dyDescent="0.25">
      <c r="A28" s="229">
        <v>18</v>
      </c>
      <c r="B28" s="227">
        <v>111</v>
      </c>
      <c r="C28" s="227">
        <f t="shared" si="3"/>
        <v>117</v>
      </c>
      <c r="D28" s="227">
        <v>76</v>
      </c>
      <c r="E28" s="227">
        <f t="shared" si="4"/>
        <v>80</v>
      </c>
      <c r="F28" s="227">
        <v>560</v>
      </c>
      <c r="G28" s="227">
        <f t="shared" si="5"/>
        <v>588</v>
      </c>
      <c r="H28" s="227">
        <v>59</v>
      </c>
      <c r="I28" s="227">
        <f t="shared" si="6"/>
        <v>62</v>
      </c>
      <c r="J28" s="227">
        <v>10</v>
      </c>
      <c r="K28" s="227">
        <f t="shared" si="7"/>
        <v>11</v>
      </c>
      <c r="L28" s="227">
        <v>33</v>
      </c>
      <c r="M28" s="227">
        <v>35</v>
      </c>
      <c r="N28" s="227">
        <f t="shared" si="0"/>
        <v>0</v>
      </c>
      <c r="O28" s="230"/>
      <c r="P28" s="227">
        <f t="shared" si="1"/>
        <v>0</v>
      </c>
      <c r="Q28" s="230"/>
      <c r="R28" s="480">
        <f t="shared" si="10"/>
        <v>849</v>
      </c>
      <c r="S28" s="480">
        <f t="shared" si="11"/>
        <v>893</v>
      </c>
      <c r="T28" s="622">
        <f t="shared" si="12"/>
        <v>5.1825677267373381E-2</v>
      </c>
    </row>
    <row r="29" spans="1:20" ht="24.75" customHeight="1" x14ac:dyDescent="0.25">
      <c r="A29" s="229">
        <v>19</v>
      </c>
      <c r="B29" s="227">
        <v>111</v>
      </c>
      <c r="C29" s="227">
        <f t="shared" si="3"/>
        <v>117</v>
      </c>
      <c r="D29" s="227">
        <v>76</v>
      </c>
      <c r="E29" s="227">
        <f t="shared" si="4"/>
        <v>80</v>
      </c>
      <c r="F29" s="227">
        <v>560</v>
      </c>
      <c r="G29" s="227">
        <f t="shared" si="5"/>
        <v>588</v>
      </c>
      <c r="H29" s="227">
        <v>59</v>
      </c>
      <c r="I29" s="227">
        <f t="shared" si="6"/>
        <v>62</v>
      </c>
      <c r="J29" s="227">
        <v>10</v>
      </c>
      <c r="K29" s="227">
        <f t="shared" si="7"/>
        <v>11</v>
      </c>
      <c r="L29" s="227">
        <v>33</v>
      </c>
      <c r="M29" s="227">
        <v>35</v>
      </c>
      <c r="N29" s="227">
        <f t="shared" si="0"/>
        <v>0</v>
      </c>
      <c r="O29" s="230"/>
      <c r="P29" s="227">
        <f t="shared" si="1"/>
        <v>0</v>
      </c>
      <c r="Q29" s="230"/>
      <c r="R29" s="480">
        <f t="shared" si="10"/>
        <v>849</v>
      </c>
      <c r="S29" s="480">
        <f t="shared" si="11"/>
        <v>893</v>
      </c>
      <c r="T29" s="622">
        <f t="shared" si="12"/>
        <v>5.1825677267373381E-2</v>
      </c>
    </row>
    <row r="30" spans="1:20" ht="24.75" customHeight="1" x14ac:dyDescent="0.25">
      <c r="A30" s="229">
        <v>20</v>
      </c>
      <c r="B30" s="227">
        <v>111</v>
      </c>
      <c r="C30" s="227">
        <f t="shared" si="3"/>
        <v>117</v>
      </c>
      <c r="D30" s="227">
        <v>76</v>
      </c>
      <c r="E30" s="227">
        <f t="shared" si="4"/>
        <v>80</v>
      </c>
      <c r="F30" s="227">
        <v>560</v>
      </c>
      <c r="G30" s="227">
        <f t="shared" si="5"/>
        <v>588</v>
      </c>
      <c r="H30" s="227">
        <v>59</v>
      </c>
      <c r="I30" s="227">
        <f t="shared" si="6"/>
        <v>62</v>
      </c>
      <c r="J30" s="227">
        <v>10</v>
      </c>
      <c r="K30" s="227">
        <f t="shared" si="7"/>
        <v>11</v>
      </c>
      <c r="L30" s="227">
        <v>33</v>
      </c>
      <c r="M30" s="227">
        <v>35</v>
      </c>
      <c r="N30" s="227">
        <f t="shared" si="0"/>
        <v>0</v>
      </c>
      <c r="O30" s="230"/>
      <c r="P30" s="227">
        <f t="shared" si="1"/>
        <v>0</v>
      </c>
      <c r="Q30" s="230"/>
      <c r="R30" s="480">
        <f t="shared" si="10"/>
        <v>849</v>
      </c>
      <c r="S30" s="480">
        <f t="shared" si="11"/>
        <v>893</v>
      </c>
      <c r="T30" s="622">
        <f t="shared" si="12"/>
        <v>5.1825677267373381E-2</v>
      </c>
    </row>
    <row r="31" spans="1:20" ht="24.75" customHeight="1" x14ac:dyDescent="0.25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</row>
    <row r="32" spans="1:20" ht="24.75" customHeight="1" x14ac:dyDescent="0.25">
      <c r="A32" s="490" t="s">
        <v>447</v>
      </c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</row>
    <row r="33" spans="1:15" ht="24.75" customHeight="1" x14ac:dyDescent="0.25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</row>
    <row r="34" spans="1:15" ht="24.75" customHeight="1" x14ac:dyDescent="0.25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</row>
    <row r="35" spans="1:15" ht="24.75" customHeight="1" x14ac:dyDescent="0.25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</row>
    <row r="36" spans="1:15" ht="24.75" customHeight="1" x14ac:dyDescent="0.25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1:15" ht="24.75" customHeight="1" x14ac:dyDescent="0.25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1:15" ht="24.75" customHeight="1" x14ac:dyDescent="0.25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1:15" ht="24.75" customHeight="1" x14ac:dyDescent="0.25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</row>
    <row r="40" spans="1:15" ht="24.75" customHeight="1" x14ac:dyDescent="0.25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</row>
    <row r="41" spans="1:15" ht="24.75" customHeight="1" x14ac:dyDescent="0.25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</row>
    <row r="42" spans="1:15" ht="24.75" customHeight="1" x14ac:dyDescent="0.25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</row>
    <row r="43" spans="1:15" ht="24.75" customHeight="1" x14ac:dyDescent="0.25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</row>
    <row r="44" spans="1:15" ht="24.75" customHeight="1" x14ac:dyDescent="0.25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</row>
    <row r="45" spans="1:15" ht="24.75" customHeight="1" x14ac:dyDescent="0.25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</row>
    <row r="46" spans="1:15" ht="24.75" customHeight="1" x14ac:dyDescent="0.25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</row>
    <row r="47" spans="1:15" ht="24.75" customHeight="1" x14ac:dyDescent="0.25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</row>
    <row r="48" spans="1:15" ht="24.75" customHeight="1" x14ac:dyDescent="0.25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</row>
    <row r="49" spans="1:15" ht="24.75" customHeight="1" x14ac:dyDescent="0.25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</row>
    <row r="50" spans="1:15" ht="24.75" customHeight="1" x14ac:dyDescent="0.25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</row>
    <row r="51" spans="1:15" ht="24.75" customHeight="1" x14ac:dyDescent="0.25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</row>
    <row r="52" spans="1:15" ht="24.75" customHeight="1" x14ac:dyDescent="0.25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</row>
    <row r="53" spans="1:15" ht="24.75" customHeight="1" x14ac:dyDescent="0.25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</row>
    <row r="54" spans="1:15" ht="24.75" customHeight="1" x14ac:dyDescent="0.25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</row>
    <row r="55" spans="1:15" ht="24.75" customHeight="1" x14ac:dyDescent="0.25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</row>
    <row r="56" spans="1:15" ht="24.75" customHeight="1" x14ac:dyDescent="0.25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</row>
    <row r="57" spans="1:15" ht="24.75" customHeight="1" x14ac:dyDescent="0.25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</row>
    <row r="58" spans="1:15" ht="24.75" customHeight="1" x14ac:dyDescent="0.25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</row>
    <row r="59" spans="1:15" ht="24.75" customHeight="1" x14ac:dyDescent="0.25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</row>
    <row r="60" spans="1:15" ht="24.75" customHeight="1" x14ac:dyDescent="0.25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</row>
    <row r="61" spans="1:15" ht="24.75" customHeight="1" x14ac:dyDescent="0.25">
      <c r="A61" s="223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</row>
    <row r="62" spans="1:15" ht="24.75" customHeight="1" x14ac:dyDescent="0.25">
      <c r="A62" s="223"/>
      <c r="B62" s="223"/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</row>
    <row r="63" spans="1:15" ht="24.75" customHeight="1" x14ac:dyDescent="0.25">
      <c r="A63" s="223"/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</row>
    <row r="64" spans="1:15" ht="24.75" customHeight="1" x14ac:dyDescent="0.25">
      <c r="A64" s="223"/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</row>
    <row r="65" spans="1:15" ht="24.75" customHeight="1" x14ac:dyDescent="0.25">
      <c r="A65" s="223"/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</row>
    <row r="66" spans="1:15" ht="24.75" customHeight="1" x14ac:dyDescent="0.25">
      <c r="A66" s="223"/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</row>
    <row r="67" spans="1:15" ht="24.75" customHeight="1" x14ac:dyDescent="0.25">
      <c r="A67" s="223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</row>
    <row r="68" spans="1:15" ht="24.75" customHeight="1" x14ac:dyDescent="0.25">
      <c r="A68" s="223"/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</row>
    <row r="69" spans="1:15" ht="24.75" customHeight="1" x14ac:dyDescent="0.25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</row>
    <row r="70" spans="1:15" ht="24.75" customHeight="1" x14ac:dyDescent="0.25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</row>
    <row r="71" spans="1:15" ht="24.75" customHeight="1" x14ac:dyDescent="0.25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</row>
    <row r="72" spans="1:15" ht="24.75" customHeight="1" x14ac:dyDescent="0.25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</row>
    <row r="73" spans="1:15" ht="24.75" customHeight="1" x14ac:dyDescent="0.25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</row>
    <row r="74" spans="1:15" ht="24.75" customHeight="1" x14ac:dyDescent="0.25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</row>
    <row r="75" spans="1:15" ht="24.75" customHeight="1" x14ac:dyDescent="0.25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</row>
    <row r="76" spans="1:15" ht="24.75" customHeight="1" x14ac:dyDescent="0.25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</row>
    <row r="77" spans="1:15" ht="24.75" customHeight="1" x14ac:dyDescent="0.25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</row>
    <row r="78" spans="1:15" ht="24.75" customHeight="1" x14ac:dyDescent="0.25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</row>
    <row r="79" spans="1:15" ht="24.75" customHeight="1" x14ac:dyDescent="0.25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</row>
    <row r="80" spans="1:15" ht="24.75" customHeight="1" x14ac:dyDescent="0.25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</row>
    <row r="81" spans="1:15" ht="24.75" customHeight="1" x14ac:dyDescent="0.25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</row>
    <row r="82" spans="1:15" ht="24.75" customHeight="1" x14ac:dyDescent="0.25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</row>
    <row r="83" spans="1:15" ht="24.75" customHeight="1" x14ac:dyDescent="0.25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</row>
    <row r="84" spans="1:15" ht="24.75" customHeight="1" x14ac:dyDescent="0.25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</row>
    <row r="85" spans="1:15" ht="24.75" customHeight="1" x14ac:dyDescent="0.25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</row>
    <row r="86" spans="1:15" ht="24.75" customHeight="1" x14ac:dyDescent="0.25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</row>
    <row r="87" spans="1:15" ht="24.75" customHeight="1" x14ac:dyDescent="0.25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</row>
    <row r="88" spans="1:15" ht="24.75" customHeight="1" x14ac:dyDescent="0.25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</row>
    <row r="89" spans="1:15" ht="24.75" customHeight="1" x14ac:dyDescent="0.25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</row>
    <row r="90" spans="1:15" ht="24.75" customHeight="1" x14ac:dyDescent="0.25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</row>
    <row r="91" spans="1:15" ht="24.75" customHeight="1" x14ac:dyDescent="0.25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</row>
    <row r="92" spans="1:15" ht="24.75" customHeight="1" x14ac:dyDescent="0.25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</row>
    <row r="93" spans="1:15" ht="24.75" customHeight="1" x14ac:dyDescent="0.25">
      <c r="A93" s="223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</row>
    <row r="94" spans="1:15" ht="24.75" customHeight="1" x14ac:dyDescent="0.25">
      <c r="A94" s="223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</row>
    <row r="95" spans="1:15" ht="24.75" customHeight="1" x14ac:dyDescent="0.25">
      <c r="A95" s="223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</row>
    <row r="96" spans="1:15" ht="24.75" customHeight="1" x14ac:dyDescent="0.25">
      <c r="A96" s="223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</row>
    <row r="97" spans="1:15" ht="24.75" customHeight="1" x14ac:dyDescent="0.25">
      <c r="A97" s="223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</row>
    <row r="98" spans="1:15" ht="24.75" customHeight="1" x14ac:dyDescent="0.25">
      <c r="A98" s="223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</row>
    <row r="99" spans="1:15" ht="24.75" customHeight="1" x14ac:dyDescent="0.25">
      <c r="A99" s="223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</row>
    <row r="100" spans="1:15" ht="24.75" customHeight="1" x14ac:dyDescent="0.25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</row>
    <row r="101" spans="1:15" ht="24.75" customHeight="1" x14ac:dyDescent="0.25">
      <c r="A101" s="223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</row>
    <row r="102" spans="1:15" ht="24.75" customHeight="1" x14ac:dyDescent="0.25">
      <c r="A102" s="223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</row>
    <row r="103" spans="1:15" ht="24.75" customHeight="1" x14ac:dyDescent="0.25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</row>
    <row r="104" spans="1:15" ht="24.75" customHeight="1" x14ac:dyDescent="0.25">
      <c r="A104" s="223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</row>
    <row r="105" spans="1:15" ht="24.75" customHeight="1" x14ac:dyDescent="0.25">
      <c r="A105" s="223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</row>
    <row r="106" spans="1:15" ht="24.75" customHeight="1" x14ac:dyDescent="0.25">
      <c r="A106" s="223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</row>
    <row r="107" spans="1:15" ht="24.75" customHeight="1" x14ac:dyDescent="0.25">
      <c r="A107" s="223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</row>
    <row r="108" spans="1:15" ht="24.75" customHeight="1" x14ac:dyDescent="0.25">
      <c r="A108" s="223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</row>
    <row r="109" spans="1:15" ht="24.75" customHeight="1" x14ac:dyDescent="0.25">
      <c r="A109" s="223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</row>
    <row r="110" spans="1:15" ht="24.75" customHeight="1" x14ac:dyDescent="0.25">
      <c r="A110" s="223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0"/>
      <c r="N110" s="220"/>
      <c r="O110" s="220"/>
    </row>
    <row r="111" spans="1:15" ht="24.75" customHeight="1" x14ac:dyDescent="0.25">
      <c r="A111" s="223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0"/>
      <c r="N111" s="220"/>
      <c r="O111" s="220"/>
    </row>
    <row r="112" spans="1:15" ht="24.75" customHeight="1" x14ac:dyDescent="0.25">
      <c r="A112" s="223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0"/>
      <c r="N112" s="220"/>
      <c r="O112" s="220"/>
    </row>
    <row r="113" spans="1:15" ht="24.75" customHeight="1" x14ac:dyDescent="0.25">
      <c r="A113" s="223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0"/>
      <c r="N113" s="220"/>
      <c r="O113" s="220"/>
    </row>
    <row r="114" spans="1:15" ht="24.75" customHeight="1" x14ac:dyDescent="0.25">
      <c r="A114" s="223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0"/>
      <c r="N114" s="220"/>
      <c r="O114" s="220"/>
    </row>
    <row r="115" spans="1:15" ht="24.75" customHeight="1" x14ac:dyDescent="0.25">
      <c r="A115" s="223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0"/>
      <c r="N115" s="220"/>
      <c r="O115" s="220"/>
    </row>
    <row r="116" spans="1:15" ht="24.75" customHeight="1" x14ac:dyDescent="0.25">
      <c r="A116" s="223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0"/>
      <c r="N116" s="220"/>
      <c r="O116" s="220"/>
    </row>
    <row r="117" spans="1:15" ht="24.75" customHeight="1" x14ac:dyDescent="0.25">
      <c r="A117" s="223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</row>
    <row r="118" spans="1:15" ht="24.75" customHeight="1" x14ac:dyDescent="0.25">
      <c r="A118" s="223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</row>
    <row r="119" spans="1:15" ht="24.75" customHeight="1" x14ac:dyDescent="0.25">
      <c r="A119" s="223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</row>
    <row r="120" spans="1:15" ht="24.75" customHeight="1" x14ac:dyDescent="0.25">
      <c r="A120" s="223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</row>
    <row r="121" spans="1:15" ht="24.75" customHeight="1" x14ac:dyDescent="0.25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</row>
    <row r="122" spans="1:15" ht="24.75" customHeight="1" x14ac:dyDescent="0.25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</row>
    <row r="123" spans="1:15" ht="24.75" customHeight="1" x14ac:dyDescent="0.25">
      <c r="A123" s="22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</row>
    <row r="124" spans="1:15" ht="24.75" customHeight="1" x14ac:dyDescent="0.25">
      <c r="A124" s="223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</row>
    <row r="125" spans="1:15" ht="24.75" customHeight="1" x14ac:dyDescent="0.25">
      <c r="A125" s="223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</row>
    <row r="126" spans="1:15" ht="24.75" customHeight="1" x14ac:dyDescent="0.25">
      <c r="A126" s="223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</row>
    <row r="127" spans="1:15" ht="24.75" customHeight="1" x14ac:dyDescent="0.25">
      <c r="A127" s="223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</row>
    <row r="128" spans="1:15" ht="24.75" customHeight="1" x14ac:dyDescent="0.25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</row>
    <row r="129" spans="1:12" ht="24.75" customHeight="1" x14ac:dyDescent="0.25">
      <c r="A129" s="223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</row>
    <row r="130" spans="1:12" ht="24.75" customHeight="1" x14ac:dyDescent="0.25">
      <c r="A130" s="223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</row>
    <row r="131" spans="1:12" ht="24.75" customHeight="1" x14ac:dyDescent="0.25">
      <c r="A131" s="223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</row>
    <row r="132" spans="1:12" ht="24.75" customHeight="1" x14ac:dyDescent="0.25">
      <c r="A132" s="223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</row>
    <row r="133" spans="1:12" ht="24.75" customHeight="1" x14ac:dyDescent="0.25">
      <c r="A133" s="223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</row>
    <row r="134" spans="1:12" ht="24.75" customHeight="1" x14ac:dyDescent="0.25">
      <c r="A134" s="223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</row>
    <row r="135" spans="1:12" ht="24.75" customHeight="1" x14ac:dyDescent="0.25">
      <c r="A135" s="223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</row>
    <row r="136" spans="1:12" ht="24.75" customHeight="1" x14ac:dyDescent="0.25">
      <c r="A136" s="223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</row>
    <row r="137" spans="1:12" ht="24.75" customHeight="1" x14ac:dyDescent="0.25">
      <c r="A137" s="22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</row>
    <row r="138" spans="1:12" ht="24.75" customHeight="1" x14ac:dyDescent="0.25">
      <c r="A138" s="223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</row>
    <row r="139" spans="1:12" ht="24.75" customHeight="1" x14ac:dyDescent="0.25">
      <c r="A139" s="223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</row>
    <row r="140" spans="1:12" ht="24.75" customHeight="1" x14ac:dyDescent="0.25">
      <c r="A140" s="223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</row>
    <row r="141" spans="1:12" ht="24.75" customHeight="1" x14ac:dyDescent="0.25">
      <c r="A141" s="223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/>
  <dimension ref="A1:D22"/>
  <sheetViews>
    <sheetView showGridLines="0" showZeros="0" view="pageBreakPreview" zoomScale="60" zoomScaleNormal="90" workbookViewId="0">
      <selection activeCell="C12" sqref="C12"/>
    </sheetView>
  </sheetViews>
  <sheetFormatPr defaultColWidth="12.54296875" defaultRowHeight="15.5" x14ac:dyDescent="0.35"/>
  <cols>
    <col min="1" max="1" width="39.54296875" style="168" customWidth="1"/>
    <col min="2" max="2" width="34.1796875" style="168" customWidth="1"/>
    <col min="3" max="3" width="35.54296875" style="168" customWidth="1"/>
    <col min="4" max="4" width="12.54296875" style="168"/>
    <col min="5" max="5" width="9.54296875" style="168" customWidth="1"/>
    <col min="6" max="16384" width="12.54296875" style="168"/>
  </cols>
  <sheetData>
    <row r="1" spans="1:4" x14ac:dyDescent="0.35">
      <c r="A1" s="369" t="str">
        <f>TECNOLOGIAS!A1</f>
        <v>Proponente: TransPolitécnica</v>
      </c>
    </row>
    <row r="2" spans="1:4" x14ac:dyDescent="0.35">
      <c r="A2" s="369" t="str">
        <f>TECNOLOGIAS!A2</f>
        <v>Área de Concessão: 5 (Cinco)</v>
      </c>
    </row>
    <row r="4" spans="1:4" ht="18" x14ac:dyDescent="0.4">
      <c r="A4" s="167" t="s">
        <v>367</v>
      </c>
    </row>
    <row r="6" spans="1:4" x14ac:dyDescent="0.35">
      <c r="A6" s="169" t="s">
        <v>233</v>
      </c>
    </row>
    <row r="8" spans="1:4" x14ac:dyDescent="0.35">
      <c r="A8" s="170" t="s">
        <v>790</v>
      </c>
      <c r="B8" s="171"/>
      <c r="C8" s="172"/>
    </row>
    <row r="9" spans="1:4" x14ac:dyDescent="0.35">
      <c r="A9" s="170" t="s">
        <v>845</v>
      </c>
      <c r="B9" s="171"/>
      <c r="C9" s="172"/>
    </row>
    <row r="10" spans="1:4" ht="16" thickBot="1" x14ac:dyDescent="0.4">
      <c r="A10" s="350"/>
      <c r="B10" s="356"/>
      <c r="C10" s="353"/>
      <c r="D10" s="171"/>
    </row>
    <row r="11" spans="1:4" ht="16" thickBot="1" x14ac:dyDescent="0.4">
      <c r="A11" s="357" t="s">
        <v>404</v>
      </c>
      <c r="B11" s="358" t="s">
        <v>272</v>
      </c>
      <c r="C11" s="358" t="s">
        <v>273</v>
      </c>
      <c r="D11" s="171"/>
    </row>
    <row r="12" spans="1:4" x14ac:dyDescent="0.35">
      <c r="A12" s="348" t="s">
        <v>237</v>
      </c>
      <c r="B12" s="610">
        <v>6.5000000000000002E-2</v>
      </c>
      <c r="C12" s="610">
        <v>6.5000000000000002E-2</v>
      </c>
      <c r="D12" s="171"/>
    </row>
    <row r="13" spans="1:4" x14ac:dyDescent="0.35">
      <c r="A13" s="175" t="s">
        <v>238</v>
      </c>
      <c r="B13" s="611">
        <v>8</v>
      </c>
      <c r="C13" s="611">
        <v>8</v>
      </c>
      <c r="D13" s="171"/>
    </row>
    <row r="14" spans="1:4" x14ac:dyDescent="0.35">
      <c r="A14" s="175" t="s">
        <v>239</v>
      </c>
      <c r="B14" s="611">
        <v>0.5</v>
      </c>
      <c r="C14" s="611">
        <v>0.5</v>
      </c>
      <c r="D14" s="171"/>
    </row>
    <row r="15" spans="1:4" x14ac:dyDescent="0.35">
      <c r="A15" s="175" t="s">
        <v>240</v>
      </c>
      <c r="B15" s="611" t="s">
        <v>914</v>
      </c>
      <c r="C15" s="611" t="s">
        <v>914</v>
      </c>
      <c r="D15" s="171"/>
    </row>
    <row r="16" spans="1:4" x14ac:dyDescent="0.35">
      <c r="A16" s="175" t="s">
        <v>241</v>
      </c>
      <c r="B16" s="611"/>
      <c r="C16" s="611"/>
      <c r="D16" s="171"/>
    </row>
    <row r="18" spans="1:3" x14ac:dyDescent="0.35">
      <c r="A18" s="176" t="s">
        <v>242</v>
      </c>
    </row>
    <row r="19" spans="1:3" x14ac:dyDescent="0.35">
      <c r="A19" s="177">
        <v>1</v>
      </c>
      <c r="B19" s="206" t="s">
        <v>243</v>
      </c>
      <c r="C19" s="178"/>
    </row>
    <row r="20" spans="1:3" x14ac:dyDescent="0.35">
      <c r="A20" s="177">
        <v>2</v>
      </c>
      <c r="B20" s="206" t="s">
        <v>244</v>
      </c>
      <c r="C20" s="178"/>
    </row>
    <row r="22" spans="1:3" x14ac:dyDescent="0.35">
      <c r="A22" t="s">
        <v>447</v>
      </c>
    </row>
  </sheetData>
  <sheetProtection objects="1"/>
  <phoneticPr fontId="0" type="noConversion"/>
  <pageMargins left="0.78740157499999996" right="0.78740157499999996" top="0.984251969" bottom="0.984251969" header="0.49212598499999999" footer="0.49212598499999999"/>
  <pageSetup paperSize="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1">
    <pageSetUpPr fitToPage="1"/>
  </sheetPr>
  <dimension ref="A1:I77"/>
  <sheetViews>
    <sheetView showGridLines="0" showZeros="0" view="pageBreakPreview" zoomScale="60" zoomScaleNormal="87" workbookViewId="0">
      <selection activeCell="C12" sqref="C12"/>
    </sheetView>
  </sheetViews>
  <sheetFormatPr defaultColWidth="12.54296875" defaultRowHeight="15.5" x14ac:dyDescent="0.35"/>
  <cols>
    <col min="1" max="1" width="49.54296875" style="168" customWidth="1"/>
    <col min="2" max="9" width="15" style="168" customWidth="1"/>
    <col min="10" max="16384" width="12.54296875" style="168"/>
  </cols>
  <sheetData>
    <row r="1" spans="1:9" x14ac:dyDescent="0.35">
      <c r="A1" s="369" t="str">
        <f>TECNOLOGIAS!A1</f>
        <v>Proponente: TransPolitécnica</v>
      </c>
    </row>
    <row r="2" spans="1:9" x14ac:dyDescent="0.35">
      <c r="A2" s="369" t="str">
        <f>TECNOLOGIAS!A2</f>
        <v>Área de Concessão: 5 (Cinco)</v>
      </c>
    </row>
    <row r="4" spans="1:9" ht="18" x14ac:dyDescent="0.4">
      <c r="A4" s="167" t="s">
        <v>418</v>
      </c>
    </row>
    <row r="6" spans="1:9" x14ac:dyDescent="0.35">
      <c r="A6" s="169" t="s">
        <v>233</v>
      </c>
    </row>
    <row r="8" spans="1:9" x14ac:dyDescent="0.35">
      <c r="A8" s="170" t="s">
        <v>246</v>
      </c>
    </row>
    <row r="9" spans="1:9" ht="16" thickBot="1" x14ac:dyDescent="0.4"/>
    <row r="10" spans="1:9" ht="16" thickBot="1" x14ac:dyDescent="0.4">
      <c r="A10" s="279" t="s">
        <v>21</v>
      </c>
      <c r="B10" s="291" t="s">
        <v>247</v>
      </c>
      <c r="C10" s="292"/>
      <c r="D10" s="292"/>
      <c r="E10" s="292"/>
      <c r="F10" s="292"/>
      <c r="G10" s="292"/>
      <c r="H10" s="293"/>
      <c r="I10" s="296"/>
    </row>
    <row r="11" spans="1:9" ht="16" thickBot="1" x14ac:dyDescent="0.4">
      <c r="A11" s="179"/>
      <c r="B11" s="287" t="str">
        <f>TECNOLOGIAS!$A$7</f>
        <v>Micro Ônibus</v>
      </c>
      <c r="C11" s="287" t="str">
        <f>TECNOLOGIAS!$A$8</f>
        <v>Básico</v>
      </c>
      <c r="D11" s="287" t="str">
        <f>TECNOLOGIAS!$A$9</f>
        <v>Padron</v>
      </c>
      <c r="E11" s="287" t="str">
        <f>TECNOLOGIAS!$A$10</f>
        <v>Articulados</v>
      </c>
      <c r="F11" s="287" t="str">
        <f>TECNOLOGIAS!$A$11</f>
        <v>Híbrido Piso Baixo</v>
      </c>
      <c r="G11" s="287" t="str">
        <f>TECNOLOGIAS!$A$12</f>
        <v>Van Atende</v>
      </c>
      <c r="H11" s="287" t="str">
        <f>TECNOLOGIAS!$A$13</f>
        <v>TIPO 7</v>
      </c>
      <c r="I11" s="287" t="str">
        <f>TECNOLOGIAS!$A$14</f>
        <v>TIPO 8</v>
      </c>
    </row>
    <row r="12" spans="1:9" x14ac:dyDescent="0.35">
      <c r="A12" s="175" t="s">
        <v>248</v>
      </c>
      <c r="B12" s="175"/>
      <c r="C12" s="175"/>
      <c r="D12" s="175"/>
      <c r="E12" s="175"/>
      <c r="F12" s="175"/>
      <c r="G12" s="175"/>
      <c r="H12" s="175"/>
      <c r="I12" s="175"/>
    </row>
    <row r="13" spans="1:9" x14ac:dyDescent="0.35">
      <c r="A13" s="175" t="s">
        <v>249</v>
      </c>
      <c r="B13" s="175"/>
      <c r="C13" s="175"/>
      <c r="D13" s="175"/>
      <c r="E13" s="175"/>
      <c r="F13" s="175"/>
      <c r="G13" s="175"/>
      <c r="H13" s="175"/>
      <c r="I13" s="175"/>
    </row>
    <row r="14" spans="1:9" x14ac:dyDescent="0.35">
      <c r="A14" s="175" t="s">
        <v>250</v>
      </c>
      <c r="B14" s="175"/>
      <c r="C14" s="175"/>
      <c r="D14" s="175"/>
      <c r="E14" s="175"/>
      <c r="F14" s="175"/>
      <c r="G14" s="175"/>
      <c r="H14" s="175"/>
      <c r="I14" s="175"/>
    </row>
    <row r="15" spans="1:9" x14ac:dyDescent="0.35">
      <c r="A15" s="175" t="s">
        <v>251</v>
      </c>
      <c r="B15" s="175"/>
      <c r="C15" s="175"/>
      <c r="D15" s="175"/>
      <c r="E15" s="175"/>
      <c r="F15" s="175"/>
      <c r="G15" s="175"/>
      <c r="H15" s="175"/>
      <c r="I15" s="175"/>
    </row>
    <row r="16" spans="1:9" x14ac:dyDescent="0.35">
      <c r="A16" s="180"/>
      <c r="B16" s="180"/>
      <c r="C16" s="180"/>
      <c r="D16" s="180"/>
      <c r="E16" s="180"/>
      <c r="F16" s="180"/>
    </row>
    <row r="17" spans="1:6" x14ac:dyDescent="0.35">
      <c r="A17" s="181" t="s">
        <v>252</v>
      </c>
      <c r="B17" s="180"/>
      <c r="C17" s="180"/>
      <c r="D17" s="180"/>
      <c r="E17" s="180"/>
      <c r="F17" s="180"/>
    </row>
    <row r="18" spans="1:6" x14ac:dyDescent="0.35">
      <c r="A18" s="181" t="s">
        <v>253</v>
      </c>
      <c r="B18" s="180"/>
      <c r="C18" s="180"/>
      <c r="D18" s="180"/>
      <c r="E18" s="180"/>
      <c r="F18" s="180"/>
    </row>
    <row r="19" spans="1:6" x14ac:dyDescent="0.35">
      <c r="A19" s="180"/>
      <c r="B19" s="180"/>
      <c r="C19" s="180"/>
      <c r="D19" s="180"/>
      <c r="E19" s="180"/>
      <c r="F19" s="180"/>
    </row>
    <row r="20" spans="1:6" x14ac:dyDescent="0.35">
      <c r="A20" t="s">
        <v>447</v>
      </c>
      <c r="B20" s="180"/>
      <c r="C20" s="180"/>
      <c r="D20" s="180"/>
      <c r="E20" s="180"/>
      <c r="F20" s="180"/>
    </row>
    <row r="21" spans="1:6" x14ac:dyDescent="0.35">
      <c r="A21" s="180"/>
      <c r="B21" s="180"/>
      <c r="C21" s="180"/>
      <c r="D21" s="180"/>
      <c r="E21" s="180"/>
      <c r="F21" s="180"/>
    </row>
    <row r="22" spans="1:6" x14ac:dyDescent="0.35">
      <c r="A22" s="180"/>
      <c r="B22" s="180"/>
      <c r="C22" s="180"/>
      <c r="D22" s="180"/>
      <c r="E22" s="180"/>
      <c r="F22" s="180"/>
    </row>
    <row r="23" spans="1:6" x14ac:dyDescent="0.35">
      <c r="A23" s="180"/>
      <c r="B23" s="180"/>
      <c r="C23" s="180"/>
      <c r="D23" s="180"/>
      <c r="E23" s="180"/>
      <c r="F23" s="180"/>
    </row>
    <row r="24" spans="1:6" x14ac:dyDescent="0.35">
      <c r="A24" s="180"/>
      <c r="B24" s="180"/>
      <c r="C24" s="180"/>
      <c r="D24" s="180"/>
      <c r="E24" s="180"/>
      <c r="F24" s="180"/>
    </row>
    <row r="25" spans="1:6" x14ac:dyDescent="0.35">
      <c r="A25" s="180"/>
      <c r="B25" s="180"/>
      <c r="C25" s="180"/>
      <c r="D25" s="180"/>
      <c r="E25" s="180"/>
      <c r="F25" s="180"/>
    </row>
    <row r="26" spans="1:6" x14ac:dyDescent="0.35">
      <c r="A26" s="180"/>
      <c r="B26" s="180"/>
      <c r="C26" s="180"/>
      <c r="D26" s="180"/>
      <c r="E26" s="180"/>
      <c r="F26" s="180"/>
    </row>
    <row r="27" spans="1:6" x14ac:dyDescent="0.35">
      <c r="A27" s="180"/>
      <c r="B27" s="180"/>
      <c r="C27" s="180"/>
      <c r="D27" s="180"/>
      <c r="E27" s="180"/>
      <c r="F27" s="180"/>
    </row>
    <row r="28" spans="1:6" x14ac:dyDescent="0.35">
      <c r="A28" s="180"/>
      <c r="B28" s="180"/>
      <c r="C28" s="180"/>
      <c r="D28" s="180"/>
      <c r="E28" s="180"/>
      <c r="F28" s="180"/>
    </row>
    <row r="29" spans="1:6" x14ac:dyDescent="0.35">
      <c r="A29" s="180"/>
      <c r="B29" s="180"/>
      <c r="C29" s="180"/>
      <c r="D29" s="180"/>
      <c r="E29" s="180"/>
      <c r="F29" s="180"/>
    </row>
    <row r="30" spans="1:6" x14ac:dyDescent="0.35">
      <c r="A30" s="180"/>
      <c r="B30" s="180"/>
      <c r="C30" s="180"/>
      <c r="D30" s="180"/>
      <c r="E30" s="180"/>
      <c r="F30" s="180"/>
    </row>
    <row r="31" spans="1:6" x14ac:dyDescent="0.35">
      <c r="A31" s="180"/>
      <c r="B31" s="180"/>
      <c r="C31" s="180"/>
      <c r="D31" s="180"/>
      <c r="E31" s="180"/>
      <c r="F31" s="180"/>
    </row>
    <row r="32" spans="1:6" x14ac:dyDescent="0.35">
      <c r="A32" s="180"/>
      <c r="B32" s="180"/>
      <c r="C32" s="180"/>
      <c r="D32" s="180"/>
      <c r="E32" s="180"/>
      <c r="F32" s="180"/>
    </row>
    <row r="33" spans="1:6" x14ac:dyDescent="0.35">
      <c r="A33" s="180"/>
      <c r="B33" s="180"/>
      <c r="C33" s="180"/>
      <c r="D33" s="180"/>
      <c r="E33" s="180"/>
      <c r="F33" s="180"/>
    </row>
    <row r="34" spans="1:6" x14ac:dyDescent="0.35">
      <c r="A34" s="180"/>
      <c r="B34" s="180"/>
      <c r="C34" s="180"/>
      <c r="D34" s="180"/>
      <c r="E34" s="180"/>
      <c r="F34" s="180"/>
    </row>
    <row r="35" spans="1:6" x14ac:dyDescent="0.35">
      <c r="A35" s="180"/>
      <c r="B35" s="180"/>
      <c r="C35" s="180"/>
      <c r="D35" s="180"/>
      <c r="E35" s="180"/>
      <c r="F35" s="180"/>
    </row>
    <row r="36" spans="1:6" x14ac:dyDescent="0.35">
      <c r="A36" s="180"/>
      <c r="B36" s="180"/>
      <c r="C36" s="180"/>
      <c r="D36" s="180"/>
      <c r="E36" s="180"/>
      <c r="F36" s="180"/>
    </row>
    <row r="37" spans="1:6" x14ac:dyDescent="0.35">
      <c r="A37" s="180"/>
      <c r="B37" s="180"/>
      <c r="C37" s="180"/>
      <c r="D37" s="180"/>
      <c r="E37" s="180"/>
      <c r="F37" s="180"/>
    </row>
    <row r="38" spans="1:6" x14ac:dyDescent="0.35">
      <c r="A38" s="180"/>
      <c r="B38" s="180"/>
      <c r="C38" s="180"/>
      <c r="D38" s="180"/>
      <c r="E38" s="180"/>
      <c r="F38" s="180"/>
    </row>
    <row r="39" spans="1:6" x14ac:dyDescent="0.35">
      <c r="A39" s="180"/>
      <c r="B39" s="180"/>
      <c r="C39" s="180"/>
      <c r="D39" s="180"/>
      <c r="E39" s="180"/>
      <c r="F39" s="180"/>
    </row>
    <row r="40" spans="1:6" x14ac:dyDescent="0.35">
      <c r="A40" s="180"/>
      <c r="B40" s="180"/>
      <c r="C40" s="180"/>
      <c r="D40" s="180"/>
      <c r="E40" s="180"/>
      <c r="F40" s="180"/>
    </row>
    <row r="41" spans="1:6" x14ac:dyDescent="0.35">
      <c r="A41" s="180"/>
      <c r="B41" s="180"/>
      <c r="C41" s="180"/>
      <c r="D41" s="180"/>
      <c r="E41" s="180"/>
      <c r="F41" s="180"/>
    </row>
    <row r="42" spans="1:6" x14ac:dyDescent="0.35">
      <c r="A42" s="180"/>
      <c r="B42" s="180"/>
      <c r="C42" s="180"/>
      <c r="D42" s="180"/>
      <c r="E42" s="180"/>
      <c r="F42" s="180"/>
    </row>
    <row r="43" spans="1:6" x14ac:dyDescent="0.35">
      <c r="A43" s="180"/>
      <c r="B43" s="180"/>
      <c r="C43" s="180"/>
      <c r="D43" s="180"/>
      <c r="E43" s="180"/>
      <c r="F43" s="180"/>
    </row>
    <row r="44" spans="1:6" x14ac:dyDescent="0.35">
      <c r="A44" s="180"/>
      <c r="B44" s="180"/>
      <c r="C44" s="180"/>
      <c r="D44" s="180"/>
      <c r="E44" s="180"/>
      <c r="F44" s="180"/>
    </row>
    <row r="45" spans="1:6" x14ac:dyDescent="0.35">
      <c r="A45" s="180"/>
      <c r="B45" s="180"/>
      <c r="C45" s="180"/>
      <c r="D45" s="180"/>
      <c r="E45" s="180"/>
      <c r="F45" s="180"/>
    </row>
    <row r="46" spans="1:6" x14ac:dyDescent="0.35">
      <c r="A46" s="180"/>
      <c r="B46" s="180"/>
      <c r="C46" s="180"/>
      <c r="D46" s="180"/>
      <c r="E46" s="180"/>
      <c r="F46" s="180"/>
    </row>
    <row r="47" spans="1:6" x14ac:dyDescent="0.35">
      <c r="A47" s="180"/>
      <c r="B47" s="180"/>
      <c r="C47" s="180"/>
      <c r="D47" s="180"/>
      <c r="E47" s="180"/>
      <c r="F47" s="180"/>
    </row>
    <row r="48" spans="1:6" x14ac:dyDescent="0.35">
      <c r="A48" s="180"/>
      <c r="B48" s="180"/>
      <c r="C48" s="180"/>
      <c r="D48" s="180"/>
      <c r="E48" s="180"/>
      <c r="F48" s="180"/>
    </row>
    <row r="49" spans="1:6" x14ac:dyDescent="0.35">
      <c r="A49" s="180"/>
      <c r="B49" s="180"/>
      <c r="C49" s="180"/>
      <c r="D49" s="180"/>
      <c r="E49" s="180"/>
      <c r="F49" s="180"/>
    </row>
    <row r="50" spans="1:6" x14ac:dyDescent="0.35">
      <c r="A50" s="180"/>
      <c r="B50" s="180"/>
      <c r="C50" s="180"/>
      <c r="D50" s="180"/>
      <c r="E50" s="180"/>
      <c r="F50" s="180"/>
    </row>
    <row r="51" spans="1:6" x14ac:dyDescent="0.35">
      <c r="A51" s="180"/>
      <c r="B51" s="180"/>
      <c r="C51" s="180"/>
      <c r="D51" s="180"/>
      <c r="E51" s="180"/>
      <c r="F51" s="180"/>
    </row>
    <row r="52" spans="1:6" x14ac:dyDescent="0.35">
      <c r="A52" s="180"/>
      <c r="B52" s="180"/>
      <c r="C52" s="180"/>
      <c r="D52" s="180"/>
      <c r="E52" s="180"/>
      <c r="F52" s="180"/>
    </row>
    <row r="53" spans="1:6" x14ac:dyDescent="0.35">
      <c r="A53" s="180"/>
      <c r="B53" s="180"/>
      <c r="C53" s="180"/>
      <c r="D53" s="180"/>
      <c r="E53" s="180"/>
      <c r="F53" s="180"/>
    </row>
    <row r="54" spans="1:6" x14ac:dyDescent="0.35">
      <c r="A54" s="180"/>
      <c r="B54" s="180"/>
      <c r="C54" s="180"/>
      <c r="D54" s="180"/>
      <c r="E54" s="180"/>
      <c r="F54" s="180"/>
    </row>
    <row r="55" spans="1:6" x14ac:dyDescent="0.35">
      <c r="A55" s="180"/>
      <c r="B55" s="180"/>
      <c r="C55" s="180"/>
      <c r="D55" s="180"/>
      <c r="E55" s="180"/>
      <c r="F55" s="180"/>
    </row>
    <row r="56" spans="1:6" x14ac:dyDescent="0.35">
      <c r="A56" s="180"/>
      <c r="B56" s="180"/>
      <c r="C56" s="180"/>
      <c r="D56" s="180"/>
      <c r="E56" s="180"/>
      <c r="F56" s="180"/>
    </row>
    <row r="57" spans="1:6" x14ac:dyDescent="0.35">
      <c r="A57" s="180"/>
      <c r="B57" s="180"/>
      <c r="C57" s="180"/>
      <c r="D57" s="180"/>
      <c r="E57" s="180"/>
      <c r="F57" s="180"/>
    </row>
    <row r="58" spans="1:6" x14ac:dyDescent="0.35">
      <c r="A58" s="180"/>
      <c r="B58" s="180"/>
      <c r="C58" s="180"/>
      <c r="D58" s="180"/>
      <c r="E58" s="180"/>
      <c r="F58" s="180"/>
    </row>
    <row r="59" spans="1:6" x14ac:dyDescent="0.35">
      <c r="A59" s="180"/>
      <c r="B59" s="180"/>
      <c r="C59" s="180"/>
      <c r="D59" s="180"/>
      <c r="E59" s="180"/>
      <c r="F59" s="180"/>
    </row>
    <row r="60" spans="1:6" x14ac:dyDescent="0.35">
      <c r="A60" s="180"/>
      <c r="B60" s="180"/>
      <c r="C60" s="180"/>
      <c r="D60" s="180"/>
      <c r="E60" s="180"/>
      <c r="F60" s="180"/>
    </row>
    <row r="61" spans="1:6" x14ac:dyDescent="0.35">
      <c r="A61" s="180"/>
      <c r="B61" s="180"/>
      <c r="C61" s="180"/>
      <c r="D61" s="180"/>
      <c r="E61" s="180"/>
      <c r="F61" s="180"/>
    </row>
    <row r="62" spans="1:6" x14ac:dyDescent="0.35">
      <c r="A62" s="180"/>
      <c r="B62" s="180"/>
      <c r="C62" s="180"/>
      <c r="D62" s="180"/>
      <c r="E62" s="180"/>
      <c r="F62" s="180"/>
    </row>
    <row r="63" spans="1:6" x14ac:dyDescent="0.35">
      <c r="A63" s="180"/>
      <c r="B63" s="180"/>
      <c r="C63" s="180"/>
      <c r="D63" s="180"/>
      <c r="E63" s="180"/>
      <c r="F63" s="180"/>
    </row>
    <row r="64" spans="1:6" x14ac:dyDescent="0.35">
      <c r="A64" s="180"/>
      <c r="B64" s="180"/>
      <c r="C64" s="180"/>
      <c r="D64" s="180"/>
      <c r="E64" s="180"/>
      <c r="F64" s="180"/>
    </row>
    <row r="65" spans="1:6" x14ac:dyDescent="0.35">
      <c r="A65" s="180"/>
      <c r="B65" s="180"/>
      <c r="C65" s="180"/>
      <c r="D65" s="180"/>
      <c r="E65" s="180"/>
      <c r="F65" s="180"/>
    </row>
    <row r="66" spans="1:6" x14ac:dyDescent="0.35">
      <c r="A66" s="180"/>
      <c r="B66" s="180"/>
      <c r="C66" s="180"/>
      <c r="D66" s="180"/>
      <c r="E66" s="180"/>
      <c r="F66" s="180"/>
    </row>
    <row r="67" spans="1:6" x14ac:dyDescent="0.35">
      <c r="A67" s="180"/>
      <c r="B67" s="180"/>
      <c r="C67" s="180"/>
      <c r="D67" s="180"/>
      <c r="E67" s="180"/>
      <c r="F67" s="180"/>
    </row>
    <row r="68" spans="1:6" x14ac:dyDescent="0.35">
      <c r="A68" s="180"/>
      <c r="B68" s="180"/>
      <c r="C68" s="180"/>
      <c r="D68" s="180"/>
      <c r="E68" s="180"/>
      <c r="F68" s="180"/>
    </row>
    <row r="69" spans="1:6" x14ac:dyDescent="0.35">
      <c r="A69" s="180"/>
      <c r="B69" s="180"/>
      <c r="C69" s="180"/>
      <c r="D69" s="180"/>
      <c r="E69" s="180"/>
      <c r="F69" s="180"/>
    </row>
    <row r="70" spans="1:6" x14ac:dyDescent="0.35">
      <c r="A70" s="180"/>
      <c r="B70" s="180"/>
      <c r="C70" s="180"/>
      <c r="D70" s="180"/>
      <c r="E70" s="180"/>
      <c r="F70" s="180"/>
    </row>
    <row r="71" spans="1:6" x14ac:dyDescent="0.35">
      <c r="A71" s="180"/>
      <c r="B71" s="180"/>
      <c r="C71" s="180"/>
      <c r="D71" s="180"/>
      <c r="E71" s="180"/>
      <c r="F71" s="180"/>
    </row>
    <row r="72" spans="1:6" x14ac:dyDescent="0.35">
      <c r="A72" s="180"/>
      <c r="B72" s="180"/>
      <c r="C72" s="180"/>
      <c r="D72" s="180"/>
      <c r="E72" s="180"/>
      <c r="F72" s="180"/>
    </row>
    <row r="73" spans="1:6" x14ac:dyDescent="0.35">
      <c r="A73" s="180"/>
      <c r="B73" s="180"/>
      <c r="C73" s="180"/>
      <c r="D73" s="180"/>
      <c r="E73" s="180"/>
      <c r="F73" s="180"/>
    </row>
    <row r="74" spans="1:6" x14ac:dyDescent="0.35">
      <c r="A74" s="180"/>
      <c r="B74" s="180"/>
      <c r="C74" s="180"/>
      <c r="D74" s="180"/>
      <c r="E74" s="180"/>
      <c r="F74" s="180"/>
    </row>
    <row r="75" spans="1:6" x14ac:dyDescent="0.35">
      <c r="A75" s="180"/>
      <c r="B75" s="180"/>
      <c r="C75" s="180"/>
      <c r="D75" s="180"/>
      <c r="E75" s="180"/>
      <c r="F75" s="180"/>
    </row>
    <row r="76" spans="1:6" x14ac:dyDescent="0.35">
      <c r="A76" s="180"/>
      <c r="B76" s="180"/>
      <c r="C76" s="180"/>
      <c r="D76" s="180"/>
      <c r="E76" s="180"/>
      <c r="F76" s="180"/>
    </row>
    <row r="77" spans="1:6" x14ac:dyDescent="0.35">
      <c r="A77" s="180"/>
      <c r="B77" s="180"/>
      <c r="C77" s="180"/>
      <c r="D77" s="180"/>
      <c r="E77" s="180"/>
      <c r="F77" s="180"/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/>
  <dimension ref="A1:E22"/>
  <sheetViews>
    <sheetView showGridLines="0" showZeros="0" view="pageBreakPreview" zoomScale="60" zoomScaleNormal="90" workbookViewId="0"/>
  </sheetViews>
  <sheetFormatPr defaultColWidth="12.54296875" defaultRowHeight="15.5" x14ac:dyDescent="0.35"/>
  <cols>
    <col min="1" max="1" width="39.54296875" style="168" customWidth="1"/>
    <col min="2" max="2" width="27.81640625" style="168" customWidth="1"/>
    <col min="3" max="5" width="17.26953125" style="168" customWidth="1"/>
    <col min="6" max="16384" width="12.54296875" style="168"/>
  </cols>
  <sheetData>
    <row r="1" spans="1:5" x14ac:dyDescent="0.35">
      <c r="A1" s="369" t="str">
        <f>TECNOLOGIAS!A1</f>
        <v>Proponente: TransPolitécnica</v>
      </c>
    </row>
    <row r="2" spans="1:5" x14ac:dyDescent="0.35">
      <c r="A2" s="369" t="str">
        <f>TECNOLOGIAS!A2</f>
        <v>Área de Concessão: 5 (Cinco)</v>
      </c>
    </row>
    <row r="4" spans="1:5" ht="18" x14ac:dyDescent="0.4">
      <c r="A4" s="167" t="s">
        <v>824</v>
      </c>
    </row>
    <row r="6" spans="1:5" x14ac:dyDescent="0.35">
      <c r="A6" s="169" t="s">
        <v>233</v>
      </c>
    </row>
    <row r="8" spans="1:5" x14ac:dyDescent="0.35">
      <c r="A8" s="170" t="s">
        <v>825</v>
      </c>
      <c r="B8" s="171"/>
      <c r="C8" s="172"/>
    </row>
    <row r="9" spans="1:5" x14ac:dyDescent="0.35">
      <c r="A9" s="171"/>
      <c r="B9" s="171"/>
      <c r="C9" s="172"/>
    </row>
    <row r="10" spans="1:5" ht="16" thickBot="1" x14ac:dyDescent="0.4">
      <c r="A10" s="350"/>
      <c r="B10" s="356"/>
      <c r="C10" s="353"/>
      <c r="D10" s="171"/>
    </row>
    <row r="11" spans="1:5" ht="16" thickBot="1" x14ac:dyDescent="0.4">
      <c r="A11" s="357" t="s">
        <v>404</v>
      </c>
      <c r="B11" s="358" t="s">
        <v>917</v>
      </c>
      <c r="C11" s="358"/>
      <c r="D11" s="358"/>
      <c r="E11" s="358"/>
    </row>
    <row r="12" spans="1:5" x14ac:dyDescent="0.35">
      <c r="A12" s="348" t="s">
        <v>237</v>
      </c>
      <c r="B12" s="610">
        <v>6.5000000000000002E-2</v>
      </c>
      <c r="C12" s="615"/>
      <c r="D12" s="615"/>
      <c r="E12" s="615"/>
    </row>
    <row r="13" spans="1:5" x14ac:dyDescent="0.35">
      <c r="A13" s="175" t="s">
        <v>238</v>
      </c>
      <c r="B13" s="611">
        <v>8</v>
      </c>
      <c r="C13" s="611"/>
      <c r="D13" s="611"/>
      <c r="E13" s="611"/>
    </row>
    <row r="14" spans="1:5" x14ac:dyDescent="0.35">
      <c r="A14" s="175" t="s">
        <v>239</v>
      </c>
      <c r="B14" s="611">
        <v>0.5</v>
      </c>
      <c r="C14" s="611"/>
      <c r="D14" s="611"/>
      <c r="E14" s="611"/>
    </row>
    <row r="15" spans="1:5" x14ac:dyDescent="0.35">
      <c r="A15" s="175" t="s">
        <v>240</v>
      </c>
      <c r="B15" s="611" t="s">
        <v>914</v>
      </c>
      <c r="C15" s="611"/>
      <c r="D15" s="611"/>
      <c r="E15" s="611"/>
    </row>
    <row r="16" spans="1:5" x14ac:dyDescent="0.35">
      <c r="A16" s="175" t="s">
        <v>241</v>
      </c>
      <c r="B16" s="611"/>
      <c r="C16" s="611"/>
      <c r="D16" s="611"/>
      <c r="E16" s="611"/>
    </row>
    <row r="18" spans="1:3" x14ac:dyDescent="0.35">
      <c r="A18" s="176" t="s">
        <v>242</v>
      </c>
    </row>
    <row r="19" spans="1:3" x14ac:dyDescent="0.35">
      <c r="A19" s="177">
        <v>1</v>
      </c>
      <c r="B19" s="206" t="s">
        <v>243</v>
      </c>
      <c r="C19" s="178"/>
    </row>
    <row r="20" spans="1:3" x14ac:dyDescent="0.35">
      <c r="A20" s="177">
        <v>2</v>
      </c>
      <c r="B20" s="206" t="s">
        <v>244</v>
      </c>
      <c r="C20" s="178"/>
    </row>
    <row r="22" spans="1:3" x14ac:dyDescent="0.35">
      <c r="A22" t="s">
        <v>447</v>
      </c>
    </row>
  </sheetData>
  <sheetProtection objects="1"/>
  <phoneticPr fontId="0" type="noConversion"/>
  <pageMargins left="0.78740157499999996" right="0.78740157499999996" top="0.984251969" bottom="0.984251969" header="0.49212598499999999" footer="0.49212598499999999"/>
  <pageSetup paperSize="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3">
    <pageSetUpPr fitToPage="1"/>
  </sheetPr>
  <dimension ref="A1:D35"/>
  <sheetViews>
    <sheetView showGridLines="0" showZeros="0" defaultGridColor="0" view="pageBreakPreview" colorId="22" zoomScale="60" zoomScaleNormal="87" workbookViewId="0"/>
  </sheetViews>
  <sheetFormatPr defaultColWidth="12.54296875" defaultRowHeight="15.5" x14ac:dyDescent="0.35"/>
  <cols>
    <col min="1" max="1" width="7.453125" style="168" customWidth="1"/>
    <col min="2" max="2" width="15.7265625" style="168" customWidth="1"/>
    <col min="3" max="3" width="31.453125" style="168" customWidth="1"/>
    <col min="4" max="16384" width="12.54296875" style="168"/>
  </cols>
  <sheetData>
    <row r="1" spans="1:4" x14ac:dyDescent="0.35">
      <c r="A1" s="369" t="str">
        <f>TECNOLOGIAS!A1</f>
        <v>Proponente: TransPolitécnica</v>
      </c>
    </row>
    <row r="2" spans="1:4" x14ac:dyDescent="0.35">
      <c r="A2" s="369" t="str">
        <f>TECNOLOGIAS!A2</f>
        <v>Área de Concessão: 5 (Cinco)</v>
      </c>
    </row>
    <row r="4" spans="1:4" ht="18" x14ac:dyDescent="0.4">
      <c r="A4" s="167" t="s">
        <v>348</v>
      </c>
    </row>
    <row r="6" spans="1:4" x14ac:dyDescent="0.35">
      <c r="A6" s="205" t="s">
        <v>255</v>
      </c>
      <c r="B6" s="186"/>
      <c r="C6" s="186"/>
      <c r="D6" s="186"/>
    </row>
    <row r="7" spans="1:4" x14ac:dyDescent="0.35">
      <c r="A7" s="186"/>
      <c r="B7" s="186"/>
      <c r="C7" s="186"/>
      <c r="D7" s="186"/>
    </row>
    <row r="8" spans="1:4" x14ac:dyDescent="0.35">
      <c r="A8" s="187" t="s">
        <v>256</v>
      </c>
      <c r="B8" s="186"/>
      <c r="C8" s="186"/>
      <c r="D8" s="186"/>
    </row>
    <row r="9" spans="1:4" x14ac:dyDescent="0.35">
      <c r="A9" s="187"/>
      <c r="B9" s="186"/>
      <c r="C9" s="186"/>
      <c r="D9" s="186"/>
    </row>
    <row r="10" spans="1:4" ht="16" thickBot="1" x14ac:dyDescent="0.4"/>
    <row r="11" spans="1:4" x14ac:dyDescent="0.35">
      <c r="B11" s="676" t="s">
        <v>371</v>
      </c>
      <c r="C11" s="189" t="s">
        <v>257</v>
      </c>
      <c r="D11" s="180"/>
    </row>
    <row r="12" spans="1:4" ht="16" thickBot="1" x14ac:dyDescent="0.4">
      <c r="B12" s="677"/>
      <c r="C12" s="191" t="s">
        <v>258</v>
      </c>
      <c r="D12" s="180"/>
    </row>
    <row r="13" spans="1:4" ht="19.5" customHeight="1" x14ac:dyDescent="0.35">
      <c r="B13" s="192" t="s">
        <v>413</v>
      </c>
      <c r="C13" s="193">
        <f>'29A'!$B$14+'29B'!$B$14+'29C'!$B$14+'29D'!$B$14+'29E'!$B$14+'29F'!$B$14+'29G'!$B$14+'29H'!$B$14</f>
        <v>9207000</v>
      </c>
      <c r="D13" s="180"/>
    </row>
    <row r="14" spans="1:4" ht="19.5" customHeight="1" x14ac:dyDescent="0.35">
      <c r="B14" s="192">
        <v>1</v>
      </c>
      <c r="C14" s="193">
        <f>'29A'!C$14+'29B'!C$14+'29C'!C$14+'29D'!C$14+'29E'!C$14+'29F'!C$14+'29G'!C$14+'29H'!C$14</f>
        <v>10132400</v>
      </c>
      <c r="D14" s="180"/>
    </row>
    <row r="15" spans="1:4" ht="19.5" customHeight="1" x14ac:dyDescent="0.35">
      <c r="B15" s="192">
        <v>2</v>
      </c>
      <c r="C15" s="193">
        <f>'29A'!D$14+'29B'!D$14+'29C'!D$14+'29D'!D$14+'29E'!D$14+'29F'!D$14+'29G'!D$14+'29H'!D$14</f>
        <v>12761000</v>
      </c>
      <c r="D15" s="180"/>
    </row>
    <row r="16" spans="1:4" ht="19.5" customHeight="1" x14ac:dyDescent="0.35">
      <c r="B16" s="192">
        <v>3</v>
      </c>
      <c r="C16" s="193">
        <f>'29A'!E$14+'29B'!E$14+'29C'!E$14+'29D'!E$14+'29E'!E$14+'29F'!E$14+'29G'!E$14+'29H'!E$14</f>
        <v>9287000</v>
      </c>
      <c r="D16" s="180"/>
    </row>
    <row r="17" spans="2:4" ht="19.5" customHeight="1" x14ac:dyDescent="0.35">
      <c r="B17" s="192">
        <v>4</v>
      </c>
      <c r="C17" s="193">
        <f>'29A'!F$14+'29B'!F$14+'29C'!F$14+'29D'!F$14+'29E'!F$14+'29F'!F$14+'29G'!F$14+'29H'!F$14</f>
        <v>16209000</v>
      </c>
      <c r="D17" s="180"/>
    </row>
    <row r="18" spans="2:4" ht="19.5" customHeight="1" x14ac:dyDescent="0.35">
      <c r="B18" s="192">
        <v>5</v>
      </c>
      <c r="C18" s="193">
        <f>'29A'!G$14+'29B'!G$14+'29C'!G$14+'29D'!G$14+'29E'!G$14+'29F'!G$14+'29G'!G$14+'29H'!G$14</f>
        <v>12761000</v>
      </c>
      <c r="D18" s="180"/>
    </row>
    <row r="19" spans="2:4" ht="19.5" customHeight="1" x14ac:dyDescent="0.35">
      <c r="B19" s="192">
        <v>6</v>
      </c>
      <c r="C19" s="193">
        <f>'29A'!H$14+'29B'!H$14+'29C'!H$14+'29D'!H$14+'29E'!H$14+'29F'!H$14+'29G'!H$14+'29H'!H$14</f>
        <v>14087000</v>
      </c>
      <c r="D19" s="180"/>
    </row>
    <row r="20" spans="2:4" ht="19.5" customHeight="1" x14ac:dyDescent="0.35">
      <c r="B20" s="192">
        <v>7</v>
      </c>
      <c r="C20" s="193">
        <f>'29A'!I$14+'29B'!I$14+'29C'!I$14+'29D'!I$14+'29E'!I$14+'29F'!I$14+'29G'!I$14+'29H'!I$14</f>
        <v>12761000</v>
      </c>
      <c r="D20" s="180"/>
    </row>
    <row r="21" spans="2:4" ht="19.5" customHeight="1" x14ac:dyDescent="0.35">
      <c r="B21" s="192">
        <v>8</v>
      </c>
      <c r="C21" s="193">
        <f>'29A'!J$14+'29B'!J$14+'29C'!J$14+'29D'!J$14+'29E'!J$14+'29F'!J$14+'29G'!J$14+'29H'!J$14</f>
        <v>12524000</v>
      </c>
      <c r="D21" s="180"/>
    </row>
    <row r="22" spans="2:4" ht="19.5" customHeight="1" x14ac:dyDescent="0.35">
      <c r="B22" s="192">
        <v>9</v>
      </c>
      <c r="C22" s="193">
        <f>'29A'!K$14+'29B'!K$14+'29C'!K$14+'29D'!K$14+'29E'!K$14+'29F'!K$14+'29G'!K$14+'29H'!K$14</f>
        <v>0</v>
      </c>
      <c r="D22" s="180"/>
    </row>
    <row r="23" spans="2:4" ht="19.5" customHeight="1" x14ac:dyDescent="0.35">
      <c r="B23" s="192">
        <v>10</v>
      </c>
      <c r="C23" s="193">
        <f>'29A'!L$14+'29B'!L$14+'29C'!L$14+'29D'!L$14+'29E'!L$14+'29F'!L$14+'29G'!L$14+'29H'!L$14</f>
        <v>240000</v>
      </c>
      <c r="D23" s="180"/>
    </row>
    <row r="24" spans="2:4" ht="19.5" customHeight="1" x14ac:dyDescent="0.35">
      <c r="B24" s="192">
        <v>11</v>
      </c>
      <c r="C24" s="193">
        <f>'29A'!M$14+'29B'!M$14+'29C'!M$14+'29D'!M$14+'29E'!M$14+'29F'!M$14+'29G'!M$14+'29H'!M$14</f>
        <v>844000</v>
      </c>
    </row>
    <row r="25" spans="2:4" ht="19.5" customHeight="1" x14ac:dyDescent="0.35">
      <c r="B25" s="192">
        <v>12</v>
      </c>
      <c r="C25" s="193">
        <f>'29A'!N$14+'29B'!N$14+'29C'!N$14+'29D'!N$14+'29E'!N$14+'29F'!N$14+'29G'!N$14+'29H'!N$14</f>
        <v>640000</v>
      </c>
    </row>
    <row r="26" spans="2:4" ht="19.5" customHeight="1" x14ac:dyDescent="0.35">
      <c r="B26" s="192">
        <v>13</v>
      </c>
      <c r="C26" s="193">
        <f>'29A'!O$14+'29B'!O$14+'29C'!O$14+'29D'!O$14+'29E'!O$14+'29F'!O$14+'29G'!O$14+'29H'!O$14</f>
        <v>844000</v>
      </c>
    </row>
    <row r="27" spans="2:4" ht="19.5" customHeight="1" x14ac:dyDescent="0.35">
      <c r="B27" s="192">
        <v>14</v>
      </c>
      <c r="C27" s="193">
        <f>'29A'!P$14+'29B'!P$14+'29C'!P$14+'29D'!P$14+'29E'!P$14+'29F'!P$14+'29G'!P$14+'29H'!P$14</f>
        <v>5371000</v>
      </c>
    </row>
    <row r="28" spans="2:4" ht="19.5" customHeight="1" x14ac:dyDescent="0.35">
      <c r="B28" s="192">
        <v>15</v>
      </c>
      <c r="C28" s="193">
        <f>'29A'!Q$14+'29B'!Q$14+'29C'!Q$14+'29D'!Q$14+'29E'!Q$14+'29F'!Q$14+'29G'!Q$14+'29H'!Q$14</f>
        <v>5628000</v>
      </c>
    </row>
    <row r="29" spans="2:4" ht="19.5" customHeight="1" x14ac:dyDescent="0.35">
      <c r="B29" s="192">
        <v>16</v>
      </c>
      <c r="C29" s="193">
        <f>'29A'!R$14+'29B'!R$14+'29C'!R$14+'29D'!R$14+'29E'!R$14+'29F'!R$14+'29G'!R$14+'29H'!R$14</f>
        <v>8421000</v>
      </c>
    </row>
    <row r="30" spans="2:4" ht="19.5" customHeight="1" x14ac:dyDescent="0.35">
      <c r="B30" s="192">
        <v>17</v>
      </c>
      <c r="C30" s="193">
        <f>'29A'!S$14+'29B'!S$14+'29C'!S$14+'29D'!S$14+'29E'!S$14+'29F'!S$14+'29G'!S$14+'29H'!S$14</f>
        <v>6295000</v>
      </c>
    </row>
    <row r="31" spans="2:4" ht="19.5" customHeight="1" x14ac:dyDescent="0.35">
      <c r="B31" s="192">
        <v>18</v>
      </c>
      <c r="C31" s="193">
        <f>'29A'!T$14+'29B'!T$14+'29C'!T$14+'29D'!T$14+'29E'!T$14+'29F'!T$14+'29G'!T$14+'29H'!T$14</f>
        <v>8364000</v>
      </c>
    </row>
    <row r="32" spans="2:4" ht="19.5" customHeight="1" x14ac:dyDescent="0.35">
      <c r="B32" s="192">
        <v>19</v>
      </c>
      <c r="C32" s="193">
        <f>'29A'!U$14+'29B'!U$14+'29C'!U$14+'29D'!U$14+'29E'!U$14+'29F'!U$14+'29G'!U$14+'29H'!U$14</f>
        <v>6498000</v>
      </c>
    </row>
    <row r="33" spans="1:3" ht="19.5" customHeight="1" x14ac:dyDescent="0.35">
      <c r="B33" s="192">
        <v>20</v>
      </c>
      <c r="C33" s="193">
        <f>'29A'!V$14+'29B'!V$14+'29C'!V$14+'29D'!V$14+'29E'!V$14+'29F'!V$14+'29G'!V$14+'29H'!V$14</f>
        <v>0</v>
      </c>
    </row>
    <row r="35" spans="1:3" x14ac:dyDescent="0.35">
      <c r="A35" t="s">
        <v>447</v>
      </c>
    </row>
  </sheetData>
  <sheetProtection objects="1"/>
  <mergeCells count="1">
    <mergeCell ref="B11:B12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pageSetUpPr fitToPage="1"/>
  </sheetPr>
  <dimension ref="A1:D34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7.453125" style="168" customWidth="1"/>
    <col min="2" max="2" width="15.54296875" style="168" customWidth="1"/>
    <col min="3" max="3" width="31.453125" style="168" customWidth="1"/>
    <col min="4" max="16384" width="12.54296875" style="168"/>
  </cols>
  <sheetData>
    <row r="1" spans="1:4" x14ac:dyDescent="0.35">
      <c r="A1" s="369" t="str">
        <f>TECNOLOGIAS!A1</f>
        <v>Proponente: TransPolitécnica</v>
      </c>
    </row>
    <row r="2" spans="1:4" x14ac:dyDescent="0.35">
      <c r="A2" s="369" t="str">
        <f>TECNOLOGIAS!A2</f>
        <v>Área de Concessão: 5 (Cinco)</v>
      </c>
    </row>
    <row r="4" spans="1:4" ht="18" x14ac:dyDescent="0.4">
      <c r="A4" s="167" t="s">
        <v>347</v>
      </c>
    </row>
    <row r="6" spans="1:4" x14ac:dyDescent="0.35">
      <c r="A6" s="205" t="s">
        <v>402</v>
      </c>
      <c r="B6" s="186"/>
      <c r="C6" s="186"/>
    </row>
    <row r="7" spans="1:4" x14ac:dyDescent="0.35">
      <c r="A7" s="207"/>
      <c r="B7" s="186"/>
      <c r="C7" s="186"/>
    </row>
    <row r="8" spans="1:4" x14ac:dyDescent="0.35">
      <c r="A8" s="209" t="s">
        <v>259</v>
      </c>
      <c r="B8" s="208"/>
      <c r="C8" s="208"/>
      <c r="D8" s="210"/>
    </row>
    <row r="9" spans="1:4" x14ac:dyDescent="0.35">
      <c r="A9" s="194"/>
      <c r="B9" s="186"/>
    </row>
    <row r="10" spans="1:4" ht="16" thickBot="1" x14ac:dyDescent="0.4"/>
    <row r="11" spans="1:4" ht="27.75" customHeight="1" thickBot="1" x14ac:dyDescent="0.4">
      <c r="B11" s="311" t="s">
        <v>371</v>
      </c>
      <c r="C11" s="195" t="s">
        <v>260</v>
      </c>
    </row>
    <row r="12" spans="1:4" ht="18.75" customHeight="1" x14ac:dyDescent="0.35">
      <c r="B12" s="192" t="s">
        <v>413</v>
      </c>
      <c r="C12" s="193">
        <f>'30A'!$B$21</f>
        <v>140395</v>
      </c>
    </row>
    <row r="13" spans="1:4" ht="18.75" customHeight="1" x14ac:dyDescent="0.35">
      <c r="B13" s="192">
        <v>1</v>
      </c>
      <c r="C13" s="193">
        <f>'30A'!$C$21</f>
        <v>1320444.3333333333</v>
      </c>
    </row>
    <row r="14" spans="1:4" ht="18.75" customHeight="1" x14ac:dyDescent="0.35">
      <c r="B14" s="192">
        <v>2</v>
      </c>
      <c r="C14" s="193">
        <f>'30A'!$D$21</f>
        <v>895259.33333333326</v>
      </c>
    </row>
    <row r="15" spans="1:4" ht="18.75" customHeight="1" x14ac:dyDescent="0.35">
      <c r="B15" s="192">
        <v>3</v>
      </c>
      <c r="C15" s="193">
        <f>'30A'!$E$21</f>
        <v>895259.33333333326</v>
      </c>
    </row>
    <row r="16" spans="1:4" ht="18.75" customHeight="1" x14ac:dyDescent="0.35">
      <c r="B16" s="192">
        <v>4</v>
      </c>
      <c r="C16" s="193">
        <f>'30A'!$F$21</f>
        <v>0</v>
      </c>
    </row>
    <row r="17" spans="2:3" ht="18.75" customHeight="1" x14ac:dyDescent="0.35">
      <c r="B17" s="192">
        <v>5</v>
      </c>
      <c r="C17" s="193">
        <f>'30A'!$G$21</f>
        <v>0</v>
      </c>
    </row>
    <row r="18" spans="2:3" ht="18.75" customHeight="1" x14ac:dyDescent="0.35">
      <c r="B18" s="192">
        <v>6</v>
      </c>
      <c r="C18" s="193">
        <f>'30A'!$H$21</f>
        <v>0</v>
      </c>
    </row>
    <row r="19" spans="2:3" ht="18.75" customHeight="1" x14ac:dyDescent="0.35">
      <c r="B19" s="192">
        <v>7</v>
      </c>
      <c r="C19" s="193">
        <f>'30A'!$I$21</f>
        <v>280790</v>
      </c>
    </row>
    <row r="20" spans="2:3" ht="19.5" customHeight="1" x14ac:dyDescent="0.35">
      <c r="B20" s="192">
        <v>8</v>
      </c>
      <c r="C20" s="193">
        <f>'30A'!$J$21</f>
        <v>0</v>
      </c>
    </row>
    <row r="21" spans="2:3" ht="19.5" customHeight="1" x14ac:dyDescent="0.35">
      <c r="B21" s="192">
        <v>9</v>
      </c>
      <c r="C21" s="193">
        <f>'30A'!$K$21</f>
        <v>0</v>
      </c>
    </row>
    <row r="22" spans="2:3" ht="19.5" customHeight="1" x14ac:dyDescent="0.35">
      <c r="B22" s="192">
        <v>10</v>
      </c>
      <c r="C22" s="193">
        <f>'30A'!$L$21</f>
        <v>0</v>
      </c>
    </row>
    <row r="23" spans="2:3" ht="19.5" customHeight="1" x14ac:dyDescent="0.35">
      <c r="B23" s="192">
        <v>11</v>
      </c>
      <c r="C23" s="193">
        <f>'30A'!$M$21</f>
        <v>0</v>
      </c>
    </row>
    <row r="24" spans="2:3" ht="19.5" customHeight="1" x14ac:dyDescent="0.35">
      <c r="B24" s="192">
        <v>12</v>
      </c>
      <c r="C24" s="193">
        <f>'30A'!$N$21</f>
        <v>0</v>
      </c>
    </row>
    <row r="25" spans="2:3" ht="19.5" customHeight="1" x14ac:dyDescent="0.35">
      <c r="B25" s="192">
        <v>13</v>
      </c>
      <c r="C25" s="193">
        <f>'30A'!$O$21</f>
        <v>0</v>
      </c>
    </row>
    <row r="26" spans="2:3" ht="19.5" customHeight="1" x14ac:dyDescent="0.35">
      <c r="B26" s="192">
        <v>14</v>
      </c>
      <c r="C26" s="193">
        <f>'30A'!$P$21</f>
        <v>0</v>
      </c>
    </row>
    <row r="27" spans="2:3" ht="19.5" customHeight="1" x14ac:dyDescent="0.35">
      <c r="B27" s="192">
        <v>15</v>
      </c>
      <c r="C27" s="193">
        <f>'30A'!$Q$21</f>
        <v>0</v>
      </c>
    </row>
    <row r="28" spans="2:3" ht="19.5" customHeight="1" x14ac:dyDescent="0.35">
      <c r="B28" s="192">
        <v>16</v>
      </c>
      <c r="C28" s="193">
        <f>'30A'!$R$21</f>
        <v>0</v>
      </c>
    </row>
    <row r="29" spans="2:3" ht="19.5" customHeight="1" x14ac:dyDescent="0.35">
      <c r="B29" s="192">
        <v>17</v>
      </c>
      <c r="C29" s="193">
        <f>'30A'!$S$21</f>
        <v>0</v>
      </c>
    </row>
    <row r="30" spans="2:3" ht="19.5" customHeight="1" x14ac:dyDescent="0.35">
      <c r="B30" s="192">
        <v>18</v>
      </c>
      <c r="C30" s="193">
        <f>'30A'!$T$21</f>
        <v>0</v>
      </c>
    </row>
    <row r="31" spans="2:3" ht="19.5" customHeight="1" x14ac:dyDescent="0.35">
      <c r="B31" s="192">
        <v>19</v>
      </c>
      <c r="C31" s="193">
        <f>'30A'!$U$21</f>
        <v>0</v>
      </c>
    </row>
    <row r="32" spans="2:3" ht="19.5" customHeight="1" x14ac:dyDescent="0.35">
      <c r="B32" s="192">
        <v>20</v>
      </c>
      <c r="C32" s="193">
        <f>'30A'!$V$21</f>
        <v>0</v>
      </c>
    </row>
    <row r="34" spans="1:1" x14ac:dyDescent="0.35">
      <c r="A34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4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5">
    <pageSetUpPr fitToPage="1"/>
  </sheetPr>
  <dimension ref="A1:D34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7.453125" style="168" customWidth="1"/>
    <col min="2" max="2" width="15.54296875" style="168" customWidth="1"/>
    <col min="3" max="3" width="31.453125" style="168" customWidth="1"/>
    <col min="4" max="16384" width="12.54296875" style="168"/>
  </cols>
  <sheetData>
    <row r="1" spans="1:4" x14ac:dyDescent="0.35">
      <c r="A1" s="369" t="str">
        <f>TECNOLOGIAS!A1</f>
        <v>Proponente: TransPolitécnica</v>
      </c>
    </row>
    <row r="2" spans="1:4" x14ac:dyDescent="0.35">
      <c r="A2" s="369" t="str">
        <f>TECNOLOGIAS!A2</f>
        <v>Área de Concessão: 5 (Cinco)</v>
      </c>
    </row>
    <row r="4" spans="1:4" ht="18" x14ac:dyDescent="0.4">
      <c r="A4" s="167" t="s">
        <v>346</v>
      </c>
    </row>
    <row r="6" spans="1:4" x14ac:dyDescent="0.35">
      <c r="A6" s="205" t="s">
        <v>791</v>
      </c>
      <c r="B6" s="186"/>
      <c r="C6" s="186"/>
    </row>
    <row r="7" spans="1:4" x14ac:dyDescent="0.35">
      <c r="A7" s="205" t="s">
        <v>845</v>
      </c>
      <c r="B7" s="186"/>
      <c r="C7" s="186"/>
    </row>
    <row r="8" spans="1:4" x14ac:dyDescent="0.35">
      <c r="A8" s="209"/>
      <c r="B8" s="208"/>
      <c r="C8" s="208"/>
      <c r="D8" s="210"/>
    </row>
    <row r="9" spans="1:4" x14ac:dyDescent="0.35">
      <c r="A9" s="209" t="s">
        <v>259</v>
      </c>
      <c r="B9" s="186"/>
    </row>
    <row r="10" spans="1:4" ht="16" thickBot="1" x14ac:dyDescent="0.4"/>
    <row r="11" spans="1:4" ht="27.75" customHeight="1" thickBot="1" x14ac:dyDescent="0.4">
      <c r="B11" s="195" t="s">
        <v>371</v>
      </c>
      <c r="C11" s="195" t="s">
        <v>260</v>
      </c>
    </row>
    <row r="12" spans="1:4" ht="18.75" customHeight="1" x14ac:dyDescent="0.35">
      <c r="B12" s="192" t="s">
        <v>413</v>
      </c>
      <c r="C12" s="193">
        <f>'30B'!$B$13+'30B'!$B$21</f>
        <v>6689190</v>
      </c>
    </row>
    <row r="13" spans="1:4" ht="18.75" customHeight="1" x14ac:dyDescent="0.35">
      <c r="B13" s="192">
        <v>1</v>
      </c>
      <c r="C13" s="193">
        <f>'30B'!$C$13+'30B'!$C$21</f>
        <v>426080</v>
      </c>
    </row>
    <row r="14" spans="1:4" ht="18.75" customHeight="1" x14ac:dyDescent="0.35">
      <c r="B14" s="192">
        <v>2</v>
      </c>
      <c r="C14" s="193">
        <f>'30B'!$D$13+'30B'!$D$21</f>
        <v>369410</v>
      </c>
    </row>
    <row r="15" spans="1:4" ht="18.75" customHeight="1" x14ac:dyDescent="0.35">
      <c r="B15" s="192">
        <v>3</v>
      </c>
      <c r="C15" s="193">
        <f>'30B'!$E$13+'30B'!$E$21</f>
        <v>371270</v>
      </c>
    </row>
    <row r="16" spans="1:4" ht="18.75" customHeight="1" x14ac:dyDescent="0.35">
      <c r="B16" s="192">
        <v>4</v>
      </c>
      <c r="C16" s="193">
        <f>'30B'!$F$13+'30B'!$F$21</f>
        <v>460630</v>
      </c>
    </row>
    <row r="17" spans="2:3" ht="18.75" customHeight="1" x14ac:dyDescent="0.35">
      <c r="B17" s="192">
        <v>5</v>
      </c>
      <c r="C17" s="193">
        <f>'30B'!$G$13+'30B'!$G$21</f>
        <v>454240</v>
      </c>
    </row>
    <row r="18" spans="2:3" ht="18.75" customHeight="1" x14ac:dyDescent="0.35">
      <c r="B18" s="192">
        <v>6</v>
      </c>
      <c r="C18" s="193">
        <f>'30B'!$H$13+'30B'!$H$21</f>
        <v>450030</v>
      </c>
    </row>
    <row r="19" spans="2:3" ht="18.75" customHeight="1" x14ac:dyDescent="0.35">
      <c r="B19" s="192">
        <v>7</v>
      </c>
      <c r="C19" s="193">
        <f>'30B'!$I$13+'30B'!$I$21</f>
        <v>454240</v>
      </c>
    </row>
    <row r="20" spans="2:3" ht="20.25" customHeight="1" x14ac:dyDescent="0.35">
      <c r="B20" s="192">
        <v>8</v>
      </c>
      <c r="C20" s="193">
        <f>'30B'!$J$13+'30B'!$J$21</f>
        <v>437560</v>
      </c>
    </row>
    <row r="21" spans="2:3" ht="20.25" customHeight="1" x14ac:dyDescent="0.35">
      <c r="B21" s="192">
        <v>9</v>
      </c>
      <c r="C21" s="193">
        <f>'30B'!$K$13+'30B'!$K$21</f>
        <v>0</v>
      </c>
    </row>
    <row r="22" spans="2:3" ht="20.25" customHeight="1" x14ac:dyDescent="0.35">
      <c r="B22" s="192">
        <v>10</v>
      </c>
      <c r="C22" s="193">
        <f>'30B'!$L$13+'30B'!$L$21</f>
        <v>0</v>
      </c>
    </row>
    <row r="23" spans="2:3" ht="20.25" customHeight="1" x14ac:dyDescent="0.35">
      <c r="B23" s="192">
        <v>11</v>
      </c>
      <c r="C23" s="193">
        <f>'30B'!$M$13+'30B'!$M$21</f>
        <v>0</v>
      </c>
    </row>
    <row r="24" spans="2:3" ht="20.25" customHeight="1" x14ac:dyDescent="0.35">
      <c r="B24" s="192">
        <v>12</v>
      </c>
      <c r="C24" s="193">
        <f>'30B'!$N$13+'30B'!$N$21</f>
        <v>0</v>
      </c>
    </row>
    <row r="25" spans="2:3" ht="20.25" customHeight="1" x14ac:dyDescent="0.35">
      <c r="B25" s="192">
        <v>13</v>
      </c>
      <c r="C25" s="193">
        <f>'30B'!$O$13+'30B'!$O$21</f>
        <v>0</v>
      </c>
    </row>
    <row r="26" spans="2:3" ht="20.25" customHeight="1" x14ac:dyDescent="0.35">
      <c r="B26" s="192">
        <v>14</v>
      </c>
      <c r="C26" s="193">
        <f>'30B'!$P$13+'30B'!$P$21</f>
        <v>0</v>
      </c>
    </row>
    <row r="27" spans="2:3" ht="20.25" customHeight="1" x14ac:dyDescent="0.35">
      <c r="B27" s="192">
        <v>15</v>
      </c>
      <c r="C27" s="193">
        <f>'30B'!$Q$13+'30B'!$Q$21</f>
        <v>0</v>
      </c>
    </row>
    <row r="28" spans="2:3" ht="20.25" customHeight="1" x14ac:dyDescent="0.35">
      <c r="B28" s="192">
        <v>16</v>
      </c>
      <c r="C28" s="193">
        <f>'30B'!$R$13+'30B'!$R$21</f>
        <v>0</v>
      </c>
    </row>
    <row r="29" spans="2:3" ht="20.25" customHeight="1" x14ac:dyDescent="0.35">
      <c r="B29" s="192">
        <v>17</v>
      </c>
      <c r="C29" s="193">
        <f>'30B'!$S$13+'30B'!$S$21</f>
        <v>0</v>
      </c>
    </row>
    <row r="30" spans="2:3" ht="20.25" customHeight="1" x14ac:dyDescent="0.35">
      <c r="B30" s="192">
        <v>18</v>
      </c>
      <c r="C30" s="193">
        <f>'30B'!$T$13+'30B'!$T$21</f>
        <v>0</v>
      </c>
    </row>
    <row r="31" spans="2:3" ht="20.25" customHeight="1" x14ac:dyDescent="0.35">
      <c r="B31" s="192">
        <v>19</v>
      </c>
      <c r="C31" s="193">
        <f>'30B'!$U$13+'30B'!$U$21</f>
        <v>0</v>
      </c>
    </row>
    <row r="32" spans="2:3" ht="20.25" customHeight="1" x14ac:dyDescent="0.35">
      <c r="B32" s="192">
        <v>20</v>
      </c>
      <c r="C32" s="193">
        <f>'30B'!$V$13+'30B'!$V$21</f>
        <v>0</v>
      </c>
    </row>
    <row r="34" spans="1:1" x14ac:dyDescent="0.35">
      <c r="A34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6">
    <pageSetUpPr fitToPage="1"/>
  </sheetPr>
  <dimension ref="A1:D34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7.453125" style="168" customWidth="1"/>
    <col min="2" max="2" width="15.54296875" style="168" customWidth="1"/>
    <col min="3" max="3" width="31.453125" style="168" customWidth="1"/>
    <col min="4" max="16384" width="12.54296875" style="168"/>
  </cols>
  <sheetData>
    <row r="1" spans="1:4" x14ac:dyDescent="0.35">
      <c r="A1" s="369" t="str">
        <f>TECNOLOGIAS!A1</f>
        <v>Proponente: TransPolitécnica</v>
      </c>
    </row>
    <row r="2" spans="1:4" x14ac:dyDescent="0.35">
      <c r="A2" s="369" t="str">
        <f>TECNOLOGIAS!A2</f>
        <v>Área de Concessão: 5 (Cinco)</v>
      </c>
    </row>
    <row r="4" spans="1:4" ht="18" x14ac:dyDescent="0.4">
      <c r="A4" s="167" t="s">
        <v>829</v>
      </c>
    </row>
    <row r="6" spans="1:4" x14ac:dyDescent="0.35">
      <c r="A6" s="205" t="s">
        <v>827</v>
      </c>
      <c r="B6" s="186"/>
      <c r="C6" s="186"/>
    </row>
    <row r="7" spans="1:4" x14ac:dyDescent="0.35">
      <c r="A7" s="207"/>
      <c r="B7" s="186"/>
      <c r="C7" s="186"/>
    </row>
    <row r="8" spans="1:4" x14ac:dyDescent="0.35">
      <c r="A8" s="209" t="s">
        <v>259</v>
      </c>
      <c r="B8" s="208"/>
      <c r="C8" s="208"/>
      <c r="D8" s="210"/>
    </row>
    <row r="9" spans="1:4" x14ac:dyDescent="0.35">
      <c r="A9" s="194"/>
      <c r="B9" s="186"/>
    </row>
    <row r="10" spans="1:4" ht="16" thickBot="1" x14ac:dyDescent="0.4"/>
    <row r="11" spans="1:4" ht="27.75" customHeight="1" thickBot="1" x14ac:dyDescent="0.4">
      <c r="B11" s="195" t="s">
        <v>371</v>
      </c>
      <c r="C11" s="195" t="s">
        <v>260</v>
      </c>
    </row>
    <row r="12" spans="1:4" ht="18.75" customHeight="1" x14ac:dyDescent="0.35">
      <c r="B12" s="192" t="s">
        <v>413</v>
      </c>
      <c r="C12" s="193">
        <f>'30C'!$B$13+'30C'!$B$21</f>
        <v>1921200</v>
      </c>
    </row>
    <row r="13" spans="1:4" ht="18.75" customHeight="1" x14ac:dyDescent="0.35">
      <c r="B13" s="192">
        <v>1</v>
      </c>
      <c r="C13" s="193">
        <f>'30C'!$C$13+'30C'!$C$21</f>
        <v>0</v>
      </c>
    </row>
    <row r="14" spans="1:4" ht="18.75" customHeight="1" x14ac:dyDescent="0.35">
      <c r="B14" s="192">
        <v>2</v>
      </c>
      <c r="C14" s="193">
        <f>'30C'!$D$13+'30C'!$D$21</f>
        <v>0</v>
      </c>
    </row>
    <row r="15" spans="1:4" ht="18.75" customHeight="1" x14ac:dyDescent="0.35">
      <c r="B15" s="192">
        <v>3</v>
      </c>
      <c r="C15" s="193">
        <f>'30C'!$E$13+'30C'!$E$21</f>
        <v>0</v>
      </c>
    </row>
    <row r="16" spans="1:4" ht="18.75" customHeight="1" x14ac:dyDescent="0.35">
      <c r="B16" s="192">
        <v>4</v>
      </c>
      <c r="C16" s="193">
        <f>'30C'!$F$13+'30C'!$F$21</f>
        <v>0</v>
      </c>
    </row>
    <row r="17" spans="2:3" ht="18.75" customHeight="1" x14ac:dyDescent="0.35">
      <c r="B17" s="192">
        <v>5</v>
      </c>
      <c r="C17" s="193">
        <f>'30C'!$G$13+'30C'!$G$21</f>
        <v>200000</v>
      </c>
    </row>
    <row r="18" spans="2:3" ht="18.75" customHeight="1" x14ac:dyDescent="0.35">
      <c r="B18" s="192">
        <v>6</v>
      </c>
      <c r="C18" s="193">
        <f>'30C'!$H$13+'30C'!$H$21</f>
        <v>0</v>
      </c>
    </row>
    <row r="19" spans="2:3" ht="18.75" customHeight="1" x14ac:dyDescent="0.35">
      <c r="B19" s="192">
        <v>7</v>
      </c>
      <c r="C19" s="193">
        <f>'30C'!$I$13+'30C'!$I$21</f>
        <v>0</v>
      </c>
    </row>
    <row r="20" spans="2:3" ht="20.25" customHeight="1" x14ac:dyDescent="0.35">
      <c r="B20" s="192">
        <v>8</v>
      </c>
      <c r="C20" s="193">
        <f>'30C'!$J$13+'30C'!$J$21</f>
        <v>0</v>
      </c>
    </row>
    <row r="21" spans="2:3" ht="20.25" customHeight="1" x14ac:dyDescent="0.35">
      <c r="B21" s="192">
        <v>9</v>
      </c>
      <c r="C21" s="193">
        <f>'30C'!$K$13+'30C'!$K$21</f>
        <v>0</v>
      </c>
    </row>
    <row r="22" spans="2:3" ht="20.25" customHeight="1" x14ac:dyDescent="0.35">
      <c r="B22" s="192">
        <v>10</v>
      </c>
      <c r="C22" s="193">
        <f>'30C'!$L$13+'30C'!$L$21</f>
        <v>0</v>
      </c>
    </row>
    <row r="23" spans="2:3" ht="20.25" customHeight="1" x14ac:dyDescent="0.35">
      <c r="B23" s="192">
        <v>11</v>
      </c>
      <c r="C23" s="193">
        <f>'30C'!$M$13+'30C'!$M$21</f>
        <v>628000</v>
      </c>
    </row>
    <row r="24" spans="2:3" ht="20.25" customHeight="1" x14ac:dyDescent="0.35">
      <c r="B24" s="192">
        <v>12</v>
      </c>
      <c r="C24" s="193">
        <f>'30C'!$N$13+'30C'!$N$21</f>
        <v>0</v>
      </c>
    </row>
    <row r="25" spans="2:3" ht="20.25" customHeight="1" x14ac:dyDescent="0.35">
      <c r="B25" s="192">
        <v>13</v>
      </c>
      <c r="C25" s="193">
        <f>'30C'!$O$13+'30C'!$O$21</f>
        <v>0</v>
      </c>
    </row>
    <row r="26" spans="2:3" ht="20.25" customHeight="1" x14ac:dyDescent="0.35">
      <c r="B26" s="192">
        <v>14</v>
      </c>
      <c r="C26" s="193">
        <f>'30C'!$P$13+'30C'!$P$21</f>
        <v>0</v>
      </c>
    </row>
    <row r="27" spans="2:3" ht="20.25" customHeight="1" x14ac:dyDescent="0.35">
      <c r="B27" s="192">
        <v>15</v>
      </c>
      <c r="C27" s="193">
        <f>'30C'!$Q$13+'30C'!$Q$21</f>
        <v>0</v>
      </c>
    </row>
    <row r="28" spans="2:3" ht="20.25" customHeight="1" x14ac:dyDescent="0.35">
      <c r="B28" s="192">
        <v>16</v>
      </c>
      <c r="C28" s="193">
        <f>'30C'!$R$13+'30C'!$R$21</f>
        <v>0</v>
      </c>
    </row>
    <row r="29" spans="2:3" ht="20.25" customHeight="1" x14ac:dyDescent="0.35">
      <c r="B29" s="192">
        <v>17</v>
      </c>
      <c r="C29" s="193">
        <f>'30C'!$S$13+'30C'!$S$21</f>
        <v>0</v>
      </c>
    </row>
    <row r="30" spans="2:3" ht="20.25" customHeight="1" x14ac:dyDescent="0.35">
      <c r="B30" s="192">
        <v>18</v>
      </c>
      <c r="C30" s="193">
        <f>'30C'!$T$13+'30C'!$T$21</f>
        <v>0</v>
      </c>
    </row>
    <row r="31" spans="2:3" ht="20.25" customHeight="1" x14ac:dyDescent="0.35">
      <c r="B31" s="192">
        <v>19</v>
      </c>
      <c r="C31" s="193">
        <f>'30C'!$U$13+'30C'!$U$21</f>
        <v>0</v>
      </c>
    </row>
    <row r="32" spans="2:3" ht="20.25" customHeight="1" x14ac:dyDescent="0.35">
      <c r="B32" s="192">
        <v>20</v>
      </c>
      <c r="C32" s="193">
        <f>'30C'!$V$13+'30C'!$V$21</f>
        <v>0</v>
      </c>
    </row>
    <row r="34" spans="1:1" x14ac:dyDescent="0.35">
      <c r="A34" t="s">
        <v>447</v>
      </c>
    </row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7">
    <pageSetUpPr fitToPage="1"/>
  </sheetPr>
  <dimension ref="A1:V851"/>
  <sheetViews>
    <sheetView showGridLines="0" showZeros="0" view="pageBreakPreview" topLeftCell="A6" zoomScale="40" zoomScaleNormal="87" workbookViewId="0">
      <selection activeCell="A6" sqref="A6"/>
    </sheetView>
  </sheetViews>
  <sheetFormatPr defaultColWidth="12.54296875" defaultRowHeight="15.5" x14ac:dyDescent="0.35"/>
  <cols>
    <col min="1" max="1" width="34" style="168" customWidth="1"/>
    <col min="2" max="11" width="16.26953125" style="168" bestFit="1" customWidth="1"/>
    <col min="12" max="13" width="15.1796875" style="168" bestFit="1" customWidth="1"/>
    <col min="14" max="16" width="15.54296875" style="168" bestFit="1" customWidth="1"/>
    <col min="17" max="17" width="15.1796875" style="168" bestFit="1" customWidth="1"/>
    <col min="18" max="18" width="15.81640625" style="168" bestFit="1" customWidth="1"/>
    <col min="19" max="19" width="13.453125" style="168" bestFit="1" customWidth="1"/>
    <col min="20" max="22" width="8.453125" style="168" bestFit="1" customWidth="1"/>
    <col min="23" max="16384" width="12.54296875" style="168"/>
  </cols>
  <sheetData>
    <row r="1" spans="1:22" x14ac:dyDescent="0.35">
      <c r="A1" s="369" t="str">
        <f>TECNOLOGIAS!A1</f>
        <v>Proponente: TransPolitécnica</v>
      </c>
    </row>
    <row r="2" spans="1:22" x14ac:dyDescent="0.35">
      <c r="A2" s="369" t="str">
        <f>TECNOLOGIAS!A2</f>
        <v>Área de Concessão: 5 (Cinco)</v>
      </c>
    </row>
    <row r="4" spans="1:22" ht="18" x14ac:dyDescent="0.4">
      <c r="A4" s="167" t="s">
        <v>417</v>
      </c>
    </row>
    <row r="6" spans="1:22" x14ac:dyDescent="0.35">
      <c r="A6" s="169" t="s">
        <v>788</v>
      </c>
      <c r="B6" s="180"/>
      <c r="C6" s="180"/>
      <c r="D6" s="180"/>
      <c r="E6" s="180"/>
    </row>
    <row r="7" spans="1:22" x14ac:dyDescent="0.35">
      <c r="A7" s="177"/>
      <c r="B7" s="180"/>
      <c r="C7" s="180"/>
      <c r="D7" s="180"/>
      <c r="E7" s="180"/>
    </row>
    <row r="8" spans="1:22" x14ac:dyDescent="0.35">
      <c r="A8" s="170" t="s">
        <v>269</v>
      </c>
      <c r="B8" s="180"/>
      <c r="C8" s="180"/>
      <c r="D8" s="180"/>
      <c r="E8" s="180"/>
    </row>
    <row r="9" spans="1:22" ht="16" thickBot="1" x14ac:dyDescent="0.4">
      <c r="A9" s="177"/>
      <c r="B9" s="180"/>
      <c r="C9" s="180"/>
      <c r="D9" s="180"/>
      <c r="E9" s="180"/>
    </row>
    <row r="10" spans="1:22" ht="16" thickBot="1" x14ac:dyDescent="0.4">
      <c r="A10" s="270" t="s">
        <v>270</v>
      </c>
      <c r="B10" s="678" t="s">
        <v>263</v>
      </c>
      <c r="C10" s="679"/>
      <c r="D10" s="679"/>
      <c r="E10" s="679"/>
      <c r="F10" s="679"/>
      <c r="G10" s="679"/>
      <c r="H10" s="679"/>
      <c r="I10" s="679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80"/>
    </row>
    <row r="11" spans="1:22" x14ac:dyDescent="0.35">
      <c r="A11" s="196"/>
      <c r="B11" s="271" t="s">
        <v>372</v>
      </c>
      <c r="C11" s="272" t="s">
        <v>372</v>
      </c>
      <c r="D11" s="272" t="s">
        <v>372</v>
      </c>
      <c r="E11" s="272" t="s">
        <v>372</v>
      </c>
      <c r="F11" s="272" t="s">
        <v>372</v>
      </c>
      <c r="G11" s="272" t="s">
        <v>372</v>
      </c>
      <c r="H11" s="272" t="s">
        <v>372</v>
      </c>
      <c r="I11" s="272" t="s">
        <v>372</v>
      </c>
      <c r="J11" s="272" t="s">
        <v>372</v>
      </c>
      <c r="K11" s="272" t="s">
        <v>372</v>
      </c>
      <c r="L11" s="272" t="s">
        <v>372</v>
      </c>
      <c r="M11" s="272" t="s">
        <v>372</v>
      </c>
      <c r="N11" s="272" t="s">
        <v>372</v>
      </c>
      <c r="O11" s="272" t="s">
        <v>372</v>
      </c>
      <c r="P11" s="272" t="s">
        <v>372</v>
      </c>
      <c r="Q11" s="272" t="s">
        <v>372</v>
      </c>
      <c r="R11" s="272" t="s">
        <v>372</v>
      </c>
      <c r="S11" s="272" t="s">
        <v>372</v>
      </c>
      <c r="T11" s="272" t="s">
        <v>372</v>
      </c>
      <c r="U11" s="272" t="s">
        <v>372</v>
      </c>
      <c r="V11" s="272" t="s">
        <v>372</v>
      </c>
    </row>
    <row r="12" spans="1:22" ht="16" thickBot="1" x14ac:dyDescent="0.4">
      <c r="A12" s="182"/>
      <c r="B12" s="191" t="s">
        <v>413</v>
      </c>
      <c r="C12" s="191">
        <v>1</v>
      </c>
      <c r="D12" s="191">
        <v>2</v>
      </c>
      <c r="E12" s="191">
        <v>3</v>
      </c>
      <c r="F12" s="191">
        <v>4</v>
      </c>
      <c r="G12" s="191">
        <v>5</v>
      </c>
      <c r="H12" s="191">
        <v>6</v>
      </c>
      <c r="I12" s="191">
        <v>7</v>
      </c>
      <c r="J12" s="191">
        <v>8</v>
      </c>
      <c r="K12" s="191">
        <v>9</v>
      </c>
      <c r="L12" s="191">
        <v>10</v>
      </c>
      <c r="M12" s="191">
        <v>11</v>
      </c>
      <c r="N12" s="191">
        <v>12</v>
      </c>
      <c r="O12" s="191">
        <v>13</v>
      </c>
      <c r="P12" s="191">
        <v>14</v>
      </c>
      <c r="Q12" s="191">
        <v>15</v>
      </c>
      <c r="R12" s="191">
        <v>16</v>
      </c>
      <c r="S12" s="191">
        <v>17</v>
      </c>
      <c r="T12" s="191">
        <v>18</v>
      </c>
      <c r="U12" s="191">
        <v>19</v>
      </c>
      <c r="V12" s="191">
        <v>20</v>
      </c>
    </row>
    <row r="13" spans="1:22" x14ac:dyDescent="0.35">
      <c r="A13" s="181" t="str">
        <f>TECNOLOGIAS!$A$7</f>
        <v>Micro Ônibus</v>
      </c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</row>
    <row r="14" spans="1:22" x14ac:dyDescent="0.35">
      <c r="A14" s="184" t="s">
        <v>264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</row>
    <row r="15" spans="1:22" x14ac:dyDescent="0.35">
      <c r="A15" s="184" t="s">
        <v>265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</row>
    <row r="16" spans="1:22" x14ac:dyDescent="0.35">
      <c r="A16" s="184" t="s">
        <v>266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</row>
    <row r="17" spans="1:22" x14ac:dyDescent="0.35">
      <c r="A17" s="184" t="s">
        <v>267</v>
      </c>
      <c r="B17" s="608"/>
      <c r="C17" s="608"/>
      <c r="D17" s="608"/>
      <c r="E17" s="608"/>
      <c r="F17" s="608"/>
      <c r="G17" s="608"/>
      <c r="H17" s="608"/>
      <c r="I17" s="608"/>
      <c r="J17" s="608"/>
      <c r="K17" s="608"/>
      <c r="L17" s="608"/>
      <c r="M17" s="608"/>
      <c r="N17" s="608"/>
      <c r="O17" s="608"/>
      <c r="P17" s="608"/>
      <c r="Q17" s="608"/>
      <c r="R17" s="608"/>
      <c r="S17" s="608"/>
      <c r="T17" s="608"/>
      <c r="U17" s="608"/>
      <c r="V17" s="608"/>
    </row>
    <row r="18" spans="1:22" x14ac:dyDescent="0.35">
      <c r="A18" s="184" t="s">
        <v>268</v>
      </c>
      <c r="B18" s="607"/>
      <c r="C18" s="607"/>
      <c r="D18" s="607"/>
      <c r="E18" s="607"/>
      <c r="F18" s="607"/>
      <c r="G18" s="607"/>
      <c r="H18" s="607"/>
      <c r="I18" s="607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</row>
    <row r="19" spans="1:22" ht="6.75" customHeight="1" x14ac:dyDescent="0.35">
      <c r="A19" s="180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</row>
    <row r="20" spans="1:22" x14ac:dyDescent="0.35">
      <c r="A20" s="181" t="str">
        <f>TECNOLOGIAS!$A$8</f>
        <v>Básico</v>
      </c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</row>
    <row r="21" spans="1:22" x14ac:dyDescent="0.35">
      <c r="A21" s="184" t="s">
        <v>264</v>
      </c>
      <c r="B21" s="617"/>
      <c r="C21" s="617">
        <f>B25</f>
        <v>21952000</v>
      </c>
      <c r="D21" s="617">
        <f t="shared" ref="D21:I21" si="0">C25</f>
        <v>20580000</v>
      </c>
      <c r="E21" s="617">
        <f t="shared" si="0"/>
        <v>19208000</v>
      </c>
      <c r="F21" s="617">
        <f t="shared" si="0"/>
        <v>17836000</v>
      </c>
      <c r="G21" s="617">
        <f t="shared" si="0"/>
        <v>16464000</v>
      </c>
      <c r="H21" s="617">
        <f t="shared" si="0"/>
        <v>15092000</v>
      </c>
      <c r="I21" s="617">
        <f t="shared" si="0"/>
        <v>13720000</v>
      </c>
      <c r="J21" s="617">
        <f t="shared" ref="J21:R21" si="1">I25</f>
        <v>12348000</v>
      </c>
      <c r="K21" s="617">
        <f t="shared" si="1"/>
        <v>10976000</v>
      </c>
      <c r="L21" s="617">
        <f t="shared" si="1"/>
        <v>9604000</v>
      </c>
      <c r="M21" s="617">
        <f t="shared" si="1"/>
        <v>8232000</v>
      </c>
      <c r="N21" s="617">
        <f t="shared" si="1"/>
        <v>6860000</v>
      </c>
      <c r="O21" s="617">
        <f t="shared" si="1"/>
        <v>5488000</v>
      </c>
      <c r="P21" s="617">
        <f t="shared" si="1"/>
        <v>4116000</v>
      </c>
      <c r="Q21" s="617">
        <f t="shared" si="1"/>
        <v>2744000</v>
      </c>
      <c r="R21" s="617">
        <f t="shared" si="1"/>
        <v>1372000</v>
      </c>
      <c r="S21" s="175"/>
      <c r="T21" s="175"/>
      <c r="U21" s="175"/>
      <c r="V21" s="175"/>
    </row>
    <row r="22" spans="1:22" x14ac:dyDescent="0.35">
      <c r="A22" s="184" t="s">
        <v>265</v>
      </c>
      <c r="B22" s="175"/>
      <c r="C22" s="248">
        <v>1372000</v>
      </c>
      <c r="D22" s="248">
        <f>C22</f>
        <v>1372000</v>
      </c>
      <c r="E22" s="248">
        <f t="shared" ref="E22:R22" si="2">D22</f>
        <v>1372000</v>
      </c>
      <c r="F22" s="248">
        <f t="shared" si="2"/>
        <v>1372000</v>
      </c>
      <c r="G22" s="248">
        <f t="shared" si="2"/>
        <v>1372000</v>
      </c>
      <c r="H22" s="248">
        <f t="shared" si="2"/>
        <v>1372000</v>
      </c>
      <c r="I22" s="248">
        <f t="shared" si="2"/>
        <v>1372000</v>
      </c>
      <c r="J22" s="248">
        <f t="shared" si="2"/>
        <v>1372000</v>
      </c>
      <c r="K22" s="248">
        <f t="shared" si="2"/>
        <v>1372000</v>
      </c>
      <c r="L22" s="248">
        <f t="shared" si="2"/>
        <v>1372000</v>
      </c>
      <c r="M22" s="248">
        <f t="shared" si="2"/>
        <v>1372000</v>
      </c>
      <c r="N22" s="248">
        <f t="shared" si="2"/>
        <v>1372000</v>
      </c>
      <c r="O22" s="248">
        <f t="shared" si="2"/>
        <v>1372000</v>
      </c>
      <c r="P22" s="248">
        <f t="shared" si="2"/>
        <v>1372000</v>
      </c>
      <c r="Q22" s="248">
        <f t="shared" si="2"/>
        <v>1372000</v>
      </c>
      <c r="R22" s="248">
        <f t="shared" si="2"/>
        <v>1372000</v>
      </c>
      <c r="S22" s="175"/>
      <c r="T22" s="175"/>
      <c r="U22" s="175"/>
      <c r="V22" s="175"/>
    </row>
    <row r="23" spans="1:22" x14ac:dyDescent="0.35">
      <c r="A23" s="184" t="s">
        <v>266</v>
      </c>
      <c r="B23" s="175"/>
      <c r="C23" s="617">
        <f>6.5%*C21</f>
        <v>1426880</v>
      </c>
      <c r="D23" s="617">
        <f t="shared" ref="D23:I23" si="3">6.5%*D21</f>
        <v>1337700</v>
      </c>
      <c r="E23" s="617">
        <f t="shared" si="3"/>
        <v>1248520</v>
      </c>
      <c r="F23" s="617">
        <f t="shared" si="3"/>
        <v>1159340</v>
      </c>
      <c r="G23" s="617">
        <f t="shared" si="3"/>
        <v>1070160</v>
      </c>
      <c r="H23" s="617">
        <f t="shared" si="3"/>
        <v>980980</v>
      </c>
      <c r="I23" s="617">
        <f t="shared" si="3"/>
        <v>891800</v>
      </c>
      <c r="J23" s="617">
        <f t="shared" ref="J23:R23" si="4">6.5%*J21</f>
        <v>802620</v>
      </c>
      <c r="K23" s="617">
        <f t="shared" si="4"/>
        <v>713440</v>
      </c>
      <c r="L23" s="617">
        <f t="shared" si="4"/>
        <v>624260</v>
      </c>
      <c r="M23" s="617">
        <f t="shared" si="4"/>
        <v>535080</v>
      </c>
      <c r="N23" s="617">
        <f t="shared" si="4"/>
        <v>445900</v>
      </c>
      <c r="O23" s="617">
        <f t="shared" si="4"/>
        <v>356720</v>
      </c>
      <c r="P23" s="617">
        <f t="shared" si="4"/>
        <v>267540</v>
      </c>
      <c r="Q23" s="617">
        <f t="shared" si="4"/>
        <v>178360</v>
      </c>
      <c r="R23" s="617">
        <f t="shared" si="4"/>
        <v>89180</v>
      </c>
      <c r="S23" s="175"/>
      <c r="T23" s="175"/>
      <c r="U23" s="175"/>
      <c r="V23" s="175"/>
    </row>
    <row r="24" spans="1:22" x14ac:dyDescent="0.35">
      <c r="A24" s="184" t="s">
        <v>267</v>
      </c>
      <c r="B24" s="175"/>
      <c r="C24" s="617">
        <f>C22+C23</f>
        <v>2798880</v>
      </c>
      <c r="D24" s="617">
        <f t="shared" ref="D24:I24" si="5">D22+D23</f>
        <v>2709700</v>
      </c>
      <c r="E24" s="617">
        <f t="shared" si="5"/>
        <v>2620520</v>
      </c>
      <c r="F24" s="617">
        <f t="shared" si="5"/>
        <v>2531340</v>
      </c>
      <c r="G24" s="617">
        <f t="shared" si="5"/>
        <v>2442160</v>
      </c>
      <c r="H24" s="617">
        <f t="shared" si="5"/>
        <v>2352980</v>
      </c>
      <c r="I24" s="617">
        <f t="shared" si="5"/>
        <v>2263800</v>
      </c>
      <c r="J24" s="617">
        <f t="shared" ref="J24:R24" si="6">J22+J23</f>
        <v>2174620</v>
      </c>
      <c r="K24" s="617">
        <f t="shared" si="6"/>
        <v>2085440</v>
      </c>
      <c r="L24" s="617">
        <f t="shared" si="6"/>
        <v>1996260</v>
      </c>
      <c r="M24" s="617">
        <f t="shared" si="6"/>
        <v>1907080</v>
      </c>
      <c r="N24" s="617">
        <f t="shared" si="6"/>
        <v>1817900</v>
      </c>
      <c r="O24" s="617">
        <f t="shared" si="6"/>
        <v>1728720</v>
      </c>
      <c r="P24" s="617">
        <f t="shared" si="6"/>
        <v>1639540</v>
      </c>
      <c r="Q24" s="617">
        <f t="shared" si="6"/>
        <v>1550360</v>
      </c>
      <c r="R24" s="617">
        <f t="shared" si="6"/>
        <v>1461180</v>
      </c>
      <c r="S24" s="175"/>
      <c r="T24" s="175"/>
      <c r="U24" s="175"/>
      <c r="V24" s="175"/>
    </row>
    <row r="25" spans="1:22" x14ac:dyDescent="0.35">
      <c r="A25" s="184" t="s">
        <v>268</v>
      </c>
      <c r="B25" s="617">
        <f>'29B'!B15</f>
        <v>21952000</v>
      </c>
      <c r="C25" s="617">
        <f>C21-C22</f>
        <v>20580000</v>
      </c>
      <c r="D25" s="617">
        <f t="shared" ref="D25:I25" si="7">D21-D22</f>
        <v>19208000</v>
      </c>
      <c r="E25" s="617">
        <f t="shared" si="7"/>
        <v>17836000</v>
      </c>
      <c r="F25" s="617">
        <f t="shared" si="7"/>
        <v>16464000</v>
      </c>
      <c r="G25" s="617">
        <f t="shared" si="7"/>
        <v>15092000</v>
      </c>
      <c r="H25" s="617">
        <f t="shared" si="7"/>
        <v>13720000</v>
      </c>
      <c r="I25" s="617">
        <f t="shared" si="7"/>
        <v>12348000</v>
      </c>
      <c r="J25" s="617">
        <f t="shared" ref="J25:R25" si="8">J21-J22</f>
        <v>10976000</v>
      </c>
      <c r="K25" s="617">
        <f t="shared" si="8"/>
        <v>9604000</v>
      </c>
      <c r="L25" s="617">
        <f t="shared" si="8"/>
        <v>8232000</v>
      </c>
      <c r="M25" s="617">
        <f t="shared" si="8"/>
        <v>6860000</v>
      </c>
      <c r="N25" s="617">
        <f t="shared" si="8"/>
        <v>5488000</v>
      </c>
      <c r="O25" s="617">
        <f t="shared" si="8"/>
        <v>4116000</v>
      </c>
      <c r="P25" s="617">
        <f t="shared" si="8"/>
        <v>2744000</v>
      </c>
      <c r="Q25" s="617">
        <f t="shared" si="8"/>
        <v>1372000</v>
      </c>
      <c r="R25" s="617">
        <f t="shared" si="8"/>
        <v>0</v>
      </c>
      <c r="S25" s="175"/>
      <c r="T25" s="175"/>
      <c r="U25" s="175"/>
      <c r="V25" s="175"/>
    </row>
    <row r="26" spans="1:22" x14ac:dyDescent="0.35">
      <c r="A26" s="180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</row>
    <row r="27" spans="1:22" x14ac:dyDescent="0.35">
      <c r="A27" s="181" t="str">
        <f>TECNOLOGIAS!$A$9</f>
        <v>Padron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</row>
    <row r="28" spans="1:22" x14ac:dyDescent="0.35">
      <c r="A28" s="184" t="s">
        <v>264</v>
      </c>
      <c r="B28" s="175"/>
      <c r="C28" s="617">
        <f>B32</f>
        <v>6700000</v>
      </c>
      <c r="D28" s="617">
        <f t="shared" ref="D28:R28" si="9">C32</f>
        <v>6281250</v>
      </c>
      <c r="E28" s="617">
        <f t="shared" si="9"/>
        <v>5862500</v>
      </c>
      <c r="F28" s="617">
        <f t="shared" si="9"/>
        <v>5443750</v>
      </c>
      <c r="G28" s="617">
        <f t="shared" si="9"/>
        <v>5025000</v>
      </c>
      <c r="H28" s="617">
        <f t="shared" si="9"/>
        <v>4606250</v>
      </c>
      <c r="I28" s="617">
        <f t="shared" si="9"/>
        <v>4187500</v>
      </c>
      <c r="J28" s="617">
        <f t="shared" si="9"/>
        <v>3768750</v>
      </c>
      <c r="K28" s="617">
        <f t="shared" si="9"/>
        <v>3350000</v>
      </c>
      <c r="L28" s="617">
        <f t="shared" si="9"/>
        <v>2931250</v>
      </c>
      <c r="M28" s="617">
        <f t="shared" si="9"/>
        <v>2512500</v>
      </c>
      <c r="N28" s="617">
        <f t="shared" si="9"/>
        <v>2093750</v>
      </c>
      <c r="O28" s="617">
        <f t="shared" si="9"/>
        <v>1675000</v>
      </c>
      <c r="P28" s="617">
        <f t="shared" si="9"/>
        <v>1256250</v>
      </c>
      <c r="Q28" s="617">
        <f t="shared" si="9"/>
        <v>837500</v>
      </c>
      <c r="R28" s="617">
        <f t="shared" si="9"/>
        <v>418750</v>
      </c>
      <c r="S28" s="175"/>
      <c r="T28" s="175"/>
      <c r="U28" s="175"/>
      <c r="V28" s="175"/>
    </row>
    <row r="29" spans="1:22" x14ac:dyDescent="0.35">
      <c r="A29" s="184" t="s">
        <v>265</v>
      </c>
      <c r="B29" s="175"/>
      <c r="C29" s="248">
        <v>418750</v>
      </c>
      <c r="D29" s="248">
        <f>C29</f>
        <v>418750</v>
      </c>
      <c r="E29" s="248">
        <f t="shared" ref="E29:R29" si="10">D29</f>
        <v>418750</v>
      </c>
      <c r="F29" s="248">
        <f t="shared" si="10"/>
        <v>418750</v>
      </c>
      <c r="G29" s="248">
        <f t="shared" si="10"/>
        <v>418750</v>
      </c>
      <c r="H29" s="248">
        <f t="shared" si="10"/>
        <v>418750</v>
      </c>
      <c r="I29" s="248">
        <f t="shared" si="10"/>
        <v>418750</v>
      </c>
      <c r="J29" s="248">
        <f t="shared" si="10"/>
        <v>418750</v>
      </c>
      <c r="K29" s="248">
        <f t="shared" si="10"/>
        <v>418750</v>
      </c>
      <c r="L29" s="248">
        <f t="shared" si="10"/>
        <v>418750</v>
      </c>
      <c r="M29" s="248">
        <f t="shared" si="10"/>
        <v>418750</v>
      </c>
      <c r="N29" s="248">
        <f t="shared" si="10"/>
        <v>418750</v>
      </c>
      <c r="O29" s="248">
        <f t="shared" si="10"/>
        <v>418750</v>
      </c>
      <c r="P29" s="248">
        <f t="shared" si="10"/>
        <v>418750</v>
      </c>
      <c r="Q29" s="248">
        <f t="shared" si="10"/>
        <v>418750</v>
      </c>
      <c r="R29" s="248">
        <f t="shared" si="10"/>
        <v>418750</v>
      </c>
      <c r="S29" s="175"/>
      <c r="T29" s="175"/>
      <c r="U29" s="175"/>
      <c r="V29" s="175"/>
    </row>
    <row r="30" spans="1:22" x14ac:dyDescent="0.35">
      <c r="A30" s="184" t="s">
        <v>266</v>
      </c>
      <c r="B30" s="175"/>
      <c r="C30" s="617">
        <f>6.5%*C28</f>
        <v>435500</v>
      </c>
      <c r="D30" s="617">
        <f t="shared" ref="D30:R30" si="11">6.5%*D28</f>
        <v>408281.25</v>
      </c>
      <c r="E30" s="617">
        <f t="shared" si="11"/>
        <v>381062.5</v>
      </c>
      <c r="F30" s="617">
        <f t="shared" si="11"/>
        <v>353843.75</v>
      </c>
      <c r="G30" s="617">
        <f t="shared" si="11"/>
        <v>326625</v>
      </c>
      <c r="H30" s="617">
        <f t="shared" si="11"/>
        <v>299406.25</v>
      </c>
      <c r="I30" s="617">
        <f t="shared" si="11"/>
        <v>272187.5</v>
      </c>
      <c r="J30" s="617">
        <f t="shared" si="11"/>
        <v>244968.75</v>
      </c>
      <c r="K30" s="617">
        <f t="shared" si="11"/>
        <v>217750</v>
      </c>
      <c r="L30" s="617">
        <f t="shared" si="11"/>
        <v>190531.25</v>
      </c>
      <c r="M30" s="617">
        <f t="shared" si="11"/>
        <v>163312.5</v>
      </c>
      <c r="N30" s="617">
        <f t="shared" si="11"/>
        <v>136093.75</v>
      </c>
      <c r="O30" s="617">
        <f t="shared" si="11"/>
        <v>108875</v>
      </c>
      <c r="P30" s="617">
        <f t="shared" si="11"/>
        <v>81656.25</v>
      </c>
      <c r="Q30" s="617">
        <f t="shared" si="11"/>
        <v>54437.5</v>
      </c>
      <c r="R30" s="617">
        <f t="shared" si="11"/>
        <v>27218.75</v>
      </c>
      <c r="S30" s="175"/>
      <c r="T30" s="175"/>
      <c r="U30" s="175"/>
      <c r="V30" s="175"/>
    </row>
    <row r="31" spans="1:22" x14ac:dyDescent="0.35">
      <c r="A31" s="184" t="s">
        <v>267</v>
      </c>
      <c r="B31" s="175"/>
      <c r="C31" s="617">
        <f>C29+C30</f>
        <v>854250</v>
      </c>
      <c r="D31" s="617">
        <f t="shared" ref="D31:R31" si="12">D29+D30</f>
        <v>827031.25</v>
      </c>
      <c r="E31" s="617">
        <f t="shared" si="12"/>
        <v>799812.5</v>
      </c>
      <c r="F31" s="617">
        <f t="shared" si="12"/>
        <v>772593.75</v>
      </c>
      <c r="G31" s="617">
        <f t="shared" si="12"/>
        <v>745375</v>
      </c>
      <c r="H31" s="617">
        <f t="shared" si="12"/>
        <v>718156.25</v>
      </c>
      <c r="I31" s="617">
        <f t="shared" si="12"/>
        <v>690937.5</v>
      </c>
      <c r="J31" s="617">
        <f t="shared" si="12"/>
        <v>663718.75</v>
      </c>
      <c r="K31" s="617">
        <f t="shared" si="12"/>
        <v>636500</v>
      </c>
      <c r="L31" s="617">
        <f t="shared" si="12"/>
        <v>609281.25</v>
      </c>
      <c r="M31" s="617">
        <f t="shared" si="12"/>
        <v>582062.5</v>
      </c>
      <c r="N31" s="617">
        <f t="shared" si="12"/>
        <v>554843.75</v>
      </c>
      <c r="O31" s="617">
        <f t="shared" si="12"/>
        <v>527625</v>
      </c>
      <c r="P31" s="617">
        <f t="shared" si="12"/>
        <v>500406.25</v>
      </c>
      <c r="Q31" s="617">
        <f t="shared" si="12"/>
        <v>473187.5</v>
      </c>
      <c r="R31" s="617">
        <f t="shared" si="12"/>
        <v>445968.75</v>
      </c>
      <c r="S31" s="175"/>
      <c r="T31" s="175"/>
      <c r="U31" s="175"/>
      <c r="V31" s="175"/>
    </row>
    <row r="32" spans="1:22" x14ac:dyDescent="0.35">
      <c r="A32" s="184" t="s">
        <v>268</v>
      </c>
      <c r="B32" s="617">
        <f>'29C'!B15</f>
        <v>6700000</v>
      </c>
      <c r="C32" s="617">
        <f>C28-C29</f>
        <v>6281250</v>
      </c>
      <c r="D32" s="617">
        <f t="shared" ref="D32:R32" si="13">D28-D29</f>
        <v>5862500</v>
      </c>
      <c r="E32" s="617">
        <f t="shared" si="13"/>
        <v>5443750</v>
      </c>
      <c r="F32" s="617">
        <f t="shared" si="13"/>
        <v>5025000</v>
      </c>
      <c r="G32" s="617">
        <f t="shared" si="13"/>
        <v>4606250</v>
      </c>
      <c r="H32" s="617">
        <f t="shared" si="13"/>
        <v>4187500</v>
      </c>
      <c r="I32" s="617">
        <f t="shared" si="13"/>
        <v>3768750</v>
      </c>
      <c r="J32" s="617">
        <f t="shared" si="13"/>
        <v>3350000</v>
      </c>
      <c r="K32" s="617">
        <f t="shared" si="13"/>
        <v>2931250</v>
      </c>
      <c r="L32" s="617">
        <f t="shared" si="13"/>
        <v>2512500</v>
      </c>
      <c r="M32" s="617">
        <f t="shared" si="13"/>
        <v>2093750</v>
      </c>
      <c r="N32" s="617">
        <f t="shared" si="13"/>
        <v>1675000</v>
      </c>
      <c r="O32" s="617">
        <f t="shared" si="13"/>
        <v>1256250</v>
      </c>
      <c r="P32" s="617">
        <f t="shared" si="13"/>
        <v>837500</v>
      </c>
      <c r="Q32" s="617">
        <f t="shared" si="13"/>
        <v>418750</v>
      </c>
      <c r="R32" s="617">
        <f t="shared" si="13"/>
        <v>0</v>
      </c>
      <c r="S32" s="175"/>
      <c r="T32" s="175"/>
      <c r="U32" s="175"/>
      <c r="V32" s="175"/>
    </row>
    <row r="33" spans="1:22" ht="6.75" customHeight="1" x14ac:dyDescent="0.3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</row>
    <row r="34" spans="1:22" x14ac:dyDescent="0.35">
      <c r="A34" s="181" t="str">
        <f>TECNOLOGIAS!$A$10</f>
        <v>Articulados</v>
      </c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</row>
    <row r="35" spans="1:22" x14ac:dyDescent="0.35">
      <c r="A35" s="184" t="s">
        <v>264</v>
      </c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</row>
    <row r="36" spans="1:22" x14ac:dyDescent="0.35">
      <c r="A36" s="184" t="s">
        <v>265</v>
      </c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</row>
    <row r="37" spans="1:22" x14ac:dyDescent="0.35">
      <c r="A37" s="184" t="s">
        <v>266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</row>
    <row r="38" spans="1:22" x14ac:dyDescent="0.35">
      <c r="A38" s="184" t="s">
        <v>267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</row>
    <row r="39" spans="1:22" x14ac:dyDescent="0.35">
      <c r="A39" s="184" t="s">
        <v>268</v>
      </c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</row>
    <row r="40" spans="1:22" ht="6.75" customHeight="1" x14ac:dyDescent="0.35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</row>
    <row r="41" spans="1:22" x14ac:dyDescent="0.35">
      <c r="A41" s="181" t="str">
        <f>TECNOLOGIAS!$A$11</f>
        <v>Híbrido Piso Baixo</v>
      </c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</row>
    <row r="42" spans="1:22" x14ac:dyDescent="0.35">
      <c r="A42" s="184" t="s">
        <v>264</v>
      </c>
      <c r="B42" s="175"/>
      <c r="C42" s="175"/>
      <c r="D42" s="617">
        <f t="shared" ref="D42:S42" si="14">C46</f>
        <v>3713600</v>
      </c>
      <c r="E42" s="617">
        <f t="shared" si="14"/>
        <v>3481500</v>
      </c>
      <c r="F42" s="617">
        <f t="shared" si="14"/>
        <v>3249400</v>
      </c>
      <c r="G42" s="617">
        <f t="shared" si="14"/>
        <v>3017300</v>
      </c>
      <c r="H42" s="617">
        <f t="shared" si="14"/>
        <v>2785200</v>
      </c>
      <c r="I42" s="617">
        <f t="shared" si="14"/>
        <v>2553100</v>
      </c>
      <c r="J42" s="617">
        <f t="shared" si="14"/>
        <v>2321000</v>
      </c>
      <c r="K42" s="617">
        <f t="shared" si="14"/>
        <v>2088900</v>
      </c>
      <c r="L42" s="617">
        <f t="shared" si="14"/>
        <v>1856800</v>
      </c>
      <c r="M42" s="617">
        <f t="shared" si="14"/>
        <v>1624700</v>
      </c>
      <c r="N42" s="617">
        <f t="shared" si="14"/>
        <v>1392600</v>
      </c>
      <c r="O42" s="617">
        <f t="shared" si="14"/>
        <v>1160500</v>
      </c>
      <c r="P42" s="617">
        <f t="shared" si="14"/>
        <v>928400</v>
      </c>
      <c r="Q42" s="617">
        <f t="shared" si="14"/>
        <v>696300</v>
      </c>
      <c r="R42" s="617">
        <f t="shared" si="14"/>
        <v>464200</v>
      </c>
      <c r="S42" s="617">
        <f t="shared" si="14"/>
        <v>232100</v>
      </c>
      <c r="T42" s="175"/>
      <c r="U42" s="175"/>
      <c r="V42" s="175"/>
    </row>
    <row r="43" spans="1:22" x14ac:dyDescent="0.35">
      <c r="A43" s="184" t="s">
        <v>265</v>
      </c>
      <c r="B43" s="175"/>
      <c r="C43" s="175"/>
      <c r="D43" s="248">
        <v>232100</v>
      </c>
      <c r="E43" s="248">
        <f>D43</f>
        <v>232100</v>
      </c>
      <c r="F43" s="248">
        <f t="shared" ref="F43:S43" si="15">E43</f>
        <v>232100</v>
      </c>
      <c r="G43" s="248">
        <f t="shared" si="15"/>
        <v>232100</v>
      </c>
      <c r="H43" s="248">
        <f t="shared" si="15"/>
        <v>232100</v>
      </c>
      <c r="I43" s="248">
        <f t="shared" si="15"/>
        <v>232100</v>
      </c>
      <c r="J43" s="248">
        <f t="shared" si="15"/>
        <v>232100</v>
      </c>
      <c r="K43" s="248">
        <f t="shared" si="15"/>
        <v>232100</v>
      </c>
      <c r="L43" s="248">
        <f t="shared" si="15"/>
        <v>232100</v>
      </c>
      <c r="M43" s="248">
        <f t="shared" si="15"/>
        <v>232100</v>
      </c>
      <c r="N43" s="248">
        <f t="shared" si="15"/>
        <v>232100</v>
      </c>
      <c r="O43" s="248">
        <f t="shared" si="15"/>
        <v>232100</v>
      </c>
      <c r="P43" s="248">
        <f t="shared" si="15"/>
        <v>232100</v>
      </c>
      <c r="Q43" s="248">
        <f t="shared" si="15"/>
        <v>232100</v>
      </c>
      <c r="R43" s="248">
        <f t="shared" si="15"/>
        <v>232100</v>
      </c>
      <c r="S43" s="248">
        <f t="shared" si="15"/>
        <v>232100</v>
      </c>
      <c r="T43" s="175"/>
      <c r="U43" s="175"/>
      <c r="V43" s="175"/>
    </row>
    <row r="44" spans="1:22" x14ac:dyDescent="0.35">
      <c r="A44" s="184" t="s">
        <v>266</v>
      </c>
      <c r="B44" s="175"/>
      <c r="C44" s="175"/>
      <c r="D44" s="617">
        <f t="shared" ref="D44:S44" si="16">6.5%*D42</f>
        <v>241384</v>
      </c>
      <c r="E44" s="617">
        <f t="shared" si="16"/>
        <v>226297.5</v>
      </c>
      <c r="F44" s="617">
        <f t="shared" si="16"/>
        <v>211211</v>
      </c>
      <c r="G44" s="617">
        <f t="shared" si="16"/>
        <v>196124.5</v>
      </c>
      <c r="H44" s="617">
        <f t="shared" si="16"/>
        <v>181038</v>
      </c>
      <c r="I44" s="617">
        <f t="shared" si="16"/>
        <v>165951.5</v>
      </c>
      <c r="J44" s="617">
        <f t="shared" si="16"/>
        <v>150865</v>
      </c>
      <c r="K44" s="617">
        <f t="shared" si="16"/>
        <v>135778.5</v>
      </c>
      <c r="L44" s="617">
        <f t="shared" si="16"/>
        <v>120692</v>
      </c>
      <c r="M44" s="617">
        <f t="shared" si="16"/>
        <v>105605.5</v>
      </c>
      <c r="N44" s="617">
        <f t="shared" si="16"/>
        <v>90519</v>
      </c>
      <c r="O44" s="617">
        <f t="shared" si="16"/>
        <v>75432.5</v>
      </c>
      <c r="P44" s="617">
        <f t="shared" si="16"/>
        <v>60346</v>
      </c>
      <c r="Q44" s="617">
        <f t="shared" si="16"/>
        <v>45259.5</v>
      </c>
      <c r="R44" s="617">
        <f t="shared" si="16"/>
        <v>30173</v>
      </c>
      <c r="S44" s="617">
        <f t="shared" si="16"/>
        <v>15086.5</v>
      </c>
      <c r="T44" s="175"/>
      <c r="U44" s="175"/>
      <c r="V44" s="175"/>
    </row>
    <row r="45" spans="1:22" x14ac:dyDescent="0.35">
      <c r="A45" s="184" t="s">
        <v>267</v>
      </c>
      <c r="B45" s="175"/>
      <c r="C45" s="175"/>
      <c r="D45" s="617">
        <f t="shared" ref="D45:S45" si="17">D43+D44</f>
        <v>473484</v>
      </c>
      <c r="E45" s="617">
        <f t="shared" si="17"/>
        <v>458397.5</v>
      </c>
      <c r="F45" s="617">
        <f t="shared" si="17"/>
        <v>443311</v>
      </c>
      <c r="G45" s="617">
        <f t="shared" si="17"/>
        <v>428224.5</v>
      </c>
      <c r="H45" s="617">
        <f t="shared" si="17"/>
        <v>413138</v>
      </c>
      <c r="I45" s="617">
        <f t="shared" si="17"/>
        <v>398051.5</v>
      </c>
      <c r="J45" s="617">
        <f t="shared" si="17"/>
        <v>382965</v>
      </c>
      <c r="K45" s="617">
        <f t="shared" si="17"/>
        <v>367878.5</v>
      </c>
      <c r="L45" s="617">
        <f t="shared" si="17"/>
        <v>352792</v>
      </c>
      <c r="M45" s="617">
        <f t="shared" si="17"/>
        <v>337705.5</v>
      </c>
      <c r="N45" s="617">
        <f t="shared" si="17"/>
        <v>322619</v>
      </c>
      <c r="O45" s="617">
        <f t="shared" si="17"/>
        <v>307532.5</v>
      </c>
      <c r="P45" s="617">
        <f t="shared" si="17"/>
        <v>292446</v>
      </c>
      <c r="Q45" s="617">
        <f t="shared" si="17"/>
        <v>277359.5</v>
      </c>
      <c r="R45" s="617">
        <f t="shared" si="17"/>
        <v>262273</v>
      </c>
      <c r="S45" s="617">
        <f t="shared" si="17"/>
        <v>247186.5</v>
      </c>
      <c r="T45" s="175"/>
      <c r="U45" s="175"/>
      <c r="V45" s="175"/>
    </row>
    <row r="46" spans="1:22" x14ac:dyDescent="0.35">
      <c r="A46" s="184" t="s">
        <v>268</v>
      </c>
      <c r="B46" s="175"/>
      <c r="C46" s="617">
        <f>'29E'!C15</f>
        <v>3713600</v>
      </c>
      <c r="D46" s="617">
        <f t="shared" ref="D46:S46" si="18">D42-D43</f>
        <v>3481500</v>
      </c>
      <c r="E46" s="617">
        <f t="shared" si="18"/>
        <v>3249400</v>
      </c>
      <c r="F46" s="617">
        <f t="shared" si="18"/>
        <v>3017300</v>
      </c>
      <c r="G46" s="617">
        <f t="shared" si="18"/>
        <v>2785200</v>
      </c>
      <c r="H46" s="617">
        <f t="shared" si="18"/>
        <v>2553100</v>
      </c>
      <c r="I46" s="617">
        <f t="shared" si="18"/>
        <v>2321000</v>
      </c>
      <c r="J46" s="617">
        <f t="shared" si="18"/>
        <v>2088900</v>
      </c>
      <c r="K46" s="617">
        <f t="shared" si="18"/>
        <v>1856800</v>
      </c>
      <c r="L46" s="617">
        <f t="shared" si="18"/>
        <v>1624700</v>
      </c>
      <c r="M46" s="617">
        <f t="shared" si="18"/>
        <v>1392600</v>
      </c>
      <c r="N46" s="617">
        <f t="shared" si="18"/>
        <v>1160500</v>
      </c>
      <c r="O46" s="617">
        <f t="shared" si="18"/>
        <v>928400</v>
      </c>
      <c r="P46" s="617">
        <f t="shared" si="18"/>
        <v>696300</v>
      </c>
      <c r="Q46" s="617">
        <f t="shared" si="18"/>
        <v>464200</v>
      </c>
      <c r="R46" s="617">
        <f t="shared" si="18"/>
        <v>232100</v>
      </c>
      <c r="S46" s="617">
        <f t="shared" si="18"/>
        <v>0</v>
      </c>
      <c r="T46" s="175"/>
      <c r="U46" s="175"/>
      <c r="V46" s="175"/>
    </row>
    <row r="47" spans="1:22" ht="6.75" customHeight="1" x14ac:dyDescent="0.35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</row>
    <row r="48" spans="1:22" x14ac:dyDescent="0.35">
      <c r="A48" s="181" t="str">
        <f>TECNOLOGIAS!$A$12</f>
        <v>Van Atende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</row>
    <row r="49" spans="1:22" x14ac:dyDescent="0.35">
      <c r="A49" s="184" t="s">
        <v>264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1:22" x14ac:dyDescent="0.35">
      <c r="A50" s="184" t="s">
        <v>265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1:22" x14ac:dyDescent="0.35">
      <c r="A51" s="184" t="s">
        <v>266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</row>
    <row r="52" spans="1:22" x14ac:dyDescent="0.35">
      <c r="A52" s="184" t="s">
        <v>267</v>
      </c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</row>
    <row r="53" spans="1:22" x14ac:dyDescent="0.35">
      <c r="A53" s="184" t="s">
        <v>268</v>
      </c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</row>
    <row r="54" spans="1:22" ht="6.75" customHeight="1" x14ac:dyDescent="0.35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</row>
    <row r="55" spans="1:22" x14ac:dyDescent="0.35">
      <c r="A55" s="181" t="str">
        <f>TECNOLOGIAS!$A$13</f>
        <v>TIPO 7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</row>
    <row r="56" spans="1:22" x14ac:dyDescent="0.35">
      <c r="A56" s="184" t="s">
        <v>264</v>
      </c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</row>
    <row r="57" spans="1:22" x14ac:dyDescent="0.35">
      <c r="A57" s="184" t="s">
        <v>265</v>
      </c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</row>
    <row r="58" spans="1:22" x14ac:dyDescent="0.35">
      <c r="A58" s="184" t="s">
        <v>266</v>
      </c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</row>
    <row r="59" spans="1:22" x14ac:dyDescent="0.35">
      <c r="A59" s="184" t="s">
        <v>267</v>
      </c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</row>
    <row r="60" spans="1:22" x14ac:dyDescent="0.35">
      <c r="A60" s="184" t="s">
        <v>268</v>
      </c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</row>
    <row r="61" spans="1:22" ht="6.75" customHeight="1" x14ac:dyDescent="0.35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</row>
    <row r="62" spans="1:22" x14ac:dyDescent="0.35">
      <c r="A62" s="181" t="str">
        <f>TECNOLOGIAS!$A$14</f>
        <v>TIPO 8</v>
      </c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</row>
    <row r="63" spans="1:22" x14ac:dyDescent="0.35">
      <c r="A63" s="184" t="s">
        <v>264</v>
      </c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</row>
    <row r="64" spans="1:22" x14ac:dyDescent="0.35">
      <c r="A64" s="184" t="s">
        <v>265</v>
      </c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</row>
    <row r="65" spans="1:22" x14ac:dyDescent="0.35">
      <c r="A65" s="184" t="s">
        <v>266</v>
      </c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</row>
    <row r="66" spans="1:22" x14ac:dyDescent="0.35">
      <c r="A66" s="184" t="s">
        <v>267</v>
      </c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</row>
    <row r="67" spans="1:22" x14ac:dyDescent="0.35">
      <c r="A67" s="184" t="s">
        <v>268</v>
      </c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</row>
    <row r="68" spans="1:22" x14ac:dyDescent="0.35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</row>
    <row r="69" spans="1:22" x14ac:dyDescent="0.35">
      <c r="A69" t="s">
        <v>447</v>
      </c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</row>
    <row r="70" spans="1:22" x14ac:dyDescent="0.35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</row>
    <row r="71" spans="1:22" x14ac:dyDescent="0.35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</row>
    <row r="72" spans="1:22" x14ac:dyDescent="0.35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</row>
    <row r="73" spans="1:22" x14ac:dyDescent="0.35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</row>
    <row r="74" spans="1:22" x14ac:dyDescent="0.35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</row>
    <row r="75" spans="1:22" x14ac:dyDescent="0.35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</row>
    <row r="76" spans="1:22" x14ac:dyDescent="0.35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</row>
    <row r="77" spans="1:22" x14ac:dyDescent="0.35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22" x14ac:dyDescent="0.35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</row>
    <row r="79" spans="1:22" x14ac:dyDescent="0.35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</row>
    <row r="80" spans="1:22" x14ac:dyDescent="0.35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</row>
    <row r="81" spans="1:13" x14ac:dyDescent="0.35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</row>
    <row r="82" spans="1:13" x14ac:dyDescent="0.35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</row>
    <row r="83" spans="1:13" x14ac:dyDescent="0.35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</row>
    <row r="84" spans="1:13" x14ac:dyDescent="0.35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</row>
    <row r="85" spans="1:13" x14ac:dyDescent="0.35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</row>
    <row r="86" spans="1:13" x14ac:dyDescent="0.35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</row>
    <row r="87" spans="1:13" x14ac:dyDescent="0.35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</row>
    <row r="88" spans="1:13" x14ac:dyDescent="0.35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</row>
    <row r="89" spans="1:13" x14ac:dyDescent="0.35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</row>
    <row r="90" spans="1:13" x14ac:dyDescent="0.35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</row>
    <row r="91" spans="1:13" x14ac:dyDescent="0.35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3" x14ac:dyDescent="0.35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</row>
    <row r="93" spans="1:13" x14ac:dyDescent="0.35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</row>
    <row r="94" spans="1:13" x14ac:dyDescent="0.35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</row>
    <row r="95" spans="1:13" x14ac:dyDescent="0.35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</row>
    <row r="96" spans="1:13" x14ac:dyDescent="0.35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</row>
    <row r="97" spans="1:13" x14ac:dyDescent="0.35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</row>
    <row r="98" spans="1:13" x14ac:dyDescent="0.35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</row>
    <row r="99" spans="1:13" x14ac:dyDescent="0.35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</row>
    <row r="100" spans="1:13" x14ac:dyDescent="0.35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</row>
    <row r="101" spans="1:13" x14ac:dyDescent="0.35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</row>
    <row r="102" spans="1:13" x14ac:dyDescent="0.35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</row>
    <row r="103" spans="1:13" x14ac:dyDescent="0.35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</row>
    <row r="104" spans="1:13" x14ac:dyDescent="0.35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</row>
    <row r="105" spans="1:13" x14ac:dyDescent="0.35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3" x14ac:dyDescent="0.35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</row>
    <row r="107" spans="1:13" x14ac:dyDescent="0.35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</row>
    <row r="108" spans="1:13" x14ac:dyDescent="0.35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</row>
    <row r="109" spans="1:13" x14ac:dyDescent="0.35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</row>
    <row r="110" spans="1:13" x14ac:dyDescent="0.35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</row>
    <row r="111" spans="1:13" x14ac:dyDescent="0.35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</row>
    <row r="112" spans="1:13" x14ac:dyDescent="0.35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</row>
    <row r="113" spans="1:13" x14ac:dyDescent="0.35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</row>
    <row r="114" spans="1:13" x14ac:dyDescent="0.35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</row>
    <row r="115" spans="1:13" x14ac:dyDescent="0.35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</row>
    <row r="116" spans="1:13" x14ac:dyDescent="0.35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</row>
    <row r="117" spans="1:13" x14ac:dyDescent="0.35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</row>
    <row r="118" spans="1:13" x14ac:dyDescent="0.35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</row>
    <row r="119" spans="1:13" x14ac:dyDescent="0.35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3" x14ac:dyDescent="0.35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</row>
    <row r="121" spans="1:13" x14ac:dyDescent="0.35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</row>
    <row r="122" spans="1:13" x14ac:dyDescent="0.35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</row>
    <row r="123" spans="1:13" x14ac:dyDescent="0.35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</row>
    <row r="124" spans="1:13" x14ac:dyDescent="0.35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</row>
    <row r="125" spans="1:13" x14ac:dyDescent="0.35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</row>
    <row r="126" spans="1:13" x14ac:dyDescent="0.35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</row>
    <row r="127" spans="1:13" x14ac:dyDescent="0.35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</row>
    <row r="128" spans="1:13" x14ac:dyDescent="0.35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</row>
    <row r="129" spans="1:13" x14ac:dyDescent="0.35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</row>
    <row r="130" spans="1:13" x14ac:dyDescent="0.35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</row>
    <row r="131" spans="1:13" x14ac:dyDescent="0.35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</row>
    <row r="132" spans="1:13" x14ac:dyDescent="0.35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</row>
    <row r="133" spans="1:13" x14ac:dyDescent="0.35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3" x14ac:dyDescent="0.35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</row>
    <row r="135" spans="1:13" x14ac:dyDescent="0.35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</row>
    <row r="136" spans="1:13" x14ac:dyDescent="0.35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</row>
    <row r="137" spans="1:13" x14ac:dyDescent="0.35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</row>
    <row r="138" spans="1:13" x14ac:dyDescent="0.35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</row>
    <row r="139" spans="1:13" x14ac:dyDescent="0.35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</row>
    <row r="140" spans="1:13" x14ac:dyDescent="0.35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</row>
    <row r="141" spans="1:13" x14ac:dyDescent="0.35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</row>
    <row r="142" spans="1:13" x14ac:dyDescent="0.35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</row>
    <row r="143" spans="1:13" x14ac:dyDescent="0.35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</row>
    <row r="144" spans="1:13" x14ac:dyDescent="0.35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</row>
    <row r="145" spans="1:13" x14ac:dyDescent="0.35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</row>
    <row r="146" spans="1:13" x14ac:dyDescent="0.35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</row>
    <row r="147" spans="1:13" x14ac:dyDescent="0.35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3" x14ac:dyDescent="0.35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</row>
    <row r="149" spans="1:13" x14ac:dyDescent="0.35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</row>
    <row r="150" spans="1:13" x14ac:dyDescent="0.35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</row>
    <row r="151" spans="1:13" x14ac:dyDescent="0.35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</row>
    <row r="152" spans="1:13" x14ac:dyDescent="0.35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</row>
    <row r="153" spans="1:13" x14ac:dyDescent="0.35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</row>
    <row r="154" spans="1:13" x14ac:dyDescent="0.35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</row>
    <row r="155" spans="1:13" x14ac:dyDescent="0.3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</row>
    <row r="156" spans="1:13" x14ac:dyDescent="0.35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</row>
    <row r="157" spans="1:13" x14ac:dyDescent="0.35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</row>
    <row r="158" spans="1:13" x14ac:dyDescent="0.35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</row>
    <row r="159" spans="1:13" x14ac:dyDescent="0.35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</row>
    <row r="160" spans="1:13" x14ac:dyDescent="0.35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</row>
    <row r="161" spans="1:13" x14ac:dyDescent="0.35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</row>
    <row r="162" spans="1:13" x14ac:dyDescent="0.35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</row>
    <row r="163" spans="1:13" x14ac:dyDescent="0.35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</row>
    <row r="164" spans="1:13" x14ac:dyDescent="0.35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</row>
    <row r="165" spans="1:13" x14ac:dyDescent="0.35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</row>
    <row r="166" spans="1:13" x14ac:dyDescent="0.35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</row>
    <row r="167" spans="1:13" x14ac:dyDescent="0.35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</row>
    <row r="168" spans="1:13" x14ac:dyDescent="0.35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</row>
    <row r="169" spans="1:13" x14ac:dyDescent="0.35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</row>
    <row r="170" spans="1:13" x14ac:dyDescent="0.35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</row>
    <row r="171" spans="1:13" x14ac:dyDescent="0.35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</row>
    <row r="172" spans="1:13" x14ac:dyDescent="0.35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</row>
    <row r="173" spans="1:13" x14ac:dyDescent="0.35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</row>
    <row r="174" spans="1:13" x14ac:dyDescent="0.35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</row>
    <row r="175" spans="1:13" x14ac:dyDescent="0.35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</row>
    <row r="176" spans="1:13" x14ac:dyDescent="0.35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</row>
    <row r="177" spans="1:13" x14ac:dyDescent="0.35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</row>
    <row r="178" spans="1:13" x14ac:dyDescent="0.35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</row>
    <row r="179" spans="1:13" x14ac:dyDescent="0.35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</row>
    <row r="180" spans="1:13" x14ac:dyDescent="0.35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</row>
    <row r="181" spans="1:13" x14ac:dyDescent="0.35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</row>
    <row r="182" spans="1:13" x14ac:dyDescent="0.35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</row>
    <row r="183" spans="1:13" x14ac:dyDescent="0.35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</row>
    <row r="184" spans="1:13" x14ac:dyDescent="0.35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</row>
    <row r="185" spans="1:13" x14ac:dyDescent="0.35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</row>
    <row r="186" spans="1:13" x14ac:dyDescent="0.35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</row>
    <row r="187" spans="1:13" x14ac:dyDescent="0.35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</row>
    <row r="188" spans="1:13" x14ac:dyDescent="0.35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</row>
    <row r="189" spans="1:13" x14ac:dyDescent="0.35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</row>
    <row r="190" spans="1:13" x14ac:dyDescent="0.35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</row>
    <row r="191" spans="1:13" x14ac:dyDescent="0.35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</row>
    <row r="192" spans="1:13" x14ac:dyDescent="0.35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</row>
    <row r="193" spans="1:13" x14ac:dyDescent="0.35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</row>
    <row r="194" spans="1:13" x14ac:dyDescent="0.35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</row>
    <row r="195" spans="1:13" x14ac:dyDescent="0.35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</row>
    <row r="196" spans="1:13" x14ac:dyDescent="0.35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</row>
    <row r="197" spans="1:13" x14ac:dyDescent="0.35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</row>
    <row r="198" spans="1:13" x14ac:dyDescent="0.35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</row>
    <row r="199" spans="1:13" x14ac:dyDescent="0.35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</row>
    <row r="200" spans="1:13" x14ac:dyDescent="0.35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</row>
    <row r="201" spans="1:13" x14ac:dyDescent="0.35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</row>
    <row r="202" spans="1:13" x14ac:dyDescent="0.35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</row>
    <row r="203" spans="1:13" x14ac:dyDescent="0.35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</row>
    <row r="204" spans="1:13" x14ac:dyDescent="0.35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</row>
    <row r="205" spans="1:13" x14ac:dyDescent="0.35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</row>
    <row r="206" spans="1:13" x14ac:dyDescent="0.35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</row>
    <row r="207" spans="1:13" x14ac:dyDescent="0.35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</row>
    <row r="208" spans="1:13" x14ac:dyDescent="0.35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</row>
    <row r="209" spans="1:13" x14ac:dyDescent="0.35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</row>
    <row r="210" spans="1:13" x14ac:dyDescent="0.35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</row>
    <row r="211" spans="1:13" x14ac:dyDescent="0.35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</row>
    <row r="212" spans="1:13" x14ac:dyDescent="0.35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</row>
    <row r="213" spans="1:13" x14ac:dyDescent="0.35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</row>
    <row r="214" spans="1:13" x14ac:dyDescent="0.35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</row>
    <row r="215" spans="1:13" x14ac:dyDescent="0.35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</row>
    <row r="216" spans="1:13" x14ac:dyDescent="0.35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</row>
    <row r="217" spans="1:13" x14ac:dyDescent="0.35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</row>
    <row r="218" spans="1:13" x14ac:dyDescent="0.35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</row>
    <row r="219" spans="1:13" x14ac:dyDescent="0.35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</row>
    <row r="220" spans="1:13" x14ac:dyDescent="0.35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</row>
    <row r="221" spans="1:13" x14ac:dyDescent="0.35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</row>
    <row r="222" spans="1:13" x14ac:dyDescent="0.35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</row>
    <row r="223" spans="1:13" x14ac:dyDescent="0.35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</row>
    <row r="224" spans="1:13" x14ac:dyDescent="0.35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</row>
    <row r="225" spans="1:13" x14ac:dyDescent="0.35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</row>
    <row r="226" spans="1:13" x14ac:dyDescent="0.35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</row>
    <row r="227" spans="1:13" x14ac:dyDescent="0.35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</row>
    <row r="228" spans="1:13" x14ac:dyDescent="0.35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</row>
    <row r="229" spans="1:13" x14ac:dyDescent="0.35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</row>
    <row r="230" spans="1:13" x14ac:dyDescent="0.35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</row>
    <row r="231" spans="1:13" x14ac:dyDescent="0.35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</row>
    <row r="232" spans="1:13" x14ac:dyDescent="0.35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</row>
    <row r="233" spans="1:13" x14ac:dyDescent="0.35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</row>
    <row r="234" spans="1:13" x14ac:dyDescent="0.35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</row>
    <row r="235" spans="1:13" x14ac:dyDescent="0.35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</row>
    <row r="236" spans="1:13" x14ac:dyDescent="0.35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</row>
    <row r="237" spans="1:13" x14ac:dyDescent="0.35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</row>
    <row r="238" spans="1:13" x14ac:dyDescent="0.35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</row>
    <row r="239" spans="1:13" x14ac:dyDescent="0.35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</row>
    <row r="240" spans="1:13" x14ac:dyDescent="0.35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</row>
    <row r="241" spans="1:13" x14ac:dyDescent="0.35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</row>
    <row r="242" spans="1:13" x14ac:dyDescent="0.35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</row>
    <row r="243" spans="1:13" x14ac:dyDescent="0.35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</row>
    <row r="244" spans="1:13" x14ac:dyDescent="0.35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</row>
    <row r="245" spans="1:13" x14ac:dyDescent="0.35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</row>
    <row r="246" spans="1:13" x14ac:dyDescent="0.35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</row>
    <row r="247" spans="1:13" x14ac:dyDescent="0.35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</row>
    <row r="248" spans="1:13" x14ac:dyDescent="0.35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</row>
    <row r="249" spans="1:13" x14ac:dyDescent="0.35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</row>
    <row r="250" spans="1:13" x14ac:dyDescent="0.35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</row>
    <row r="251" spans="1:13" x14ac:dyDescent="0.35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</row>
    <row r="252" spans="1:13" x14ac:dyDescent="0.35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</row>
    <row r="253" spans="1:13" x14ac:dyDescent="0.35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</row>
    <row r="254" spans="1:13" x14ac:dyDescent="0.35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</row>
    <row r="255" spans="1:13" x14ac:dyDescent="0.35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</row>
    <row r="256" spans="1:13" x14ac:dyDescent="0.35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</row>
    <row r="257" spans="1:13" x14ac:dyDescent="0.35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</row>
    <row r="258" spans="1:13" x14ac:dyDescent="0.35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</row>
    <row r="259" spans="1:13" x14ac:dyDescent="0.35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</row>
    <row r="260" spans="1:13" x14ac:dyDescent="0.35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</row>
    <row r="261" spans="1:13" x14ac:dyDescent="0.35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</row>
    <row r="262" spans="1:13" x14ac:dyDescent="0.35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</row>
    <row r="263" spans="1:13" x14ac:dyDescent="0.35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</row>
    <row r="264" spans="1:13" x14ac:dyDescent="0.35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</row>
    <row r="265" spans="1:13" x14ac:dyDescent="0.35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</row>
    <row r="266" spans="1:13" x14ac:dyDescent="0.35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</row>
    <row r="267" spans="1:13" x14ac:dyDescent="0.35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</row>
    <row r="268" spans="1:13" x14ac:dyDescent="0.35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</row>
    <row r="269" spans="1:13" x14ac:dyDescent="0.35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</row>
    <row r="270" spans="1:13" x14ac:dyDescent="0.35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</row>
    <row r="271" spans="1:13" x14ac:dyDescent="0.35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</row>
    <row r="272" spans="1:13" x14ac:dyDescent="0.35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</row>
    <row r="273" spans="1:13" x14ac:dyDescent="0.35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</row>
    <row r="274" spans="1:13" x14ac:dyDescent="0.35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</row>
    <row r="275" spans="1:13" x14ac:dyDescent="0.35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</row>
    <row r="276" spans="1:13" x14ac:dyDescent="0.35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</row>
    <row r="277" spans="1:13" x14ac:dyDescent="0.35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</row>
    <row r="278" spans="1:13" x14ac:dyDescent="0.35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</row>
    <row r="279" spans="1:13" x14ac:dyDescent="0.35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</row>
    <row r="280" spans="1:13" x14ac:dyDescent="0.35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</row>
    <row r="281" spans="1:13" x14ac:dyDescent="0.35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</row>
    <row r="282" spans="1:13" x14ac:dyDescent="0.35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</row>
    <row r="283" spans="1:13" x14ac:dyDescent="0.35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</row>
    <row r="284" spans="1:13" x14ac:dyDescent="0.35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</row>
    <row r="285" spans="1:13" x14ac:dyDescent="0.35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</row>
    <row r="286" spans="1:13" x14ac:dyDescent="0.35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</row>
    <row r="287" spans="1:13" x14ac:dyDescent="0.35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</row>
    <row r="288" spans="1:13" x14ac:dyDescent="0.35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</row>
    <row r="289" spans="1:13" x14ac:dyDescent="0.35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</row>
    <row r="290" spans="1:13" x14ac:dyDescent="0.35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</row>
    <row r="291" spans="1:13" x14ac:dyDescent="0.35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</row>
    <row r="292" spans="1:13" x14ac:dyDescent="0.35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</row>
    <row r="293" spans="1:13" x14ac:dyDescent="0.35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</row>
    <row r="294" spans="1:13" x14ac:dyDescent="0.35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</row>
    <row r="295" spans="1:13" x14ac:dyDescent="0.35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</row>
    <row r="296" spans="1:13" x14ac:dyDescent="0.35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</row>
    <row r="297" spans="1:13" x14ac:dyDescent="0.35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</row>
    <row r="298" spans="1:13" x14ac:dyDescent="0.35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</row>
    <row r="299" spans="1:13" x14ac:dyDescent="0.35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</row>
    <row r="300" spans="1:13" x14ac:dyDescent="0.35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</row>
    <row r="301" spans="1:13" x14ac:dyDescent="0.35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</row>
    <row r="302" spans="1:13" x14ac:dyDescent="0.35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</row>
    <row r="303" spans="1:13" x14ac:dyDescent="0.35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</row>
    <row r="304" spans="1:13" x14ac:dyDescent="0.35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</row>
    <row r="305" spans="1:13" x14ac:dyDescent="0.35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</row>
    <row r="306" spans="1:13" x14ac:dyDescent="0.35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</row>
    <row r="307" spans="1:13" x14ac:dyDescent="0.35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</row>
    <row r="308" spans="1:13" x14ac:dyDescent="0.35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</row>
    <row r="309" spans="1:13" x14ac:dyDescent="0.35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</row>
    <row r="310" spans="1:13" x14ac:dyDescent="0.35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</row>
    <row r="311" spans="1:13" x14ac:dyDescent="0.35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</row>
    <row r="312" spans="1:13" x14ac:dyDescent="0.35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</row>
    <row r="313" spans="1:13" x14ac:dyDescent="0.35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</row>
    <row r="314" spans="1:13" x14ac:dyDescent="0.35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</row>
    <row r="315" spans="1:13" x14ac:dyDescent="0.35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</row>
    <row r="316" spans="1:13" x14ac:dyDescent="0.35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</row>
    <row r="317" spans="1:13" x14ac:dyDescent="0.35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</row>
    <row r="318" spans="1:13" x14ac:dyDescent="0.35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</row>
    <row r="319" spans="1:13" x14ac:dyDescent="0.35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</row>
    <row r="320" spans="1:13" x14ac:dyDescent="0.35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</row>
    <row r="321" spans="1:13" x14ac:dyDescent="0.35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</row>
    <row r="322" spans="1:13" x14ac:dyDescent="0.35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</row>
    <row r="323" spans="1:13" x14ac:dyDescent="0.35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</row>
    <row r="324" spans="1:13" x14ac:dyDescent="0.35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</row>
    <row r="325" spans="1:13" x14ac:dyDescent="0.35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</row>
    <row r="326" spans="1:13" x14ac:dyDescent="0.35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</row>
    <row r="327" spans="1:13" x14ac:dyDescent="0.35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</row>
    <row r="328" spans="1:13" x14ac:dyDescent="0.35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</row>
    <row r="329" spans="1:13" x14ac:dyDescent="0.35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</row>
    <row r="330" spans="1:13" x14ac:dyDescent="0.35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</row>
    <row r="331" spans="1:13" x14ac:dyDescent="0.35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</row>
    <row r="332" spans="1:13" x14ac:dyDescent="0.35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</row>
    <row r="333" spans="1:13" x14ac:dyDescent="0.35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</row>
    <row r="334" spans="1:13" x14ac:dyDescent="0.35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</row>
    <row r="335" spans="1:13" x14ac:dyDescent="0.35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</row>
    <row r="336" spans="1:13" x14ac:dyDescent="0.35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</row>
    <row r="337" spans="1:13" x14ac:dyDescent="0.35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</row>
    <row r="338" spans="1:13" x14ac:dyDescent="0.35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</row>
    <row r="339" spans="1:13" x14ac:dyDescent="0.35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</row>
    <row r="340" spans="1:13" x14ac:dyDescent="0.35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</row>
    <row r="341" spans="1:13" x14ac:dyDescent="0.35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</row>
    <row r="342" spans="1:13" x14ac:dyDescent="0.35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</row>
    <row r="343" spans="1:13" x14ac:dyDescent="0.35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</row>
    <row r="344" spans="1:13" x14ac:dyDescent="0.35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</row>
    <row r="345" spans="1:13" x14ac:dyDescent="0.35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</row>
    <row r="346" spans="1:13" x14ac:dyDescent="0.35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</row>
    <row r="347" spans="1:13" x14ac:dyDescent="0.35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</row>
    <row r="348" spans="1:13" x14ac:dyDescent="0.35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</row>
    <row r="349" spans="1:13" x14ac:dyDescent="0.35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</row>
    <row r="350" spans="1:13" x14ac:dyDescent="0.35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</row>
    <row r="351" spans="1:13" x14ac:dyDescent="0.35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</row>
    <row r="352" spans="1:13" x14ac:dyDescent="0.35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</row>
    <row r="353" spans="1:13" x14ac:dyDescent="0.35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</row>
    <row r="354" spans="1:13" x14ac:dyDescent="0.35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</row>
    <row r="355" spans="1:13" x14ac:dyDescent="0.35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</row>
    <row r="356" spans="1:13" x14ac:dyDescent="0.35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</row>
    <row r="357" spans="1:13" x14ac:dyDescent="0.35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</row>
    <row r="358" spans="1:13" x14ac:dyDescent="0.35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</row>
    <row r="359" spans="1:13" x14ac:dyDescent="0.35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</row>
    <row r="360" spans="1:13" x14ac:dyDescent="0.35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</row>
    <row r="361" spans="1:13" x14ac:dyDescent="0.35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</row>
    <row r="362" spans="1:13" x14ac:dyDescent="0.35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</row>
    <row r="363" spans="1:13" x14ac:dyDescent="0.35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</row>
    <row r="364" spans="1:13" x14ac:dyDescent="0.35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</row>
    <row r="365" spans="1:13" x14ac:dyDescent="0.35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</row>
    <row r="366" spans="1:13" x14ac:dyDescent="0.35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</row>
    <row r="367" spans="1:13" x14ac:dyDescent="0.35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</row>
    <row r="368" spans="1:13" x14ac:dyDescent="0.35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</row>
    <row r="369" spans="1:13" x14ac:dyDescent="0.35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</row>
    <row r="370" spans="1:13" x14ac:dyDescent="0.35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</row>
    <row r="371" spans="1:13" x14ac:dyDescent="0.35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</row>
    <row r="372" spans="1:13" x14ac:dyDescent="0.35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</row>
    <row r="373" spans="1:13" x14ac:dyDescent="0.35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</row>
    <row r="374" spans="1:13" x14ac:dyDescent="0.35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</row>
    <row r="375" spans="1:13" x14ac:dyDescent="0.35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</row>
    <row r="376" spans="1:13" x14ac:dyDescent="0.35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</row>
    <row r="377" spans="1:13" x14ac:dyDescent="0.35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</row>
    <row r="378" spans="1:13" x14ac:dyDescent="0.35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</row>
    <row r="379" spans="1:13" x14ac:dyDescent="0.35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</row>
    <row r="380" spans="1:13" x14ac:dyDescent="0.35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</row>
    <row r="381" spans="1:13" x14ac:dyDescent="0.35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</row>
    <row r="382" spans="1:13" x14ac:dyDescent="0.35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</row>
    <row r="383" spans="1:13" x14ac:dyDescent="0.35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</row>
    <row r="384" spans="1:13" x14ac:dyDescent="0.35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</row>
    <row r="385" spans="1:13" x14ac:dyDescent="0.35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</row>
    <row r="386" spans="1:13" x14ac:dyDescent="0.35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</row>
    <row r="387" spans="1:13" x14ac:dyDescent="0.35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</row>
    <row r="388" spans="1:13" x14ac:dyDescent="0.35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</row>
    <row r="389" spans="1:13" x14ac:dyDescent="0.35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</row>
    <row r="390" spans="1:13" x14ac:dyDescent="0.35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</row>
    <row r="391" spans="1:13" x14ac:dyDescent="0.35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</row>
    <row r="392" spans="1:13" x14ac:dyDescent="0.35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</row>
    <row r="393" spans="1:13" x14ac:dyDescent="0.35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</row>
    <row r="394" spans="1:13" x14ac:dyDescent="0.35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</row>
    <row r="395" spans="1:13" x14ac:dyDescent="0.35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</row>
    <row r="396" spans="1:13" x14ac:dyDescent="0.35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</row>
    <row r="397" spans="1:13" x14ac:dyDescent="0.35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</row>
    <row r="398" spans="1:13" x14ac:dyDescent="0.35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</row>
    <row r="399" spans="1:13" x14ac:dyDescent="0.35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</row>
    <row r="400" spans="1:13" x14ac:dyDescent="0.35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</row>
    <row r="401" spans="1:13" x14ac:dyDescent="0.35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</row>
    <row r="402" spans="1:13" x14ac:dyDescent="0.35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</row>
    <row r="403" spans="1:13" x14ac:dyDescent="0.35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</row>
    <row r="404" spans="1:13" x14ac:dyDescent="0.35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</row>
    <row r="405" spans="1:13" x14ac:dyDescent="0.35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</row>
    <row r="406" spans="1:13" x14ac:dyDescent="0.35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</row>
    <row r="407" spans="1:13" x14ac:dyDescent="0.35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</row>
    <row r="408" spans="1:13" x14ac:dyDescent="0.35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</row>
    <row r="409" spans="1:13" x14ac:dyDescent="0.35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</row>
    <row r="410" spans="1:13" x14ac:dyDescent="0.35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</row>
    <row r="411" spans="1:13" x14ac:dyDescent="0.35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</row>
    <row r="412" spans="1:13" x14ac:dyDescent="0.35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</row>
    <row r="413" spans="1:13" x14ac:dyDescent="0.35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</row>
    <row r="414" spans="1:13" x14ac:dyDescent="0.35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</row>
    <row r="415" spans="1:13" x14ac:dyDescent="0.35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</row>
    <row r="416" spans="1:13" x14ac:dyDescent="0.35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</row>
    <row r="417" spans="1:13" x14ac:dyDescent="0.35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</row>
    <row r="418" spans="1:13" x14ac:dyDescent="0.35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</row>
    <row r="419" spans="1:13" x14ac:dyDescent="0.35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</row>
    <row r="420" spans="1:13" x14ac:dyDescent="0.35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</row>
    <row r="421" spans="1:13" x14ac:dyDescent="0.35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</row>
    <row r="422" spans="1:13" x14ac:dyDescent="0.35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</row>
    <row r="423" spans="1:13" x14ac:dyDescent="0.35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</row>
    <row r="424" spans="1:13" x14ac:dyDescent="0.35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</row>
    <row r="425" spans="1:13" x14ac:dyDescent="0.35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</row>
    <row r="426" spans="1:13" x14ac:dyDescent="0.35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</row>
    <row r="427" spans="1:13" x14ac:dyDescent="0.35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</row>
    <row r="428" spans="1:13" x14ac:dyDescent="0.35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</row>
    <row r="429" spans="1:13" x14ac:dyDescent="0.35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</row>
    <row r="430" spans="1:13" x14ac:dyDescent="0.35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</row>
    <row r="431" spans="1:13" x14ac:dyDescent="0.35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</row>
    <row r="432" spans="1:13" x14ac:dyDescent="0.35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</row>
    <row r="433" spans="1:13" x14ac:dyDescent="0.35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</row>
    <row r="434" spans="1:13" x14ac:dyDescent="0.35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</row>
    <row r="435" spans="1:13" x14ac:dyDescent="0.35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</row>
    <row r="436" spans="1:13" x14ac:dyDescent="0.35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</row>
    <row r="437" spans="1:13" x14ac:dyDescent="0.35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</row>
    <row r="438" spans="1:13" x14ac:dyDescent="0.35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</row>
    <row r="439" spans="1:13" x14ac:dyDescent="0.35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</row>
    <row r="440" spans="1:13" x14ac:dyDescent="0.35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</row>
    <row r="441" spans="1:13" x14ac:dyDescent="0.35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</row>
    <row r="442" spans="1:13" x14ac:dyDescent="0.35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</row>
    <row r="443" spans="1:13" x14ac:dyDescent="0.35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</row>
    <row r="444" spans="1:13" x14ac:dyDescent="0.35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</row>
    <row r="445" spans="1:13" x14ac:dyDescent="0.35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</row>
    <row r="446" spans="1:13" x14ac:dyDescent="0.35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</row>
    <row r="447" spans="1:13" x14ac:dyDescent="0.35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</row>
    <row r="448" spans="1:13" x14ac:dyDescent="0.35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</row>
    <row r="449" spans="1:13" x14ac:dyDescent="0.35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</row>
    <row r="450" spans="1:13" x14ac:dyDescent="0.35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</row>
    <row r="451" spans="1:13" x14ac:dyDescent="0.35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</row>
    <row r="452" spans="1:13" x14ac:dyDescent="0.35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</row>
    <row r="453" spans="1:13" x14ac:dyDescent="0.35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</row>
    <row r="454" spans="1:13" x14ac:dyDescent="0.35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</row>
    <row r="455" spans="1:13" x14ac:dyDescent="0.35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</row>
    <row r="456" spans="1:13" x14ac:dyDescent="0.35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</row>
    <row r="457" spans="1:13" x14ac:dyDescent="0.35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</row>
    <row r="458" spans="1:13" x14ac:dyDescent="0.35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</row>
    <row r="459" spans="1:13" x14ac:dyDescent="0.35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</row>
    <row r="460" spans="1:13" x14ac:dyDescent="0.35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</row>
    <row r="461" spans="1:13" x14ac:dyDescent="0.35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</row>
    <row r="462" spans="1:13" x14ac:dyDescent="0.35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</row>
    <row r="463" spans="1:13" x14ac:dyDescent="0.35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</row>
    <row r="464" spans="1:13" x14ac:dyDescent="0.35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</row>
    <row r="465" spans="1:13" x14ac:dyDescent="0.35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</row>
    <row r="466" spans="1:13" x14ac:dyDescent="0.35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</row>
    <row r="467" spans="1:13" x14ac:dyDescent="0.35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</row>
    <row r="468" spans="1:13" x14ac:dyDescent="0.35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</row>
    <row r="469" spans="1:13" x14ac:dyDescent="0.35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</row>
    <row r="470" spans="1:13" x14ac:dyDescent="0.35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</row>
    <row r="471" spans="1:13" x14ac:dyDescent="0.35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</row>
    <row r="472" spans="1:13" x14ac:dyDescent="0.35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</row>
    <row r="473" spans="1:13" x14ac:dyDescent="0.35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</row>
    <row r="474" spans="1:13" x14ac:dyDescent="0.35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</row>
    <row r="475" spans="1:13" x14ac:dyDescent="0.35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</row>
    <row r="476" spans="1:13" x14ac:dyDescent="0.35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</row>
    <row r="477" spans="1:13" x14ac:dyDescent="0.35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</row>
    <row r="478" spans="1:13" x14ac:dyDescent="0.35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</row>
    <row r="479" spans="1:13" x14ac:dyDescent="0.35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</row>
    <row r="480" spans="1:13" x14ac:dyDescent="0.35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</row>
    <row r="481" spans="1:13" x14ac:dyDescent="0.35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</row>
    <row r="482" spans="1:13" x14ac:dyDescent="0.35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</row>
    <row r="483" spans="1:13" x14ac:dyDescent="0.35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</row>
    <row r="484" spans="1:13" x14ac:dyDescent="0.35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</row>
    <row r="485" spans="1:13" x14ac:dyDescent="0.35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</row>
    <row r="486" spans="1:13" x14ac:dyDescent="0.35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</row>
    <row r="487" spans="1:13" x14ac:dyDescent="0.35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</row>
    <row r="488" spans="1:13" x14ac:dyDescent="0.35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</row>
    <row r="489" spans="1:13" x14ac:dyDescent="0.35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</row>
    <row r="490" spans="1:13" x14ac:dyDescent="0.35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</row>
    <row r="491" spans="1:13" x14ac:dyDescent="0.35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</row>
    <row r="492" spans="1:13" x14ac:dyDescent="0.35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</row>
    <row r="493" spans="1:13" x14ac:dyDescent="0.35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</row>
    <row r="494" spans="1:13" x14ac:dyDescent="0.35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</row>
    <row r="495" spans="1:13" x14ac:dyDescent="0.35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</row>
    <row r="496" spans="1:13" x14ac:dyDescent="0.35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</row>
    <row r="497" spans="1:13" x14ac:dyDescent="0.35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</row>
    <row r="498" spans="1:13" x14ac:dyDescent="0.35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</row>
    <row r="499" spans="1:13" x14ac:dyDescent="0.35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</row>
    <row r="500" spans="1:13" x14ac:dyDescent="0.35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</row>
    <row r="501" spans="1:13" x14ac:dyDescent="0.35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</row>
    <row r="502" spans="1:13" x14ac:dyDescent="0.35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</row>
    <row r="503" spans="1:13" x14ac:dyDescent="0.35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</row>
    <row r="504" spans="1:13" x14ac:dyDescent="0.35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</row>
    <row r="505" spans="1:13" x14ac:dyDescent="0.35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</row>
    <row r="506" spans="1:13" x14ac:dyDescent="0.35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</row>
    <row r="507" spans="1:13" x14ac:dyDescent="0.35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</row>
    <row r="508" spans="1:13" x14ac:dyDescent="0.35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</row>
    <row r="509" spans="1:13" x14ac:dyDescent="0.35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</row>
    <row r="510" spans="1:13" x14ac:dyDescent="0.35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</row>
    <row r="511" spans="1:13" x14ac:dyDescent="0.35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</row>
    <row r="512" spans="1:13" x14ac:dyDescent="0.35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</row>
    <row r="513" spans="1:13" x14ac:dyDescent="0.35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</row>
    <row r="514" spans="1:13" x14ac:dyDescent="0.35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</row>
    <row r="515" spans="1:13" x14ac:dyDescent="0.35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</row>
    <row r="516" spans="1:13" x14ac:dyDescent="0.35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</row>
    <row r="517" spans="1:13" x14ac:dyDescent="0.35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</row>
    <row r="518" spans="1:13" x14ac:dyDescent="0.35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</row>
    <row r="519" spans="1:13" x14ac:dyDescent="0.35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</row>
    <row r="520" spans="1:13" x14ac:dyDescent="0.35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</row>
    <row r="521" spans="1:13" x14ac:dyDescent="0.35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</row>
    <row r="522" spans="1:13" x14ac:dyDescent="0.35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</row>
    <row r="523" spans="1:13" x14ac:dyDescent="0.35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</row>
    <row r="524" spans="1:13" x14ac:dyDescent="0.35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</row>
    <row r="525" spans="1:13" x14ac:dyDescent="0.35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</row>
    <row r="526" spans="1:13" x14ac:dyDescent="0.35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</row>
    <row r="527" spans="1:13" x14ac:dyDescent="0.35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</row>
    <row r="528" spans="1:13" x14ac:dyDescent="0.35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</row>
    <row r="529" spans="1:13" x14ac:dyDescent="0.35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</row>
    <row r="530" spans="1:13" x14ac:dyDescent="0.35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</row>
    <row r="531" spans="1:13" x14ac:dyDescent="0.35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</row>
    <row r="532" spans="1:13" x14ac:dyDescent="0.35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</row>
    <row r="533" spans="1:13" x14ac:dyDescent="0.35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</row>
    <row r="534" spans="1:13" x14ac:dyDescent="0.35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</row>
    <row r="535" spans="1:13" x14ac:dyDescent="0.35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</row>
    <row r="536" spans="1:13" x14ac:dyDescent="0.35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</row>
    <row r="537" spans="1:13" x14ac:dyDescent="0.35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</row>
    <row r="538" spans="1:13" x14ac:dyDescent="0.35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</row>
    <row r="539" spans="1:13" x14ac:dyDescent="0.35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</row>
    <row r="540" spans="1:13" x14ac:dyDescent="0.35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</row>
    <row r="541" spans="1:13" x14ac:dyDescent="0.35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</row>
    <row r="542" spans="1:13" x14ac:dyDescent="0.35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</row>
    <row r="543" spans="1:13" x14ac:dyDescent="0.35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</row>
    <row r="544" spans="1:13" x14ac:dyDescent="0.35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</row>
    <row r="545" spans="1:13" x14ac:dyDescent="0.35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</row>
    <row r="546" spans="1:13" x14ac:dyDescent="0.35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</row>
    <row r="547" spans="1:13" x14ac:dyDescent="0.35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</row>
    <row r="548" spans="1:13" x14ac:dyDescent="0.35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</row>
    <row r="549" spans="1:13" x14ac:dyDescent="0.35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</row>
    <row r="550" spans="1:13" x14ac:dyDescent="0.35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</row>
    <row r="551" spans="1:13" x14ac:dyDescent="0.35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</row>
    <row r="552" spans="1:13" x14ac:dyDescent="0.35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</row>
    <row r="553" spans="1:13" x14ac:dyDescent="0.35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</row>
    <row r="554" spans="1:13" x14ac:dyDescent="0.35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</row>
    <row r="555" spans="1:13" x14ac:dyDescent="0.35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</row>
    <row r="556" spans="1:13" x14ac:dyDescent="0.35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</row>
    <row r="557" spans="1:13" x14ac:dyDescent="0.35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</row>
    <row r="558" spans="1:13" x14ac:dyDescent="0.35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</row>
    <row r="559" spans="1:13" x14ac:dyDescent="0.35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</row>
    <row r="560" spans="1:13" x14ac:dyDescent="0.35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</row>
    <row r="561" spans="1:13" x14ac:dyDescent="0.35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</row>
    <row r="562" spans="1:13" x14ac:dyDescent="0.35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</row>
    <row r="563" spans="1:13" x14ac:dyDescent="0.35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</row>
    <row r="564" spans="1:13" x14ac:dyDescent="0.35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</row>
    <row r="565" spans="1:13" x14ac:dyDescent="0.35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</row>
    <row r="566" spans="1:13" x14ac:dyDescent="0.35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</row>
    <row r="567" spans="1:13" x14ac:dyDescent="0.35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</row>
    <row r="568" spans="1:13" x14ac:dyDescent="0.35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</row>
    <row r="569" spans="1:13" x14ac:dyDescent="0.35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</row>
    <row r="570" spans="1:13" x14ac:dyDescent="0.35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</row>
    <row r="571" spans="1:13" x14ac:dyDescent="0.35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</row>
    <row r="572" spans="1:13" x14ac:dyDescent="0.35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</row>
    <row r="573" spans="1:13" x14ac:dyDescent="0.35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</row>
    <row r="574" spans="1:13" x14ac:dyDescent="0.35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</row>
    <row r="575" spans="1:13" x14ac:dyDescent="0.35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</row>
    <row r="576" spans="1:13" x14ac:dyDescent="0.35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</row>
    <row r="577" spans="1:13" x14ac:dyDescent="0.35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</row>
    <row r="578" spans="1:13" x14ac:dyDescent="0.35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</row>
    <row r="579" spans="1:13" x14ac:dyDescent="0.35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</row>
    <row r="580" spans="1:13" x14ac:dyDescent="0.35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</row>
    <row r="581" spans="1:13" x14ac:dyDescent="0.35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</row>
    <row r="582" spans="1:13" x14ac:dyDescent="0.35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</row>
    <row r="583" spans="1:13" x14ac:dyDescent="0.35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</row>
    <row r="584" spans="1:13" x14ac:dyDescent="0.35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</row>
    <row r="585" spans="1:13" x14ac:dyDescent="0.35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</row>
    <row r="586" spans="1:13" x14ac:dyDescent="0.35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</row>
    <row r="587" spans="1:13" x14ac:dyDescent="0.35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</row>
    <row r="588" spans="1:13" x14ac:dyDescent="0.35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</row>
    <row r="589" spans="1:13" x14ac:dyDescent="0.35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</row>
    <row r="590" spans="1:13" x14ac:dyDescent="0.35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</row>
    <row r="591" spans="1:13" x14ac:dyDescent="0.35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</row>
    <row r="592" spans="1:13" x14ac:dyDescent="0.35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</row>
    <row r="593" spans="1:13" x14ac:dyDescent="0.35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</row>
    <row r="594" spans="1:13" x14ac:dyDescent="0.35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</row>
    <row r="595" spans="1:13" x14ac:dyDescent="0.35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</row>
    <row r="596" spans="1:13" x14ac:dyDescent="0.35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</row>
    <row r="597" spans="1:13" x14ac:dyDescent="0.35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</row>
    <row r="598" spans="1:13" x14ac:dyDescent="0.35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</row>
    <row r="599" spans="1:13" x14ac:dyDescent="0.35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</row>
    <row r="600" spans="1:13" x14ac:dyDescent="0.35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</row>
    <row r="601" spans="1:13" x14ac:dyDescent="0.35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</row>
    <row r="602" spans="1:13" x14ac:dyDescent="0.35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</row>
    <row r="603" spans="1:13" x14ac:dyDescent="0.35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</row>
    <row r="604" spans="1:13" x14ac:dyDescent="0.35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</row>
    <row r="605" spans="1:13" x14ac:dyDescent="0.35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</row>
    <row r="606" spans="1:13" x14ac:dyDescent="0.35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</row>
    <row r="607" spans="1:13" x14ac:dyDescent="0.35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</row>
    <row r="608" spans="1:13" x14ac:dyDescent="0.35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</row>
    <row r="609" spans="1:13" x14ac:dyDescent="0.35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</row>
    <row r="610" spans="1:13" x14ac:dyDescent="0.35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</row>
    <row r="611" spans="1:13" x14ac:dyDescent="0.35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</row>
    <row r="612" spans="1:13" x14ac:dyDescent="0.35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</row>
    <row r="613" spans="1:13" x14ac:dyDescent="0.35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</row>
    <row r="614" spans="1:13" x14ac:dyDescent="0.35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</row>
    <row r="615" spans="1:13" x14ac:dyDescent="0.35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</row>
    <row r="616" spans="1:13" x14ac:dyDescent="0.35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</row>
    <row r="617" spans="1:13" x14ac:dyDescent="0.35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</row>
    <row r="618" spans="1:13" x14ac:dyDescent="0.35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</row>
    <row r="619" spans="1:13" x14ac:dyDescent="0.35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</row>
    <row r="620" spans="1:13" x14ac:dyDescent="0.35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</row>
    <row r="621" spans="1:13" x14ac:dyDescent="0.35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</row>
    <row r="622" spans="1:13" x14ac:dyDescent="0.35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</row>
    <row r="623" spans="1:13" x14ac:dyDescent="0.35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</row>
    <row r="624" spans="1:13" x14ac:dyDescent="0.35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</row>
    <row r="625" spans="1:13" x14ac:dyDescent="0.35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</row>
    <row r="626" spans="1:13" x14ac:dyDescent="0.35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</row>
    <row r="627" spans="1:13" x14ac:dyDescent="0.35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</row>
    <row r="628" spans="1:13" x14ac:dyDescent="0.35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</row>
    <row r="629" spans="1:13" x14ac:dyDescent="0.35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</row>
    <row r="630" spans="1:13" x14ac:dyDescent="0.35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</row>
    <row r="631" spans="1:13" x14ac:dyDescent="0.35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</row>
    <row r="632" spans="1:13" x14ac:dyDescent="0.35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</row>
    <row r="633" spans="1:13" x14ac:dyDescent="0.35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</row>
    <row r="634" spans="1:13" x14ac:dyDescent="0.35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</row>
    <row r="635" spans="1:13" x14ac:dyDescent="0.35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</row>
    <row r="636" spans="1:13" x14ac:dyDescent="0.35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</row>
    <row r="637" spans="1:13" x14ac:dyDescent="0.35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</row>
    <row r="638" spans="1:13" x14ac:dyDescent="0.35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</row>
    <row r="639" spans="1:13" x14ac:dyDescent="0.35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</row>
    <row r="640" spans="1:13" x14ac:dyDescent="0.35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</row>
    <row r="641" spans="1:13" x14ac:dyDescent="0.35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</row>
    <row r="642" spans="1:13" x14ac:dyDescent="0.35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</row>
    <row r="643" spans="1:13" x14ac:dyDescent="0.35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</row>
    <row r="644" spans="1:13" x14ac:dyDescent="0.35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</row>
    <row r="645" spans="1:13" x14ac:dyDescent="0.35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</row>
    <row r="646" spans="1:13" x14ac:dyDescent="0.35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</row>
    <row r="647" spans="1:13" x14ac:dyDescent="0.35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</row>
    <row r="648" spans="1:13" x14ac:dyDescent="0.35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</row>
    <row r="649" spans="1:13" x14ac:dyDescent="0.35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</row>
    <row r="650" spans="1:13" x14ac:dyDescent="0.35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</row>
    <row r="651" spans="1:13" x14ac:dyDescent="0.35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</row>
    <row r="652" spans="1:13" x14ac:dyDescent="0.35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</row>
    <row r="653" spans="1:13" x14ac:dyDescent="0.35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</row>
    <row r="654" spans="1:13" x14ac:dyDescent="0.35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</row>
    <row r="655" spans="1:13" x14ac:dyDescent="0.35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</row>
    <row r="656" spans="1:13" x14ac:dyDescent="0.35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</row>
    <row r="657" spans="1:13" x14ac:dyDescent="0.35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</row>
    <row r="658" spans="1:13" x14ac:dyDescent="0.35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</row>
    <row r="659" spans="1:13" x14ac:dyDescent="0.35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</row>
    <row r="660" spans="1:13" x14ac:dyDescent="0.35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</row>
    <row r="661" spans="1:13" x14ac:dyDescent="0.35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</row>
    <row r="662" spans="1:13" x14ac:dyDescent="0.35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</row>
    <row r="663" spans="1:13" x14ac:dyDescent="0.35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</row>
    <row r="664" spans="1:13" x14ac:dyDescent="0.35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</row>
    <row r="665" spans="1:13" x14ac:dyDescent="0.35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</row>
    <row r="666" spans="1:13" x14ac:dyDescent="0.35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</row>
    <row r="667" spans="1:13" x14ac:dyDescent="0.35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</row>
    <row r="668" spans="1:13" x14ac:dyDescent="0.35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</row>
    <row r="669" spans="1:13" x14ac:dyDescent="0.35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</row>
    <row r="670" spans="1:13" x14ac:dyDescent="0.35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</row>
    <row r="671" spans="1:13" x14ac:dyDescent="0.35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</row>
    <row r="672" spans="1:13" x14ac:dyDescent="0.35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</row>
    <row r="673" spans="1:13" x14ac:dyDescent="0.35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</row>
    <row r="674" spans="1:13" x14ac:dyDescent="0.35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</row>
    <row r="675" spans="1:13" x14ac:dyDescent="0.35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</row>
    <row r="676" spans="1:13" x14ac:dyDescent="0.35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</row>
    <row r="677" spans="1:13" x14ac:dyDescent="0.35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</row>
    <row r="678" spans="1:13" x14ac:dyDescent="0.35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</row>
    <row r="679" spans="1:13" x14ac:dyDescent="0.35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</row>
    <row r="680" spans="1:13" x14ac:dyDescent="0.35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</row>
    <row r="681" spans="1:13" x14ac:dyDescent="0.35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</row>
    <row r="682" spans="1:13" x14ac:dyDescent="0.35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</row>
    <row r="683" spans="1:13" x14ac:dyDescent="0.35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</row>
    <row r="684" spans="1:13" x14ac:dyDescent="0.35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</row>
    <row r="685" spans="1:13" x14ac:dyDescent="0.35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</row>
    <row r="686" spans="1:13" x14ac:dyDescent="0.35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</row>
    <row r="687" spans="1:13" x14ac:dyDescent="0.35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</row>
    <row r="688" spans="1:13" x14ac:dyDescent="0.35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</row>
    <row r="689" spans="1:13" x14ac:dyDescent="0.35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</row>
    <row r="690" spans="1:13" x14ac:dyDescent="0.35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</row>
    <row r="691" spans="1:13" x14ac:dyDescent="0.35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</row>
    <row r="692" spans="1:13" x14ac:dyDescent="0.35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</row>
    <row r="693" spans="1:13" x14ac:dyDescent="0.35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</row>
    <row r="694" spans="1:13" x14ac:dyDescent="0.35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</row>
    <row r="695" spans="1:13" x14ac:dyDescent="0.35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</row>
    <row r="696" spans="1:13" x14ac:dyDescent="0.35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</row>
    <row r="697" spans="1:13" x14ac:dyDescent="0.35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</row>
    <row r="698" spans="1:13" x14ac:dyDescent="0.35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</row>
    <row r="699" spans="1:13" x14ac:dyDescent="0.35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</row>
    <row r="700" spans="1:13" x14ac:dyDescent="0.35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</row>
    <row r="701" spans="1:13" x14ac:dyDescent="0.35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</row>
    <row r="702" spans="1:13" x14ac:dyDescent="0.35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</row>
    <row r="703" spans="1:13" x14ac:dyDescent="0.35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</row>
    <row r="704" spans="1:13" x14ac:dyDescent="0.35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</row>
    <row r="705" spans="1:13" x14ac:dyDescent="0.35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</row>
    <row r="706" spans="1:13" x14ac:dyDescent="0.35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</row>
    <row r="707" spans="1:13" x14ac:dyDescent="0.35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</row>
    <row r="708" spans="1:13" x14ac:dyDescent="0.35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</row>
    <row r="709" spans="1:13" x14ac:dyDescent="0.35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</row>
    <row r="710" spans="1:13" x14ac:dyDescent="0.35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</row>
    <row r="711" spans="1:13" x14ac:dyDescent="0.35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</row>
    <row r="712" spans="1:13" x14ac:dyDescent="0.35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</row>
    <row r="713" spans="1:13" x14ac:dyDescent="0.35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</row>
    <row r="714" spans="1:13" x14ac:dyDescent="0.35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</row>
    <row r="715" spans="1:13" x14ac:dyDescent="0.35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</row>
    <row r="716" spans="1:13" x14ac:dyDescent="0.35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</row>
    <row r="717" spans="1:13" x14ac:dyDescent="0.35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</row>
    <row r="718" spans="1:13" x14ac:dyDescent="0.35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</row>
    <row r="719" spans="1:13" x14ac:dyDescent="0.35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</row>
    <row r="720" spans="1:13" x14ac:dyDescent="0.35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</row>
    <row r="721" spans="1:13" x14ac:dyDescent="0.35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</row>
    <row r="722" spans="1:13" x14ac:dyDescent="0.35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</row>
    <row r="723" spans="1:13" x14ac:dyDescent="0.35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</row>
    <row r="724" spans="1:13" x14ac:dyDescent="0.35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</row>
    <row r="725" spans="1:13" x14ac:dyDescent="0.35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</row>
    <row r="726" spans="1:13" x14ac:dyDescent="0.35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</row>
    <row r="727" spans="1:13" x14ac:dyDescent="0.35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</row>
    <row r="728" spans="1:13" x14ac:dyDescent="0.35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</row>
    <row r="729" spans="1:13" x14ac:dyDescent="0.35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</row>
    <row r="730" spans="1:13" x14ac:dyDescent="0.35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</row>
    <row r="731" spans="1:13" x14ac:dyDescent="0.35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</row>
    <row r="732" spans="1:13" x14ac:dyDescent="0.35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</row>
    <row r="733" spans="1:13" x14ac:dyDescent="0.35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</row>
    <row r="734" spans="1:13" x14ac:dyDescent="0.35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</row>
    <row r="735" spans="1:13" x14ac:dyDescent="0.35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</row>
    <row r="736" spans="1:13" x14ac:dyDescent="0.35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</row>
    <row r="737" spans="1:13" x14ac:dyDescent="0.35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</row>
    <row r="738" spans="1:13" x14ac:dyDescent="0.35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</row>
    <row r="739" spans="1:13" x14ac:dyDescent="0.35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</row>
    <row r="740" spans="1:13" x14ac:dyDescent="0.35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</row>
    <row r="741" spans="1:13" x14ac:dyDescent="0.35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</row>
    <row r="742" spans="1:13" x14ac:dyDescent="0.35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</row>
    <row r="743" spans="1:13" x14ac:dyDescent="0.35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</row>
    <row r="744" spans="1:13" x14ac:dyDescent="0.35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</row>
    <row r="745" spans="1:13" x14ac:dyDescent="0.35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</row>
    <row r="746" spans="1:13" x14ac:dyDescent="0.35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</row>
    <row r="747" spans="1:13" x14ac:dyDescent="0.35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</row>
    <row r="748" spans="1:13" x14ac:dyDescent="0.35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</row>
    <row r="749" spans="1:13" x14ac:dyDescent="0.35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</row>
    <row r="750" spans="1:13" x14ac:dyDescent="0.35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</row>
    <row r="751" spans="1:13" x14ac:dyDescent="0.35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</row>
    <row r="752" spans="1:13" x14ac:dyDescent="0.35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</row>
    <row r="753" spans="1:13" x14ac:dyDescent="0.35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</row>
    <row r="754" spans="1:13" x14ac:dyDescent="0.35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</row>
    <row r="755" spans="1:13" x14ac:dyDescent="0.35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</row>
    <row r="756" spans="1:13" x14ac:dyDescent="0.35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</row>
    <row r="757" spans="1:13" x14ac:dyDescent="0.35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</row>
    <row r="758" spans="1:13" x14ac:dyDescent="0.35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</row>
    <row r="759" spans="1:13" x14ac:dyDescent="0.35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</row>
    <row r="760" spans="1:13" x14ac:dyDescent="0.35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</row>
    <row r="761" spans="1:13" x14ac:dyDescent="0.35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</row>
    <row r="762" spans="1:13" x14ac:dyDescent="0.35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</row>
    <row r="763" spans="1:13" x14ac:dyDescent="0.35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</row>
    <row r="764" spans="1:13" x14ac:dyDescent="0.35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</row>
    <row r="765" spans="1:13" x14ac:dyDescent="0.35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</row>
    <row r="766" spans="1:13" x14ac:dyDescent="0.35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</row>
    <row r="767" spans="1:13" x14ac:dyDescent="0.35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</row>
    <row r="768" spans="1:13" x14ac:dyDescent="0.35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</row>
    <row r="769" spans="1:13" x14ac:dyDescent="0.35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</row>
    <row r="770" spans="1:13" x14ac:dyDescent="0.35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</row>
    <row r="771" spans="1:13" x14ac:dyDescent="0.35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</row>
    <row r="772" spans="1:13" x14ac:dyDescent="0.35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</row>
    <row r="773" spans="1:13" x14ac:dyDescent="0.35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</row>
    <row r="774" spans="1:13" x14ac:dyDescent="0.35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</row>
    <row r="775" spans="1:13" x14ac:dyDescent="0.35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</row>
    <row r="776" spans="1:13" x14ac:dyDescent="0.35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</row>
    <row r="777" spans="1:13" x14ac:dyDescent="0.35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</row>
    <row r="778" spans="1:13" x14ac:dyDescent="0.35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</row>
    <row r="779" spans="1:13" x14ac:dyDescent="0.35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</row>
    <row r="780" spans="1:13" x14ac:dyDescent="0.35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</row>
    <row r="781" spans="1:13" x14ac:dyDescent="0.35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</row>
    <row r="782" spans="1:13" x14ac:dyDescent="0.35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</row>
    <row r="783" spans="1:13" x14ac:dyDescent="0.35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</row>
    <row r="784" spans="1:13" x14ac:dyDescent="0.35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</row>
    <row r="785" spans="1:13" x14ac:dyDescent="0.35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</row>
    <row r="786" spans="1:13" x14ac:dyDescent="0.35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</row>
    <row r="787" spans="1:13" x14ac:dyDescent="0.35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</row>
    <row r="788" spans="1:13" x14ac:dyDescent="0.35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</row>
    <row r="789" spans="1:13" x14ac:dyDescent="0.35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</row>
    <row r="790" spans="1:13" x14ac:dyDescent="0.35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</row>
    <row r="791" spans="1:13" x14ac:dyDescent="0.35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</row>
    <row r="792" spans="1:13" x14ac:dyDescent="0.35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</row>
    <row r="793" spans="1:13" x14ac:dyDescent="0.35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</row>
    <row r="794" spans="1:13" x14ac:dyDescent="0.35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</row>
    <row r="795" spans="1:13" x14ac:dyDescent="0.35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</row>
    <row r="796" spans="1:13" x14ac:dyDescent="0.35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</row>
    <row r="797" spans="1:13" x14ac:dyDescent="0.35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</row>
    <row r="798" spans="1:13" x14ac:dyDescent="0.35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</row>
    <row r="799" spans="1:13" x14ac:dyDescent="0.35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</row>
    <row r="800" spans="1:13" x14ac:dyDescent="0.35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</row>
    <row r="801" spans="1:13" x14ac:dyDescent="0.35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</row>
    <row r="802" spans="1:13" x14ac:dyDescent="0.35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</row>
    <row r="803" spans="1:13" x14ac:dyDescent="0.35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</row>
    <row r="804" spans="1:13" x14ac:dyDescent="0.35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</row>
    <row r="805" spans="1:13" x14ac:dyDescent="0.35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</row>
    <row r="806" spans="1:13" x14ac:dyDescent="0.35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</row>
    <row r="807" spans="1:13" x14ac:dyDescent="0.35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</row>
    <row r="808" spans="1:13" x14ac:dyDescent="0.35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</row>
    <row r="809" spans="1:13" x14ac:dyDescent="0.35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</row>
    <row r="810" spans="1:13" x14ac:dyDescent="0.35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</row>
    <row r="811" spans="1:13" x14ac:dyDescent="0.35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</row>
    <row r="812" spans="1:13" x14ac:dyDescent="0.35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</row>
    <row r="813" spans="1:13" x14ac:dyDescent="0.35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</row>
    <row r="814" spans="1:13" x14ac:dyDescent="0.35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</row>
    <row r="815" spans="1:13" x14ac:dyDescent="0.35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</row>
    <row r="816" spans="1:13" x14ac:dyDescent="0.35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</row>
    <row r="817" spans="1:13" x14ac:dyDescent="0.35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</row>
    <row r="818" spans="1:13" x14ac:dyDescent="0.35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</row>
    <row r="819" spans="1:13" x14ac:dyDescent="0.35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</row>
    <row r="820" spans="1:13" x14ac:dyDescent="0.35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</row>
    <row r="821" spans="1:13" x14ac:dyDescent="0.35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</row>
    <row r="822" spans="1:13" x14ac:dyDescent="0.35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</row>
    <row r="823" spans="1:13" x14ac:dyDescent="0.35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</row>
    <row r="824" spans="1:13" x14ac:dyDescent="0.35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</row>
    <row r="825" spans="1:13" x14ac:dyDescent="0.35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</row>
    <row r="826" spans="1:13" x14ac:dyDescent="0.35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</row>
    <row r="827" spans="1:13" x14ac:dyDescent="0.35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</row>
    <row r="828" spans="1:13" x14ac:dyDescent="0.35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</row>
    <row r="829" spans="1:13" x14ac:dyDescent="0.35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</row>
    <row r="830" spans="1:13" x14ac:dyDescent="0.35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</row>
    <row r="831" spans="1:13" x14ac:dyDescent="0.35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</row>
    <row r="832" spans="1:13" x14ac:dyDescent="0.35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</row>
    <row r="833" spans="1:13" x14ac:dyDescent="0.35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</row>
    <row r="834" spans="1:13" x14ac:dyDescent="0.35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</row>
    <row r="835" spans="1:13" x14ac:dyDescent="0.35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</row>
    <row r="836" spans="1:13" x14ac:dyDescent="0.35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</row>
    <row r="837" spans="1:13" x14ac:dyDescent="0.35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</row>
    <row r="838" spans="1:13" x14ac:dyDescent="0.35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</row>
    <row r="839" spans="1:13" x14ac:dyDescent="0.35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</row>
    <row r="840" spans="1:13" x14ac:dyDescent="0.35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</row>
    <row r="841" spans="1:13" x14ac:dyDescent="0.35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</row>
    <row r="842" spans="1:13" x14ac:dyDescent="0.35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</row>
    <row r="843" spans="1:13" x14ac:dyDescent="0.35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</row>
    <row r="844" spans="1:13" x14ac:dyDescent="0.35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</row>
    <row r="845" spans="1:13" x14ac:dyDescent="0.35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</row>
    <row r="846" spans="1:13" x14ac:dyDescent="0.35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</row>
    <row r="847" spans="1:13" x14ac:dyDescent="0.35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</row>
    <row r="848" spans="1:13" x14ac:dyDescent="0.35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</row>
    <row r="849" spans="1:13" x14ac:dyDescent="0.35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</row>
    <row r="850" spans="1:13" x14ac:dyDescent="0.35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</row>
    <row r="851" spans="1:13" x14ac:dyDescent="0.35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</row>
  </sheetData>
  <sheetProtection objects="1"/>
  <mergeCells count="1">
    <mergeCell ref="B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49" fitToWidth="2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8"/>
  <dimension ref="A1:V829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52.453125" style="168" customWidth="1"/>
    <col min="2" max="12" width="11.54296875" style="168" customWidth="1"/>
    <col min="13" max="16384" width="12.54296875" style="168"/>
  </cols>
  <sheetData>
    <row r="1" spans="1:22" x14ac:dyDescent="0.35">
      <c r="A1" s="369" t="str">
        <f>TECNOLOGIAS!A1</f>
        <v>Proponente: TransPolitécnica</v>
      </c>
    </row>
    <row r="2" spans="1:22" x14ac:dyDescent="0.35">
      <c r="A2" s="369" t="str">
        <f>TECNOLOGIAS!A2</f>
        <v>Área de Concessão: 5 (Cinco)</v>
      </c>
    </row>
    <row r="4" spans="1:22" ht="18" x14ac:dyDescent="0.4">
      <c r="A4" s="167" t="s">
        <v>416</v>
      </c>
    </row>
    <row r="6" spans="1:22" x14ac:dyDescent="0.35">
      <c r="A6" s="169" t="s">
        <v>788</v>
      </c>
      <c r="B6" s="180"/>
      <c r="C6" s="180"/>
      <c r="D6" s="180"/>
      <c r="E6" s="180"/>
    </row>
    <row r="7" spans="1:22" x14ac:dyDescent="0.35">
      <c r="A7" s="177"/>
      <c r="B7" s="180"/>
      <c r="C7" s="180"/>
      <c r="D7" s="180"/>
      <c r="E7" s="180"/>
    </row>
    <row r="8" spans="1:22" x14ac:dyDescent="0.35">
      <c r="A8" s="170" t="s">
        <v>403</v>
      </c>
      <c r="B8" s="180"/>
      <c r="C8" s="180"/>
      <c r="D8" s="180"/>
      <c r="E8" s="180"/>
    </row>
    <row r="9" spans="1:22" ht="16" thickBot="1" x14ac:dyDescent="0.4">
      <c r="A9" s="177"/>
      <c r="B9" s="180"/>
      <c r="C9" s="180"/>
      <c r="D9" s="180"/>
      <c r="E9" s="180"/>
    </row>
    <row r="10" spans="1:22" ht="16" thickBot="1" x14ac:dyDescent="0.4">
      <c r="A10" s="270" t="s">
        <v>329</v>
      </c>
      <c r="B10" s="678" t="s">
        <v>263</v>
      </c>
      <c r="C10" s="679"/>
      <c r="D10" s="679"/>
      <c r="E10" s="679"/>
      <c r="F10" s="679"/>
      <c r="G10" s="679"/>
      <c r="H10" s="679"/>
      <c r="I10" s="679"/>
      <c r="J10" s="679"/>
      <c r="K10" s="679"/>
      <c r="L10" s="680"/>
      <c r="M10" s="678" t="s">
        <v>263</v>
      </c>
      <c r="N10" s="679"/>
      <c r="O10" s="679"/>
      <c r="P10" s="679"/>
      <c r="Q10" s="679"/>
      <c r="R10" s="679"/>
      <c r="S10" s="679"/>
      <c r="T10" s="679"/>
      <c r="U10" s="679"/>
      <c r="V10" s="680"/>
    </row>
    <row r="11" spans="1:22" x14ac:dyDescent="0.35">
      <c r="A11" s="196"/>
      <c r="B11" s="271" t="s">
        <v>372</v>
      </c>
      <c r="C11" s="272" t="s">
        <v>372</v>
      </c>
      <c r="D11" s="272" t="s">
        <v>372</v>
      </c>
      <c r="E11" s="272" t="s">
        <v>372</v>
      </c>
      <c r="F11" s="272" t="s">
        <v>372</v>
      </c>
      <c r="G11" s="272" t="s">
        <v>372</v>
      </c>
      <c r="H11" s="272" t="s">
        <v>372</v>
      </c>
      <c r="I11" s="272" t="s">
        <v>372</v>
      </c>
      <c r="J11" s="272" t="s">
        <v>372</v>
      </c>
      <c r="K11" s="272" t="s">
        <v>372</v>
      </c>
      <c r="L11" s="272" t="s">
        <v>372</v>
      </c>
      <c r="M11" s="272" t="s">
        <v>372</v>
      </c>
      <c r="N11" s="272" t="s">
        <v>372</v>
      </c>
      <c r="O11" s="272" t="s">
        <v>372</v>
      </c>
      <c r="P11" s="272" t="s">
        <v>372</v>
      </c>
      <c r="Q11" s="272" t="s">
        <v>372</v>
      </c>
      <c r="R11" s="272" t="s">
        <v>372</v>
      </c>
      <c r="S11" s="272" t="s">
        <v>372</v>
      </c>
      <c r="T11" s="272" t="s">
        <v>372</v>
      </c>
      <c r="U11" s="272" t="s">
        <v>372</v>
      </c>
      <c r="V11" s="272" t="s">
        <v>372</v>
      </c>
    </row>
    <row r="12" spans="1:22" ht="16" thickBot="1" x14ac:dyDescent="0.4">
      <c r="A12" s="182"/>
      <c r="B12" s="191" t="s">
        <v>413</v>
      </c>
      <c r="C12" s="191">
        <v>1</v>
      </c>
      <c r="D12" s="191">
        <v>2</v>
      </c>
      <c r="E12" s="191">
        <v>3</v>
      </c>
      <c r="F12" s="191">
        <v>4</v>
      </c>
      <c r="G12" s="191">
        <v>5</v>
      </c>
      <c r="H12" s="191">
        <v>6</v>
      </c>
      <c r="I12" s="191">
        <v>7</v>
      </c>
      <c r="J12" s="191">
        <v>8</v>
      </c>
      <c r="K12" s="191">
        <v>9</v>
      </c>
      <c r="L12" s="191">
        <v>10</v>
      </c>
      <c r="M12" s="191">
        <v>11</v>
      </c>
      <c r="N12" s="191">
        <v>12</v>
      </c>
      <c r="O12" s="191">
        <v>13</v>
      </c>
      <c r="P12" s="191">
        <v>14</v>
      </c>
      <c r="Q12" s="191">
        <v>15</v>
      </c>
      <c r="R12" s="191">
        <v>16</v>
      </c>
      <c r="S12" s="191">
        <v>17</v>
      </c>
      <c r="T12" s="191">
        <v>18</v>
      </c>
      <c r="U12" s="191">
        <v>19</v>
      </c>
      <c r="V12" s="191">
        <v>20</v>
      </c>
    </row>
    <row r="13" spans="1:22" x14ac:dyDescent="0.35">
      <c r="A13" s="181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</row>
    <row r="14" spans="1:22" x14ac:dyDescent="0.35">
      <c r="A14" s="181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</row>
    <row r="15" spans="1:22" x14ac:dyDescent="0.35">
      <c r="A15" s="184" t="s">
        <v>264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</row>
    <row r="16" spans="1:22" x14ac:dyDescent="0.35">
      <c r="A16" s="184" t="s">
        <v>265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</row>
    <row r="17" spans="1:22" x14ac:dyDescent="0.35">
      <c r="A17" s="184" t="s">
        <v>266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</row>
    <row r="18" spans="1:22" x14ac:dyDescent="0.35">
      <c r="A18" s="184" t="s">
        <v>267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</row>
    <row r="19" spans="1:22" x14ac:dyDescent="0.35">
      <c r="A19" s="184" t="s">
        <v>268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</row>
    <row r="20" spans="1:22" x14ac:dyDescent="0.35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</row>
    <row r="21" spans="1:22" s="351" customFormat="1" x14ac:dyDescent="0.35">
      <c r="A21" t="s">
        <v>447</v>
      </c>
      <c r="B21" s="350"/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</row>
    <row r="22" spans="1:22" s="351" customFormat="1" x14ac:dyDescent="0.35">
      <c r="A22" s="349"/>
      <c r="B22" s="350"/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</row>
    <row r="23" spans="1:22" s="351" customFormat="1" x14ac:dyDescent="0.35">
      <c r="A23" s="352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</row>
    <row r="24" spans="1:22" s="351" customFormat="1" x14ac:dyDescent="0.35">
      <c r="A24" s="352"/>
      <c r="B24" s="350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</row>
    <row r="25" spans="1:22" s="351" customFormat="1" x14ac:dyDescent="0.35">
      <c r="A25" s="352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</row>
    <row r="26" spans="1:22" s="351" customFormat="1" x14ac:dyDescent="0.35">
      <c r="A26" s="352"/>
      <c r="B26" s="350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</row>
    <row r="27" spans="1:22" s="351" customFormat="1" x14ac:dyDescent="0.35">
      <c r="A27" s="352"/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</row>
    <row r="28" spans="1:22" s="351" customFormat="1" x14ac:dyDescent="0.35">
      <c r="A28" s="350"/>
      <c r="B28" s="350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</row>
    <row r="29" spans="1:22" s="351" customFormat="1" x14ac:dyDescent="0.35">
      <c r="A29" s="349"/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</row>
    <row r="30" spans="1:22" s="351" customFormat="1" x14ac:dyDescent="0.35">
      <c r="A30" s="349"/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</row>
    <row r="31" spans="1:22" s="351" customFormat="1" x14ac:dyDescent="0.35">
      <c r="A31" s="352"/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</row>
    <row r="32" spans="1:22" s="351" customFormat="1" x14ac:dyDescent="0.35">
      <c r="A32" s="352"/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</row>
    <row r="33" spans="1:22" s="351" customFormat="1" x14ac:dyDescent="0.35">
      <c r="A33" s="352"/>
      <c r="B33" s="350"/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</row>
    <row r="34" spans="1:22" s="351" customFormat="1" x14ac:dyDescent="0.35">
      <c r="A34" s="352"/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</row>
    <row r="35" spans="1:22" s="351" customFormat="1" x14ac:dyDescent="0.35">
      <c r="A35" s="352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</row>
    <row r="36" spans="1:22" s="351" customFormat="1" x14ac:dyDescent="0.35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</row>
    <row r="37" spans="1:22" s="351" customFormat="1" x14ac:dyDescent="0.35">
      <c r="A37" s="349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</row>
    <row r="38" spans="1:22" s="351" customFormat="1" x14ac:dyDescent="0.35">
      <c r="A38" s="349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</row>
    <row r="39" spans="1:22" s="351" customFormat="1" x14ac:dyDescent="0.35">
      <c r="A39" s="352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</row>
    <row r="40" spans="1:22" s="351" customFormat="1" x14ac:dyDescent="0.35">
      <c r="A40" s="352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</row>
    <row r="41" spans="1:22" s="351" customFormat="1" x14ac:dyDescent="0.35">
      <c r="A41" s="352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</row>
    <row r="42" spans="1:22" s="351" customFormat="1" x14ac:dyDescent="0.35">
      <c r="A42" s="352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</row>
    <row r="43" spans="1:22" s="351" customFormat="1" x14ac:dyDescent="0.35">
      <c r="A43" s="352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</row>
    <row r="44" spans="1:22" s="351" customFormat="1" x14ac:dyDescent="0.3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</row>
    <row r="45" spans="1:22" x14ac:dyDescent="0.35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</row>
    <row r="46" spans="1:22" x14ac:dyDescent="0.35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</row>
    <row r="47" spans="1:22" x14ac:dyDescent="0.35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</row>
    <row r="48" spans="1:22" x14ac:dyDescent="0.35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</row>
    <row r="49" spans="1:13" x14ac:dyDescent="0.35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3" x14ac:dyDescent="0.35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</row>
    <row r="51" spans="1:13" x14ac:dyDescent="0.35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</row>
    <row r="52" spans="1:13" x14ac:dyDescent="0.35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</row>
    <row r="53" spans="1:13" x14ac:dyDescent="0.35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</row>
    <row r="54" spans="1:13" x14ac:dyDescent="0.35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</row>
    <row r="55" spans="1:13" x14ac:dyDescent="0.35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</row>
    <row r="56" spans="1:13" x14ac:dyDescent="0.35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</row>
    <row r="57" spans="1:13" x14ac:dyDescent="0.35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</row>
    <row r="58" spans="1:13" x14ac:dyDescent="0.35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</row>
    <row r="59" spans="1:13" x14ac:dyDescent="0.35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</row>
    <row r="60" spans="1:13" x14ac:dyDescent="0.35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</row>
    <row r="61" spans="1:13" x14ac:dyDescent="0.35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</row>
    <row r="62" spans="1:13" x14ac:dyDescent="0.35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</row>
    <row r="63" spans="1:13" x14ac:dyDescent="0.35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3" x14ac:dyDescent="0.35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</row>
    <row r="65" spans="1:13" x14ac:dyDescent="0.35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</row>
    <row r="66" spans="1:13" x14ac:dyDescent="0.35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</row>
    <row r="67" spans="1:13" x14ac:dyDescent="0.35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</row>
    <row r="68" spans="1:13" x14ac:dyDescent="0.35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</row>
    <row r="69" spans="1:13" x14ac:dyDescent="0.35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</row>
    <row r="70" spans="1:13" x14ac:dyDescent="0.35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</row>
    <row r="71" spans="1:13" x14ac:dyDescent="0.35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</row>
    <row r="72" spans="1:13" x14ac:dyDescent="0.35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</row>
    <row r="73" spans="1:13" x14ac:dyDescent="0.35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</row>
    <row r="74" spans="1:13" x14ac:dyDescent="0.35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</row>
    <row r="75" spans="1:13" x14ac:dyDescent="0.35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</row>
    <row r="76" spans="1:13" x14ac:dyDescent="0.35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</row>
    <row r="77" spans="1:13" x14ac:dyDescent="0.35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3" x14ac:dyDescent="0.35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</row>
    <row r="79" spans="1:13" x14ac:dyDescent="0.35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</row>
    <row r="80" spans="1:13" x14ac:dyDescent="0.35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</row>
    <row r="81" spans="1:13" x14ac:dyDescent="0.35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</row>
    <row r="82" spans="1:13" x14ac:dyDescent="0.35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</row>
    <row r="83" spans="1:13" x14ac:dyDescent="0.35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</row>
    <row r="84" spans="1:13" x14ac:dyDescent="0.35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</row>
    <row r="85" spans="1:13" x14ac:dyDescent="0.35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</row>
    <row r="86" spans="1:13" x14ac:dyDescent="0.35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</row>
    <row r="87" spans="1:13" x14ac:dyDescent="0.35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</row>
    <row r="88" spans="1:13" x14ac:dyDescent="0.35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</row>
    <row r="89" spans="1:13" x14ac:dyDescent="0.35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</row>
    <row r="90" spans="1:13" x14ac:dyDescent="0.35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</row>
    <row r="91" spans="1:13" x14ac:dyDescent="0.35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3" x14ac:dyDescent="0.35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</row>
    <row r="93" spans="1:13" x14ac:dyDescent="0.35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</row>
    <row r="94" spans="1:13" x14ac:dyDescent="0.35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</row>
    <row r="95" spans="1:13" x14ac:dyDescent="0.35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</row>
    <row r="96" spans="1:13" x14ac:dyDescent="0.35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</row>
    <row r="97" spans="1:13" x14ac:dyDescent="0.35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</row>
    <row r="98" spans="1:13" x14ac:dyDescent="0.35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</row>
    <row r="99" spans="1:13" x14ac:dyDescent="0.35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</row>
    <row r="100" spans="1:13" x14ac:dyDescent="0.35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</row>
    <row r="101" spans="1:13" x14ac:dyDescent="0.35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</row>
    <row r="102" spans="1:13" x14ac:dyDescent="0.35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</row>
    <row r="103" spans="1:13" x14ac:dyDescent="0.35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</row>
    <row r="104" spans="1:13" x14ac:dyDescent="0.35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</row>
    <row r="105" spans="1:13" x14ac:dyDescent="0.35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3" x14ac:dyDescent="0.35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</row>
    <row r="107" spans="1:13" x14ac:dyDescent="0.35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</row>
    <row r="108" spans="1:13" x14ac:dyDescent="0.35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</row>
    <row r="109" spans="1:13" x14ac:dyDescent="0.35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</row>
    <row r="110" spans="1:13" x14ac:dyDescent="0.35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</row>
    <row r="111" spans="1:13" x14ac:dyDescent="0.35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</row>
    <row r="112" spans="1:13" x14ac:dyDescent="0.35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</row>
    <row r="113" spans="1:13" x14ac:dyDescent="0.35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</row>
    <row r="114" spans="1:13" x14ac:dyDescent="0.35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</row>
    <row r="115" spans="1:13" x14ac:dyDescent="0.35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</row>
    <row r="116" spans="1:13" x14ac:dyDescent="0.35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</row>
    <row r="117" spans="1:13" x14ac:dyDescent="0.35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</row>
    <row r="118" spans="1:13" x14ac:dyDescent="0.35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</row>
    <row r="119" spans="1:13" x14ac:dyDescent="0.35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3" x14ac:dyDescent="0.35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</row>
    <row r="121" spans="1:13" x14ac:dyDescent="0.35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</row>
    <row r="122" spans="1:13" x14ac:dyDescent="0.35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</row>
    <row r="123" spans="1:13" x14ac:dyDescent="0.35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</row>
    <row r="124" spans="1:13" x14ac:dyDescent="0.35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</row>
    <row r="125" spans="1:13" x14ac:dyDescent="0.35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</row>
    <row r="126" spans="1:13" x14ac:dyDescent="0.35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</row>
    <row r="127" spans="1:13" x14ac:dyDescent="0.35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</row>
    <row r="128" spans="1:13" x14ac:dyDescent="0.35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</row>
    <row r="129" spans="1:13" x14ac:dyDescent="0.35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</row>
    <row r="130" spans="1:13" x14ac:dyDescent="0.35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</row>
    <row r="131" spans="1:13" x14ac:dyDescent="0.35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</row>
    <row r="132" spans="1:13" x14ac:dyDescent="0.35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</row>
    <row r="133" spans="1:13" x14ac:dyDescent="0.35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3" x14ac:dyDescent="0.35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</row>
    <row r="135" spans="1:13" x14ac:dyDescent="0.35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</row>
    <row r="136" spans="1:13" x14ac:dyDescent="0.35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</row>
    <row r="137" spans="1:13" x14ac:dyDescent="0.35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</row>
    <row r="138" spans="1:13" x14ac:dyDescent="0.35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</row>
    <row r="139" spans="1:13" x14ac:dyDescent="0.35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</row>
    <row r="140" spans="1:13" x14ac:dyDescent="0.35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</row>
    <row r="141" spans="1:13" x14ac:dyDescent="0.35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</row>
    <row r="142" spans="1:13" x14ac:dyDescent="0.35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</row>
    <row r="143" spans="1:13" x14ac:dyDescent="0.35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</row>
    <row r="144" spans="1:13" x14ac:dyDescent="0.35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</row>
    <row r="145" spans="1:13" x14ac:dyDescent="0.35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</row>
    <row r="146" spans="1:13" x14ac:dyDescent="0.35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</row>
    <row r="147" spans="1:13" x14ac:dyDescent="0.35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3" x14ac:dyDescent="0.35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</row>
    <row r="149" spans="1:13" x14ac:dyDescent="0.35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</row>
    <row r="150" spans="1:13" x14ac:dyDescent="0.35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</row>
    <row r="151" spans="1:13" x14ac:dyDescent="0.35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</row>
    <row r="152" spans="1:13" x14ac:dyDescent="0.35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</row>
    <row r="153" spans="1:13" x14ac:dyDescent="0.35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</row>
    <row r="154" spans="1:13" x14ac:dyDescent="0.35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</row>
    <row r="155" spans="1:13" x14ac:dyDescent="0.3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</row>
    <row r="156" spans="1:13" x14ac:dyDescent="0.35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</row>
    <row r="157" spans="1:13" x14ac:dyDescent="0.35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</row>
    <row r="158" spans="1:13" x14ac:dyDescent="0.35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</row>
    <row r="159" spans="1:13" x14ac:dyDescent="0.35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</row>
    <row r="160" spans="1:13" x14ac:dyDescent="0.35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</row>
    <row r="161" spans="1:13" x14ac:dyDescent="0.35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</row>
    <row r="162" spans="1:13" x14ac:dyDescent="0.35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</row>
    <row r="163" spans="1:13" x14ac:dyDescent="0.35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</row>
    <row r="164" spans="1:13" x14ac:dyDescent="0.35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</row>
    <row r="165" spans="1:13" x14ac:dyDescent="0.35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</row>
    <row r="166" spans="1:13" x14ac:dyDescent="0.35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</row>
    <row r="167" spans="1:13" x14ac:dyDescent="0.35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</row>
    <row r="168" spans="1:13" x14ac:dyDescent="0.35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</row>
    <row r="169" spans="1:13" x14ac:dyDescent="0.35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</row>
    <row r="170" spans="1:13" x14ac:dyDescent="0.35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</row>
    <row r="171" spans="1:13" x14ac:dyDescent="0.35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</row>
    <row r="172" spans="1:13" x14ac:dyDescent="0.35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</row>
    <row r="173" spans="1:13" x14ac:dyDescent="0.35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</row>
    <row r="174" spans="1:13" x14ac:dyDescent="0.35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</row>
    <row r="175" spans="1:13" x14ac:dyDescent="0.35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</row>
    <row r="176" spans="1:13" x14ac:dyDescent="0.35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</row>
    <row r="177" spans="1:13" x14ac:dyDescent="0.35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</row>
    <row r="178" spans="1:13" x14ac:dyDescent="0.35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</row>
    <row r="179" spans="1:13" x14ac:dyDescent="0.35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</row>
    <row r="180" spans="1:13" x14ac:dyDescent="0.35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</row>
    <row r="181" spans="1:13" x14ac:dyDescent="0.35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</row>
    <row r="182" spans="1:13" x14ac:dyDescent="0.35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</row>
    <row r="183" spans="1:13" x14ac:dyDescent="0.35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</row>
    <row r="184" spans="1:13" x14ac:dyDescent="0.35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</row>
    <row r="185" spans="1:13" x14ac:dyDescent="0.35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</row>
    <row r="186" spans="1:13" x14ac:dyDescent="0.35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</row>
    <row r="187" spans="1:13" x14ac:dyDescent="0.35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</row>
    <row r="188" spans="1:13" x14ac:dyDescent="0.35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</row>
    <row r="189" spans="1:13" x14ac:dyDescent="0.35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</row>
    <row r="190" spans="1:13" x14ac:dyDescent="0.35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</row>
    <row r="191" spans="1:13" x14ac:dyDescent="0.35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</row>
    <row r="192" spans="1:13" x14ac:dyDescent="0.35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</row>
    <row r="193" spans="1:13" x14ac:dyDescent="0.35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</row>
    <row r="194" spans="1:13" x14ac:dyDescent="0.35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</row>
    <row r="195" spans="1:13" x14ac:dyDescent="0.35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</row>
    <row r="196" spans="1:13" x14ac:dyDescent="0.35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</row>
    <row r="197" spans="1:13" x14ac:dyDescent="0.35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</row>
    <row r="198" spans="1:13" x14ac:dyDescent="0.35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</row>
    <row r="199" spans="1:13" x14ac:dyDescent="0.35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</row>
    <row r="200" spans="1:13" x14ac:dyDescent="0.35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</row>
    <row r="201" spans="1:13" x14ac:dyDescent="0.35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</row>
    <row r="202" spans="1:13" x14ac:dyDescent="0.35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</row>
    <row r="203" spans="1:13" x14ac:dyDescent="0.35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</row>
    <row r="204" spans="1:13" x14ac:dyDescent="0.35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</row>
    <row r="205" spans="1:13" x14ac:dyDescent="0.35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</row>
    <row r="206" spans="1:13" x14ac:dyDescent="0.35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</row>
    <row r="207" spans="1:13" x14ac:dyDescent="0.35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</row>
    <row r="208" spans="1:13" x14ac:dyDescent="0.35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</row>
    <row r="209" spans="1:13" x14ac:dyDescent="0.35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</row>
    <row r="210" spans="1:13" x14ac:dyDescent="0.35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</row>
    <row r="211" spans="1:13" x14ac:dyDescent="0.35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</row>
    <row r="212" spans="1:13" x14ac:dyDescent="0.35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</row>
    <row r="213" spans="1:13" x14ac:dyDescent="0.35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</row>
    <row r="214" spans="1:13" x14ac:dyDescent="0.35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</row>
    <row r="215" spans="1:13" x14ac:dyDescent="0.35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</row>
    <row r="216" spans="1:13" x14ac:dyDescent="0.35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</row>
    <row r="217" spans="1:13" x14ac:dyDescent="0.35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</row>
    <row r="218" spans="1:13" x14ac:dyDescent="0.35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</row>
    <row r="219" spans="1:13" x14ac:dyDescent="0.35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</row>
    <row r="220" spans="1:13" x14ac:dyDescent="0.35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</row>
    <row r="221" spans="1:13" x14ac:dyDescent="0.35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</row>
    <row r="222" spans="1:13" x14ac:dyDescent="0.35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</row>
    <row r="223" spans="1:13" x14ac:dyDescent="0.35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</row>
    <row r="224" spans="1:13" x14ac:dyDescent="0.35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</row>
    <row r="225" spans="1:13" x14ac:dyDescent="0.35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</row>
    <row r="226" spans="1:13" x14ac:dyDescent="0.35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</row>
    <row r="227" spans="1:13" x14ac:dyDescent="0.35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</row>
    <row r="228" spans="1:13" x14ac:dyDescent="0.35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</row>
    <row r="229" spans="1:13" x14ac:dyDescent="0.35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</row>
    <row r="230" spans="1:13" x14ac:dyDescent="0.35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</row>
    <row r="231" spans="1:13" x14ac:dyDescent="0.35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</row>
    <row r="232" spans="1:13" x14ac:dyDescent="0.35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</row>
    <row r="233" spans="1:13" x14ac:dyDescent="0.35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</row>
    <row r="234" spans="1:13" x14ac:dyDescent="0.35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</row>
    <row r="235" spans="1:13" x14ac:dyDescent="0.35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</row>
    <row r="236" spans="1:13" x14ac:dyDescent="0.35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</row>
    <row r="237" spans="1:13" x14ac:dyDescent="0.35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</row>
    <row r="238" spans="1:13" x14ac:dyDescent="0.35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</row>
    <row r="239" spans="1:13" x14ac:dyDescent="0.35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</row>
    <row r="240" spans="1:13" x14ac:dyDescent="0.35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</row>
    <row r="241" spans="1:13" x14ac:dyDescent="0.35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</row>
    <row r="242" spans="1:13" x14ac:dyDescent="0.35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</row>
    <row r="243" spans="1:13" x14ac:dyDescent="0.35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</row>
    <row r="244" spans="1:13" x14ac:dyDescent="0.35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</row>
    <row r="245" spans="1:13" x14ac:dyDescent="0.35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</row>
    <row r="246" spans="1:13" x14ac:dyDescent="0.35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</row>
    <row r="247" spans="1:13" x14ac:dyDescent="0.35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</row>
    <row r="248" spans="1:13" x14ac:dyDescent="0.35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</row>
    <row r="249" spans="1:13" x14ac:dyDescent="0.35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</row>
    <row r="250" spans="1:13" x14ac:dyDescent="0.35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</row>
    <row r="251" spans="1:13" x14ac:dyDescent="0.35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</row>
    <row r="252" spans="1:13" x14ac:dyDescent="0.35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</row>
    <row r="253" spans="1:13" x14ac:dyDescent="0.35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</row>
    <row r="254" spans="1:13" x14ac:dyDescent="0.35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</row>
    <row r="255" spans="1:13" x14ac:dyDescent="0.35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</row>
    <row r="256" spans="1:13" x14ac:dyDescent="0.35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</row>
    <row r="257" spans="1:13" x14ac:dyDescent="0.35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</row>
    <row r="258" spans="1:13" x14ac:dyDescent="0.35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</row>
    <row r="259" spans="1:13" x14ac:dyDescent="0.35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</row>
    <row r="260" spans="1:13" x14ac:dyDescent="0.35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</row>
    <row r="261" spans="1:13" x14ac:dyDescent="0.35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</row>
    <row r="262" spans="1:13" x14ac:dyDescent="0.35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</row>
    <row r="263" spans="1:13" x14ac:dyDescent="0.35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</row>
    <row r="264" spans="1:13" x14ac:dyDescent="0.35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</row>
    <row r="265" spans="1:13" x14ac:dyDescent="0.35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</row>
    <row r="266" spans="1:13" x14ac:dyDescent="0.35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</row>
    <row r="267" spans="1:13" x14ac:dyDescent="0.35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</row>
    <row r="268" spans="1:13" x14ac:dyDescent="0.35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</row>
    <row r="269" spans="1:13" x14ac:dyDescent="0.35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</row>
    <row r="270" spans="1:13" x14ac:dyDescent="0.35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</row>
    <row r="271" spans="1:13" x14ac:dyDescent="0.35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</row>
    <row r="272" spans="1:13" x14ac:dyDescent="0.35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</row>
    <row r="273" spans="1:13" x14ac:dyDescent="0.35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</row>
    <row r="274" spans="1:13" x14ac:dyDescent="0.35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</row>
    <row r="275" spans="1:13" x14ac:dyDescent="0.35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</row>
    <row r="276" spans="1:13" x14ac:dyDescent="0.35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</row>
    <row r="277" spans="1:13" x14ac:dyDescent="0.35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</row>
    <row r="278" spans="1:13" x14ac:dyDescent="0.35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</row>
    <row r="279" spans="1:13" x14ac:dyDescent="0.35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</row>
    <row r="280" spans="1:13" x14ac:dyDescent="0.35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</row>
    <row r="281" spans="1:13" x14ac:dyDescent="0.35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</row>
    <row r="282" spans="1:13" x14ac:dyDescent="0.35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</row>
    <row r="283" spans="1:13" x14ac:dyDescent="0.35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</row>
    <row r="284" spans="1:13" x14ac:dyDescent="0.35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</row>
    <row r="285" spans="1:13" x14ac:dyDescent="0.35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</row>
    <row r="286" spans="1:13" x14ac:dyDescent="0.35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</row>
    <row r="287" spans="1:13" x14ac:dyDescent="0.35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</row>
    <row r="288" spans="1:13" x14ac:dyDescent="0.35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</row>
    <row r="289" spans="1:13" x14ac:dyDescent="0.35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</row>
    <row r="290" spans="1:13" x14ac:dyDescent="0.35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</row>
    <row r="291" spans="1:13" x14ac:dyDescent="0.35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</row>
    <row r="292" spans="1:13" x14ac:dyDescent="0.35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</row>
    <row r="293" spans="1:13" x14ac:dyDescent="0.35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</row>
    <row r="294" spans="1:13" x14ac:dyDescent="0.35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</row>
    <row r="295" spans="1:13" x14ac:dyDescent="0.35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</row>
    <row r="296" spans="1:13" x14ac:dyDescent="0.35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</row>
    <row r="297" spans="1:13" x14ac:dyDescent="0.35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</row>
    <row r="298" spans="1:13" x14ac:dyDescent="0.35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</row>
    <row r="299" spans="1:13" x14ac:dyDescent="0.35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</row>
    <row r="300" spans="1:13" x14ac:dyDescent="0.35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</row>
    <row r="301" spans="1:13" x14ac:dyDescent="0.35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</row>
    <row r="302" spans="1:13" x14ac:dyDescent="0.35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</row>
    <row r="303" spans="1:13" x14ac:dyDescent="0.35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</row>
    <row r="304" spans="1:13" x14ac:dyDescent="0.35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</row>
    <row r="305" spans="1:13" x14ac:dyDescent="0.35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</row>
    <row r="306" spans="1:13" x14ac:dyDescent="0.35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</row>
    <row r="307" spans="1:13" x14ac:dyDescent="0.35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</row>
    <row r="308" spans="1:13" x14ac:dyDescent="0.35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</row>
    <row r="309" spans="1:13" x14ac:dyDescent="0.35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</row>
    <row r="310" spans="1:13" x14ac:dyDescent="0.35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</row>
    <row r="311" spans="1:13" x14ac:dyDescent="0.35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</row>
    <row r="312" spans="1:13" x14ac:dyDescent="0.35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</row>
    <row r="313" spans="1:13" x14ac:dyDescent="0.35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</row>
    <row r="314" spans="1:13" x14ac:dyDescent="0.35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</row>
    <row r="315" spans="1:13" x14ac:dyDescent="0.35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</row>
    <row r="316" spans="1:13" x14ac:dyDescent="0.35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</row>
    <row r="317" spans="1:13" x14ac:dyDescent="0.35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</row>
    <row r="318" spans="1:13" x14ac:dyDescent="0.35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</row>
    <row r="319" spans="1:13" x14ac:dyDescent="0.35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</row>
    <row r="320" spans="1:13" x14ac:dyDescent="0.35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</row>
    <row r="321" spans="1:13" x14ac:dyDescent="0.35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</row>
    <row r="322" spans="1:13" x14ac:dyDescent="0.35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</row>
    <row r="323" spans="1:13" x14ac:dyDescent="0.35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</row>
    <row r="324" spans="1:13" x14ac:dyDescent="0.35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</row>
    <row r="325" spans="1:13" x14ac:dyDescent="0.35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</row>
    <row r="326" spans="1:13" x14ac:dyDescent="0.35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</row>
    <row r="327" spans="1:13" x14ac:dyDescent="0.35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</row>
    <row r="328" spans="1:13" x14ac:dyDescent="0.35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</row>
    <row r="329" spans="1:13" x14ac:dyDescent="0.35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</row>
    <row r="330" spans="1:13" x14ac:dyDescent="0.35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</row>
    <row r="331" spans="1:13" x14ac:dyDescent="0.35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</row>
    <row r="332" spans="1:13" x14ac:dyDescent="0.35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</row>
    <row r="333" spans="1:13" x14ac:dyDescent="0.35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</row>
    <row r="334" spans="1:13" x14ac:dyDescent="0.35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</row>
    <row r="335" spans="1:13" x14ac:dyDescent="0.35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</row>
    <row r="336" spans="1:13" x14ac:dyDescent="0.35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</row>
    <row r="337" spans="1:13" x14ac:dyDescent="0.35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</row>
    <row r="338" spans="1:13" x14ac:dyDescent="0.35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</row>
    <row r="339" spans="1:13" x14ac:dyDescent="0.35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</row>
    <row r="340" spans="1:13" x14ac:dyDescent="0.35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</row>
    <row r="341" spans="1:13" x14ac:dyDescent="0.35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</row>
    <row r="342" spans="1:13" x14ac:dyDescent="0.35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</row>
    <row r="343" spans="1:13" x14ac:dyDescent="0.35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</row>
    <row r="344" spans="1:13" x14ac:dyDescent="0.35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</row>
    <row r="345" spans="1:13" x14ac:dyDescent="0.35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</row>
    <row r="346" spans="1:13" x14ac:dyDescent="0.35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</row>
    <row r="347" spans="1:13" x14ac:dyDescent="0.35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</row>
    <row r="348" spans="1:13" x14ac:dyDescent="0.35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</row>
    <row r="349" spans="1:13" x14ac:dyDescent="0.35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</row>
    <row r="350" spans="1:13" x14ac:dyDescent="0.35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</row>
    <row r="351" spans="1:13" x14ac:dyDescent="0.35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</row>
    <row r="352" spans="1:13" x14ac:dyDescent="0.35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</row>
    <row r="353" spans="1:13" x14ac:dyDescent="0.35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</row>
    <row r="354" spans="1:13" x14ac:dyDescent="0.35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</row>
    <row r="355" spans="1:13" x14ac:dyDescent="0.35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</row>
    <row r="356" spans="1:13" x14ac:dyDescent="0.35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</row>
    <row r="357" spans="1:13" x14ac:dyDescent="0.35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</row>
    <row r="358" spans="1:13" x14ac:dyDescent="0.35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</row>
    <row r="359" spans="1:13" x14ac:dyDescent="0.35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</row>
    <row r="360" spans="1:13" x14ac:dyDescent="0.35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</row>
    <row r="361" spans="1:13" x14ac:dyDescent="0.35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</row>
    <row r="362" spans="1:13" x14ac:dyDescent="0.35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</row>
    <row r="363" spans="1:13" x14ac:dyDescent="0.35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</row>
    <row r="364" spans="1:13" x14ac:dyDescent="0.35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</row>
    <row r="365" spans="1:13" x14ac:dyDescent="0.35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</row>
    <row r="366" spans="1:13" x14ac:dyDescent="0.35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</row>
    <row r="367" spans="1:13" x14ac:dyDescent="0.35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</row>
    <row r="368" spans="1:13" x14ac:dyDescent="0.35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</row>
    <row r="369" spans="1:13" x14ac:dyDescent="0.35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</row>
    <row r="370" spans="1:13" x14ac:dyDescent="0.35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</row>
    <row r="371" spans="1:13" x14ac:dyDescent="0.35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</row>
    <row r="372" spans="1:13" x14ac:dyDescent="0.35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</row>
    <row r="373" spans="1:13" x14ac:dyDescent="0.35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</row>
    <row r="374" spans="1:13" x14ac:dyDescent="0.35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</row>
    <row r="375" spans="1:13" x14ac:dyDescent="0.35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</row>
    <row r="376" spans="1:13" x14ac:dyDescent="0.35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</row>
    <row r="377" spans="1:13" x14ac:dyDescent="0.35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</row>
    <row r="378" spans="1:13" x14ac:dyDescent="0.35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</row>
    <row r="379" spans="1:13" x14ac:dyDescent="0.35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</row>
    <row r="380" spans="1:13" x14ac:dyDescent="0.35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</row>
    <row r="381" spans="1:13" x14ac:dyDescent="0.35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</row>
    <row r="382" spans="1:13" x14ac:dyDescent="0.35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</row>
    <row r="383" spans="1:13" x14ac:dyDescent="0.35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</row>
    <row r="384" spans="1:13" x14ac:dyDescent="0.35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</row>
    <row r="385" spans="1:13" x14ac:dyDescent="0.35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</row>
    <row r="386" spans="1:13" x14ac:dyDescent="0.35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</row>
    <row r="387" spans="1:13" x14ac:dyDescent="0.35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</row>
    <row r="388" spans="1:13" x14ac:dyDescent="0.35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</row>
    <row r="389" spans="1:13" x14ac:dyDescent="0.35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</row>
    <row r="390" spans="1:13" x14ac:dyDescent="0.35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</row>
    <row r="391" spans="1:13" x14ac:dyDescent="0.35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</row>
    <row r="392" spans="1:13" x14ac:dyDescent="0.35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</row>
    <row r="393" spans="1:13" x14ac:dyDescent="0.35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</row>
    <row r="394" spans="1:13" x14ac:dyDescent="0.35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</row>
    <row r="395" spans="1:13" x14ac:dyDescent="0.35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</row>
    <row r="396" spans="1:13" x14ac:dyDescent="0.35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</row>
    <row r="397" spans="1:13" x14ac:dyDescent="0.35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</row>
    <row r="398" spans="1:13" x14ac:dyDescent="0.35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</row>
    <row r="399" spans="1:13" x14ac:dyDescent="0.35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</row>
    <row r="400" spans="1:13" x14ac:dyDescent="0.35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</row>
    <row r="401" spans="1:13" x14ac:dyDescent="0.35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</row>
    <row r="402" spans="1:13" x14ac:dyDescent="0.35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</row>
    <row r="403" spans="1:13" x14ac:dyDescent="0.35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</row>
    <row r="404" spans="1:13" x14ac:dyDescent="0.35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</row>
    <row r="405" spans="1:13" x14ac:dyDescent="0.35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</row>
    <row r="406" spans="1:13" x14ac:dyDescent="0.35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</row>
    <row r="407" spans="1:13" x14ac:dyDescent="0.35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</row>
    <row r="408" spans="1:13" x14ac:dyDescent="0.35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</row>
    <row r="409" spans="1:13" x14ac:dyDescent="0.35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</row>
    <row r="410" spans="1:13" x14ac:dyDescent="0.35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</row>
    <row r="411" spans="1:13" x14ac:dyDescent="0.35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</row>
    <row r="412" spans="1:13" x14ac:dyDescent="0.35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</row>
    <row r="413" spans="1:13" x14ac:dyDescent="0.35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</row>
    <row r="414" spans="1:13" x14ac:dyDescent="0.35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</row>
    <row r="415" spans="1:13" x14ac:dyDescent="0.35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</row>
    <row r="416" spans="1:13" x14ac:dyDescent="0.35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</row>
    <row r="417" spans="1:13" x14ac:dyDescent="0.35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</row>
    <row r="418" spans="1:13" x14ac:dyDescent="0.35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</row>
    <row r="419" spans="1:13" x14ac:dyDescent="0.35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</row>
    <row r="420" spans="1:13" x14ac:dyDescent="0.35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</row>
    <row r="421" spans="1:13" x14ac:dyDescent="0.35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</row>
    <row r="422" spans="1:13" x14ac:dyDescent="0.35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</row>
    <row r="423" spans="1:13" x14ac:dyDescent="0.35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</row>
    <row r="424" spans="1:13" x14ac:dyDescent="0.35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</row>
    <row r="425" spans="1:13" x14ac:dyDescent="0.35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</row>
    <row r="426" spans="1:13" x14ac:dyDescent="0.35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</row>
    <row r="427" spans="1:13" x14ac:dyDescent="0.35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</row>
    <row r="428" spans="1:13" x14ac:dyDescent="0.35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</row>
    <row r="429" spans="1:13" x14ac:dyDescent="0.35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</row>
    <row r="430" spans="1:13" x14ac:dyDescent="0.35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</row>
    <row r="431" spans="1:13" x14ac:dyDescent="0.35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</row>
    <row r="432" spans="1:13" x14ac:dyDescent="0.35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</row>
    <row r="433" spans="1:13" x14ac:dyDescent="0.35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</row>
    <row r="434" spans="1:13" x14ac:dyDescent="0.35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</row>
    <row r="435" spans="1:13" x14ac:dyDescent="0.35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</row>
    <row r="436" spans="1:13" x14ac:dyDescent="0.35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</row>
    <row r="437" spans="1:13" x14ac:dyDescent="0.35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</row>
    <row r="438" spans="1:13" x14ac:dyDescent="0.35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</row>
    <row r="439" spans="1:13" x14ac:dyDescent="0.35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</row>
    <row r="440" spans="1:13" x14ac:dyDescent="0.35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</row>
    <row r="441" spans="1:13" x14ac:dyDescent="0.35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</row>
    <row r="442" spans="1:13" x14ac:dyDescent="0.35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</row>
    <row r="443" spans="1:13" x14ac:dyDescent="0.35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</row>
    <row r="444" spans="1:13" x14ac:dyDescent="0.35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</row>
    <row r="445" spans="1:13" x14ac:dyDescent="0.35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</row>
    <row r="446" spans="1:13" x14ac:dyDescent="0.35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</row>
    <row r="447" spans="1:13" x14ac:dyDescent="0.35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</row>
    <row r="448" spans="1:13" x14ac:dyDescent="0.35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</row>
    <row r="449" spans="1:13" x14ac:dyDescent="0.35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</row>
    <row r="450" spans="1:13" x14ac:dyDescent="0.35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</row>
    <row r="451" spans="1:13" x14ac:dyDescent="0.35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</row>
    <row r="452" spans="1:13" x14ac:dyDescent="0.35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</row>
    <row r="453" spans="1:13" x14ac:dyDescent="0.35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</row>
    <row r="454" spans="1:13" x14ac:dyDescent="0.35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</row>
    <row r="455" spans="1:13" x14ac:dyDescent="0.35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</row>
    <row r="456" spans="1:13" x14ac:dyDescent="0.35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</row>
    <row r="457" spans="1:13" x14ac:dyDescent="0.35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</row>
    <row r="458" spans="1:13" x14ac:dyDescent="0.35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</row>
    <row r="459" spans="1:13" x14ac:dyDescent="0.35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</row>
    <row r="460" spans="1:13" x14ac:dyDescent="0.35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</row>
    <row r="461" spans="1:13" x14ac:dyDescent="0.35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</row>
    <row r="462" spans="1:13" x14ac:dyDescent="0.35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</row>
    <row r="463" spans="1:13" x14ac:dyDescent="0.35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</row>
    <row r="464" spans="1:13" x14ac:dyDescent="0.35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</row>
    <row r="465" spans="1:13" x14ac:dyDescent="0.35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</row>
    <row r="466" spans="1:13" x14ac:dyDescent="0.35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</row>
    <row r="467" spans="1:13" x14ac:dyDescent="0.35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</row>
    <row r="468" spans="1:13" x14ac:dyDescent="0.35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</row>
    <row r="469" spans="1:13" x14ac:dyDescent="0.35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</row>
    <row r="470" spans="1:13" x14ac:dyDescent="0.35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</row>
    <row r="471" spans="1:13" x14ac:dyDescent="0.35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</row>
    <row r="472" spans="1:13" x14ac:dyDescent="0.35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</row>
    <row r="473" spans="1:13" x14ac:dyDescent="0.35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</row>
    <row r="474" spans="1:13" x14ac:dyDescent="0.35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</row>
    <row r="475" spans="1:13" x14ac:dyDescent="0.35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</row>
    <row r="476" spans="1:13" x14ac:dyDescent="0.35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</row>
    <row r="477" spans="1:13" x14ac:dyDescent="0.35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</row>
    <row r="478" spans="1:13" x14ac:dyDescent="0.35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</row>
    <row r="479" spans="1:13" x14ac:dyDescent="0.35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</row>
    <row r="480" spans="1:13" x14ac:dyDescent="0.35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</row>
    <row r="481" spans="1:13" x14ac:dyDescent="0.35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</row>
    <row r="482" spans="1:13" x14ac:dyDescent="0.35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</row>
    <row r="483" spans="1:13" x14ac:dyDescent="0.35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</row>
    <row r="484" spans="1:13" x14ac:dyDescent="0.35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</row>
    <row r="485" spans="1:13" x14ac:dyDescent="0.35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</row>
    <row r="486" spans="1:13" x14ac:dyDescent="0.35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</row>
    <row r="487" spans="1:13" x14ac:dyDescent="0.35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</row>
    <row r="488" spans="1:13" x14ac:dyDescent="0.35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</row>
    <row r="489" spans="1:13" x14ac:dyDescent="0.35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</row>
    <row r="490" spans="1:13" x14ac:dyDescent="0.35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</row>
    <row r="491" spans="1:13" x14ac:dyDescent="0.35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</row>
    <row r="492" spans="1:13" x14ac:dyDescent="0.35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</row>
    <row r="493" spans="1:13" x14ac:dyDescent="0.35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</row>
    <row r="494" spans="1:13" x14ac:dyDescent="0.35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</row>
    <row r="495" spans="1:13" x14ac:dyDescent="0.35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</row>
    <row r="496" spans="1:13" x14ac:dyDescent="0.35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</row>
    <row r="497" spans="1:13" x14ac:dyDescent="0.35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</row>
    <row r="498" spans="1:13" x14ac:dyDescent="0.35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</row>
    <row r="499" spans="1:13" x14ac:dyDescent="0.35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</row>
    <row r="500" spans="1:13" x14ac:dyDescent="0.35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</row>
    <row r="501" spans="1:13" x14ac:dyDescent="0.35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</row>
    <row r="502" spans="1:13" x14ac:dyDescent="0.35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</row>
    <row r="503" spans="1:13" x14ac:dyDescent="0.35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</row>
    <row r="504" spans="1:13" x14ac:dyDescent="0.35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</row>
    <row r="505" spans="1:13" x14ac:dyDescent="0.35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</row>
    <row r="506" spans="1:13" x14ac:dyDescent="0.35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</row>
    <row r="507" spans="1:13" x14ac:dyDescent="0.35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</row>
    <row r="508" spans="1:13" x14ac:dyDescent="0.35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</row>
    <row r="509" spans="1:13" x14ac:dyDescent="0.35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</row>
    <row r="510" spans="1:13" x14ac:dyDescent="0.35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</row>
    <row r="511" spans="1:13" x14ac:dyDescent="0.35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</row>
    <row r="512" spans="1:13" x14ac:dyDescent="0.35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</row>
    <row r="513" spans="1:13" x14ac:dyDescent="0.35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</row>
    <row r="514" spans="1:13" x14ac:dyDescent="0.35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</row>
    <row r="515" spans="1:13" x14ac:dyDescent="0.35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</row>
    <row r="516" spans="1:13" x14ac:dyDescent="0.35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</row>
    <row r="517" spans="1:13" x14ac:dyDescent="0.35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</row>
    <row r="518" spans="1:13" x14ac:dyDescent="0.35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</row>
    <row r="519" spans="1:13" x14ac:dyDescent="0.35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</row>
    <row r="520" spans="1:13" x14ac:dyDescent="0.35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</row>
    <row r="521" spans="1:13" x14ac:dyDescent="0.35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</row>
    <row r="522" spans="1:13" x14ac:dyDescent="0.35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</row>
    <row r="523" spans="1:13" x14ac:dyDescent="0.35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</row>
    <row r="524" spans="1:13" x14ac:dyDescent="0.35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</row>
    <row r="525" spans="1:13" x14ac:dyDescent="0.35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</row>
    <row r="526" spans="1:13" x14ac:dyDescent="0.35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</row>
    <row r="527" spans="1:13" x14ac:dyDescent="0.35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</row>
    <row r="528" spans="1:13" x14ac:dyDescent="0.35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</row>
    <row r="529" spans="1:13" x14ac:dyDescent="0.35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</row>
    <row r="530" spans="1:13" x14ac:dyDescent="0.35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</row>
    <row r="531" spans="1:13" x14ac:dyDescent="0.35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</row>
    <row r="532" spans="1:13" x14ac:dyDescent="0.35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</row>
    <row r="533" spans="1:13" x14ac:dyDescent="0.35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</row>
    <row r="534" spans="1:13" x14ac:dyDescent="0.35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</row>
    <row r="535" spans="1:13" x14ac:dyDescent="0.35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</row>
    <row r="536" spans="1:13" x14ac:dyDescent="0.35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</row>
    <row r="537" spans="1:13" x14ac:dyDescent="0.35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</row>
    <row r="538" spans="1:13" x14ac:dyDescent="0.35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</row>
    <row r="539" spans="1:13" x14ac:dyDescent="0.35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</row>
    <row r="540" spans="1:13" x14ac:dyDescent="0.35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</row>
    <row r="541" spans="1:13" x14ac:dyDescent="0.35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</row>
    <row r="542" spans="1:13" x14ac:dyDescent="0.35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</row>
    <row r="543" spans="1:13" x14ac:dyDescent="0.35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</row>
    <row r="544" spans="1:13" x14ac:dyDescent="0.35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</row>
    <row r="545" spans="1:13" x14ac:dyDescent="0.35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</row>
    <row r="546" spans="1:13" x14ac:dyDescent="0.35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</row>
    <row r="547" spans="1:13" x14ac:dyDescent="0.35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</row>
    <row r="548" spans="1:13" x14ac:dyDescent="0.35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</row>
    <row r="549" spans="1:13" x14ac:dyDescent="0.35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</row>
    <row r="550" spans="1:13" x14ac:dyDescent="0.35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</row>
    <row r="551" spans="1:13" x14ac:dyDescent="0.35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</row>
    <row r="552" spans="1:13" x14ac:dyDescent="0.35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</row>
    <row r="553" spans="1:13" x14ac:dyDescent="0.35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</row>
    <row r="554" spans="1:13" x14ac:dyDescent="0.35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</row>
    <row r="555" spans="1:13" x14ac:dyDescent="0.35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</row>
    <row r="556" spans="1:13" x14ac:dyDescent="0.35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</row>
    <row r="557" spans="1:13" x14ac:dyDescent="0.35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</row>
    <row r="558" spans="1:13" x14ac:dyDescent="0.35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</row>
    <row r="559" spans="1:13" x14ac:dyDescent="0.35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</row>
    <row r="560" spans="1:13" x14ac:dyDescent="0.35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</row>
    <row r="561" spans="1:13" x14ac:dyDescent="0.35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</row>
    <row r="562" spans="1:13" x14ac:dyDescent="0.35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</row>
    <row r="563" spans="1:13" x14ac:dyDescent="0.35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</row>
    <row r="564" spans="1:13" x14ac:dyDescent="0.35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</row>
    <row r="565" spans="1:13" x14ac:dyDescent="0.35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</row>
    <row r="566" spans="1:13" x14ac:dyDescent="0.35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</row>
    <row r="567" spans="1:13" x14ac:dyDescent="0.35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</row>
    <row r="568" spans="1:13" x14ac:dyDescent="0.35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</row>
    <row r="569" spans="1:13" x14ac:dyDescent="0.35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</row>
    <row r="570" spans="1:13" x14ac:dyDescent="0.35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</row>
    <row r="571" spans="1:13" x14ac:dyDescent="0.35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</row>
    <row r="572" spans="1:13" x14ac:dyDescent="0.35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</row>
    <row r="573" spans="1:13" x14ac:dyDescent="0.35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</row>
    <row r="574" spans="1:13" x14ac:dyDescent="0.35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</row>
    <row r="575" spans="1:13" x14ac:dyDescent="0.35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</row>
    <row r="576" spans="1:13" x14ac:dyDescent="0.35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</row>
    <row r="577" spans="1:13" x14ac:dyDescent="0.35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</row>
    <row r="578" spans="1:13" x14ac:dyDescent="0.35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</row>
    <row r="579" spans="1:13" x14ac:dyDescent="0.35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</row>
    <row r="580" spans="1:13" x14ac:dyDescent="0.35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</row>
    <row r="581" spans="1:13" x14ac:dyDescent="0.35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</row>
    <row r="582" spans="1:13" x14ac:dyDescent="0.35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</row>
    <row r="583" spans="1:13" x14ac:dyDescent="0.35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</row>
    <row r="584" spans="1:13" x14ac:dyDescent="0.35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</row>
    <row r="585" spans="1:13" x14ac:dyDescent="0.35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</row>
    <row r="586" spans="1:13" x14ac:dyDescent="0.35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</row>
    <row r="587" spans="1:13" x14ac:dyDescent="0.35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</row>
    <row r="588" spans="1:13" x14ac:dyDescent="0.35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</row>
    <row r="589" spans="1:13" x14ac:dyDescent="0.35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</row>
    <row r="590" spans="1:13" x14ac:dyDescent="0.35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</row>
    <row r="591" spans="1:13" x14ac:dyDescent="0.35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</row>
    <row r="592" spans="1:13" x14ac:dyDescent="0.35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</row>
    <row r="593" spans="1:13" x14ac:dyDescent="0.35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</row>
    <row r="594" spans="1:13" x14ac:dyDescent="0.35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</row>
    <row r="595" spans="1:13" x14ac:dyDescent="0.35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</row>
    <row r="596" spans="1:13" x14ac:dyDescent="0.35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</row>
    <row r="597" spans="1:13" x14ac:dyDescent="0.35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</row>
    <row r="598" spans="1:13" x14ac:dyDescent="0.35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</row>
    <row r="599" spans="1:13" x14ac:dyDescent="0.35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</row>
    <row r="600" spans="1:13" x14ac:dyDescent="0.35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</row>
    <row r="601" spans="1:13" x14ac:dyDescent="0.35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</row>
    <row r="602" spans="1:13" x14ac:dyDescent="0.35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</row>
    <row r="603" spans="1:13" x14ac:dyDescent="0.35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</row>
    <row r="604" spans="1:13" x14ac:dyDescent="0.35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</row>
    <row r="605" spans="1:13" x14ac:dyDescent="0.35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</row>
    <row r="606" spans="1:13" x14ac:dyDescent="0.35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</row>
    <row r="607" spans="1:13" x14ac:dyDescent="0.35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</row>
    <row r="608" spans="1:13" x14ac:dyDescent="0.35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</row>
    <row r="609" spans="1:13" x14ac:dyDescent="0.35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</row>
    <row r="610" spans="1:13" x14ac:dyDescent="0.35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</row>
    <row r="611" spans="1:13" x14ac:dyDescent="0.35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</row>
    <row r="612" spans="1:13" x14ac:dyDescent="0.35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</row>
    <row r="613" spans="1:13" x14ac:dyDescent="0.35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</row>
    <row r="614" spans="1:13" x14ac:dyDescent="0.35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</row>
    <row r="615" spans="1:13" x14ac:dyDescent="0.35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</row>
    <row r="616" spans="1:13" x14ac:dyDescent="0.35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</row>
    <row r="617" spans="1:13" x14ac:dyDescent="0.35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</row>
    <row r="618" spans="1:13" x14ac:dyDescent="0.35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</row>
    <row r="619" spans="1:13" x14ac:dyDescent="0.35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</row>
    <row r="620" spans="1:13" x14ac:dyDescent="0.35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</row>
    <row r="621" spans="1:13" x14ac:dyDescent="0.35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</row>
    <row r="622" spans="1:13" x14ac:dyDescent="0.35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</row>
    <row r="623" spans="1:13" x14ac:dyDescent="0.35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</row>
    <row r="624" spans="1:13" x14ac:dyDescent="0.35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</row>
    <row r="625" spans="1:13" x14ac:dyDescent="0.35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</row>
    <row r="626" spans="1:13" x14ac:dyDescent="0.35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</row>
    <row r="627" spans="1:13" x14ac:dyDescent="0.35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</row>
    <row r="628" spans="1:13" x14ac:dyDescent="0.35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</row>
    <row r="629" spans="1:13" x14ac:dyDescent="0.35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</row>
    <row r="630" spans="1:13" x14ac:dyDescent="0.35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</row>
    <row r="631" spans="1:13" x14ac:dyDescent="0.35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</row>
    <row r="632" spans="1:13" x14ac:dyDescent="0.35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</row>
    <row r="633" spans="1:13" x14ac:dyDescent="0.35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</row>
    <row r="634" spans="1:13" x14ac:dyDescent="0.35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</row>
    <row r="635" spans="1:13" x14ac:dyDescent="0.35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</row>
    <row r="636" spans="1:13" x14ac:dyDescent="0.35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</row>
    <row r="637" spans="1:13" x14ac:dyDescent="0.35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</row>
    <row r="638" spans="1:13" x14ac:dyDescent="0.35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</row>
    <row r="639" spans="1:13" x14ac:dyDescent="0.35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</row>
    <row r="640" spans="1:13" x14ac:dyDescent="0.35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</row>
    <row r="641" spans="1:13" x14ac:dyDescent="0.35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</row>
    <row r="642" spans="1:13" x14ac:dyDescent="0.35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</row>
    <row r="643" spans="1:13" x14ac:dyDescent="0.35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</row>
    <row r="644" spans="1:13" x14ac:dyDescent="0.35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</row>
    <row r="645" spans="1:13" x14ac:dyDescent="0.35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</row>
    <row r="646" spans="1:13" x14ac:dyDescent="0.35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</row>
    <row r="647" spans="1:13" x14ac:dyDescent="0.35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</row>
    <row r="648" spans="1:13" x14ac:dyDescent="0.35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</row>
    <row r="649" spans="1:13" x14ac:dyDescent="0.35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</row>
    <row r="650" spans="1:13" x14ac:dyDescent="0.35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</row>
    <row r="651" spans="1:13" x14ac:dyDescent="0.35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</row>
    <row r="652" spans="1:13" x14ac:dyDescent="0.35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</row>
    <row r="653" spans="1:13" x14ac:dyDescent="0.35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</row>
    <row r="654" spans="1:13" x14ac:dyDescent="0.35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</row>
    <row r="655" spans="1:13" x14ac:dyDescent="0.35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</row>
    <row r="656" spans="1:13" x14ac:dyDescent="0.35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</row>
    <row r="657" spans="1:13" x14ac:dyDescent="0.35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</row>
    <row r="658" spans="1:13" x14ac:dyDescent="0.35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</row>
    <row r="659" spans="1:13" x14ac:dyDescent="0.35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</row>
    <row r="660" spans="1:13" x14ac:dyDescent="0.35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</row>
    <row r="661" spans="1:13" x14ac:dyDescent="0.35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</row>
    <row r="662" spans="1:13" x14ac:dyDescent="0.35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</row>
    <row r="663" spans="1:13" x14ac:dyDescent="0.35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</row>
    <row r="664" spans="1:13" x14ac:dyDescent="0.35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</row>
    <row r="665" spans="1:13" x14ac:dyDescent="0.35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</row>
    <row r="666" spans="1:13" x14ac:dyDescent="0.35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</row>
    <row r="667" spans="1:13" x14ac:dyDescent="0.35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</row>
    <row r="668" spans="1:13" x14ac:dyDescent="0.35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</row>
    <row r="669" spans="1:13" x14ac:dyDescent="0.35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</row>
    <row r="670" spans="1:13" x14ac:dyDescent="0.35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</row>
    <row r="671" spans="1:13" x14ac:dyDescent="0.35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</row>
    <row r="672" spans="1:13" x14ac:dyDescent="0.35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</row>
    <row r="673" spans="1:13" x14ac:dyDescent="0.35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</row>
    <row r="674" spans="1:13" x14ac:dyDescent="0.35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</row>
    <row r="675" spans="1:13" x14ac:dyDescent="0.35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</row>
    <row r="676" spans="1:13" x14ac:dyDescent="0.35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</row>
    <row r="677" spans="1:13" x14ac:dyDescent="0.35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</row>
    <row r="678" spans="1:13" x14ac:dyDescent="0.35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</row>
    <row r="679" spans="1:13" x14ac:dyDescent="0.35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</row>
    <row r="680" spans="1:13" x14ac:dyDescent="0.35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</row>
    <row r="681" spans="1:13" x14ac:dyDescent="0.35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</row>
    <row r="682" spans="1:13" x14ac:dyDescent="0.35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</row>
    <row r="683" spans="1:13" x14ac:dyDescent="0.35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</row>
    <row r="684" spans="1:13" x14ac:dyDescent="0.35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</row>
    <row r="685" spans="1:13" x14ac:dyDescent="0.35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</row>
    <row r="686" spans="1:13" x14ac:dyDescent="0.35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</row>
    <row r="687" spans="1:13" x14ac:dyDescent="0.35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</row>
    <row r="688" spans="1:13" x14ac:dyDescent="0.35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</row>
    <row r="689" spans="1:13" x14ac:dyDescent="0.35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</row>
    <row r="690" spans="1:13" x14ac:dyDescent="0.35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</row>
    <row r="691" spans="1:13" x14ac:dyDescent="0.35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</row>
    <row r="692" spans="1:13" x14ac:dyDescent="0.35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</row>
    <row r="693" spans="1:13" x14ac:dyDescent="0.35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</row>
    <row r="694" spans="1:13" x14ac:dyDescent="0.35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</row>
    <row r="695" spans="1:13" x14ac:dyDescent="0.35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</row>
    <row r="696" spans="1:13" x14ac:dyDescent="0.35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</row>
    <row r="697" spans="1:13" x14ac:dyDescent="0.35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</row>
    <row r="698" spans="1:13" x14ac:dyDescent="0.35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</row>
    <row r="699" spans="1:13" x14ac:dyDescent="0.35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</row>
    <row r="700" spans="1:13" x14ac:dyDescent="0.35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</row>
    <row r="701" spans="1:13" x14ac:dyDescent="0.35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</row>
    <row r="702" spans="1:13" x14ac:dyDescent="0.35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</row>
    <row r="703" spans="1:13" x14ac:dyDescent="0.35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</row>
    <row r="704" spans="1:13" x14ac:dyDescent="0.35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</row>
    <row r="705" spans="1:13" x14ac:dyDescent="0.35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</row>
    <row r="706" spans="1:13" x14ac:dyDescent="0.35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</row>
    <row r="707" spans="1:13" x14ac:dyDescent="0.35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</row>
    <row r="708" spans="1:13" x14ac:dyDescent="0.35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</row>
    <row r="709" spans="1:13" x14ac:dyDescent="0.35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</row>
    <row r="710" spans="1:13" x14ac:dyDescent="0.35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</row>
    <row r="711" spans="1:13" x14ac:dyDescent="0.35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</row>
    <row r="712" spans="1:13" x14ac:dyDescent="0.35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</row>
    <row r="713" spans="1:13" x14ac:dyDescent="0.35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</row>
    <row r="714" spans="1:13" x14ac:dyDescent="0.35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</row>
    <row r="715" spans="1:13" x14ac:dyDescent="0.35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</row>
    <row r="716" spans="1:13" x14ac:dyDescent="0.35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</row>
    <row r="717" spans="1:13" x14ac:dyDescent="0.35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</row>
    <row r="718" spans="1:13" x14ac:dyDescent="0.35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</row>
    <row r="719" spans="1:13" x14ac:dyDescent="0.35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</row>
    <row r="720" spans="1:13" x14ac:dyDescent="0.35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</row>
    <row r="721" spans="1:13" x14ac:dyDescent="0.35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</row>
    <row r="722" spans="1:13" x14ac:dyDescent="0.35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</row>
    <row r="723" spans="1:13" x14ac:dyDescent="0.35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</row>
    <row r="724" spans="1:13" x14ac:dyDescent="0.35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</row>
    <row r="725" spans="1:13" x14ac:dyDescent="0.35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</row>
    <row r="726" spans="1:13" x14ac:dyDescent="0.35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</row>
    <row r="727" spans="1:13" x14ac:dyDescent="0.35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</row>
    <row r="728" spans="1:13" x14ac:dyDescent="0.35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</row>
    <row r="729" spans="1:13" x14ac:dyDescent="0.35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</row>
    <row r="730" spans="1:13" x14ac:dyDescent="0.35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</row>
    <row r="731" spans="1:13" x14ac:dyDescent="0.35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</row>
    <row r="732" spans="1:13" x14ac:dyDescent="0.35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</row>
    <row r="733" spans="1:13" x14ac:dyDescent="0.35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</row>
    <row r="734" spans="1:13" x14ac:dyDescent="0.35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</row>
    <row r="735" spans="1:13" x14ac:dyDescent="0.35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</row>
    <row r="736" spans="1:13" x14ac:dyDescent="0.35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</row>
    <row r="737" spans="1:13" x14ac:dyDescent="0.35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</row>
    <row r="738" spans="1:13" x14ac:dyDescent="0.35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</row>
    <row r="739" spans="1:13" x14ac:dyDescent="0.35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</row>
    <row r="740" spans="1:13" x14ac:dyDescent="0.35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</row>
    <row r="741" spans="1:13" x14ac:dyDescent="0.35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</row>
    <row r="742" spans="1:13" x14ac:dyDescent="0.35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</row>
    <row r="743" spans="1:13" x14ac:dyDescent="0.35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</row>
    <row r="744" spans="1:13" x14ac:dyDescent="0.35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</row>
    <row r="745" spans="1:13" x14ac:dyDescent="0.35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</row>
    <row r="746" spans="1:13" x14ac:dyDescent="0.35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</row>
    <row r="747" spans="1:13" x14ac:dyDescent="0.35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</row>
    <row r="748" spans="1:13" x14ac:dyDescent="0.35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</row>
    <row r="749" spans="1:13" x14ac:dyDescent="0.35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</row>
    <row r="750" spans="1:13" x14ac:dyDescent="0.35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</row>
    <row r="751" spans="1:13" x14ac:dyDescent="0.35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</row>
    <row r="752" spans="1:13" x14ac:dyDescent="0.35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</row>
    <row r="753" spans="1:13" x14ac:dyDescent="0.35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</row>
    <row r="754" spans="1:13" x14ac:dyDescent="0.35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</row>
    <row r="755" spans="1:13" x14ac:dyDescent="0.35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</row>
    <row r="756" spans="1:13" x14ac:dyDescent="0.35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</row>
    <row r="757" spans="1:13" x14ac:dyDescent="0.35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</row>
    <row r="758" spans="1:13" x14ac:dyDescent="0.35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</row>
    <row r="759" spans="1:13" x14ac:dyDescent="0.35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</row>
    <row r="760" spans="1:13" x14ac:dyDescent="0.35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</row>
    <row r="761" spans="1:13" x14ac:dyDescent="0.35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</row>
    <row r="762" spans="1:13" x14ac:dyDescent="0.35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</row>
    <row r="763" spans="1:13" x14ac:dyDescent="0.35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</row>
    <row r="764" spans="1:13" x14ac:dyDescent="0.35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</row>
    <row r="765" spans="1:13" x14ac:dyDescent="0.35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</row>
    <row r="766" spans="1:13" x14ac:dyDescent="0.35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</row>
    <row r="767" spans="1:13" x14ac:dyDescent="0.35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</row>
    <row r="768" spans="1:13" x14ac:dyDescent="0.35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</row>
    <row r="769" spans="1:13" x14ac:dyDescent="0.35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</row>
    <row r="770" spans="1:13" x14ac:dyDescent="0.35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</row>
    <row r="771" spans="1:13" x14ac:dyDescent="0.35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</row>
    <row r="772" spans="1:13" x14ac:dyDescent="0.35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</row>
    <row r="773" spans="1:13" x14ac:dyDescent="0.35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</row>
    <row r="774" spans="1:13" x14ac:dyDescent="0.35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</row>
    <row r="775" spans="1:13" x14ac:dyDescent="0.35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</row>
    <row r="776" spans="1:13" x14ac:dyDescent="0.35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</row>
    <row r="777" spans="1:13" x14ac:dyDescent="0.35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</row>
    <row r="778" spans="1:13" x14ac:dyDescent="0.35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</row>
    <row r="779" spans="1:13" x14ac:dyDescent="0.35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</row>
    <row r="780" spans="1:13" x14ac:dyDescent="0.35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</row>
    <row r="781" spans="1:13" x14ac:dyDescent="0.35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</row>
    <row r="782" spans="1:13" x14ac:dyDescent="0.35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</row>
    <row r="783" spans="1:13" x14ac:dyDescent="0.35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</row>
    <row r="784" spans="1:13" x14ac:dyDescent="0.35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</row>
    <row r="785" spans="1:13" x14ac:dyDescent="0.35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</row>
    <row r="786" spans="1:13" x14ac:dyDescent="0.35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</row>
    <row r="787" spans="1:13" x14ac:dyDescent="0.35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</row>
    <row r="788" spans="1:13" x14ac:dyDescent="0.35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</row>
    <row r="789" spans="1:13" x14ac:dyDescent="0.35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</row>
    <row r="790" spans="1:13" x14ac:dyDescent="0.35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</row>
    <row r="791" spans="1:13" x14ac:dyDescent="0.35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</row>
    <row r="792" spans="1:13" x14ac:dyDescent="0.35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</row>
    <row r="793" spans="1:13" x14ac:dyDescent="0.35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</row>
    <row r="794" spans="1:13" x14ac:dyDescent="0.35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</row>
    <row r="795" spans="1:13" x14ac:dyDescent="0.35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</row>
    <row r="796" spans="1:13" x14ac:dyDescent="0.35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</row>
    <row r="797" spans="1:13" x14ac:dyDescent="0.35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</row>
    <row r="798" spans="1:13" x14ac:dyDescent="0.35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</row>
    <row r="799" spans="1:13" x14ac:dyDescent="0.35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</row>
    <row r="800" spans="1:13" x14ac:dyDescent="0.35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</row>
    <row r="801" spans="1:13" x14ac:dyDescent="0.35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</row>
    <row r="802" spans="1:13" x14ac:dyDescent="0.35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</row>
    <row r="803" spans="1:13" x14ac:dyDescent="0.35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</row>
    <row r="804" spans="1:13" x14ac:dyDescent="0.35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</row>
    <row r="805" spans="1:13" x14ac:dyDescent="0.35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</row>
    <row r="806" spans="1:13" x14ac:dyDescent="0.35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</row>
    <row r="807" spans="1:13" x14ac:dyDescent="0.35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</row>
    <row r="808" spans="1:13" x14ac:dyDescent="0.35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</row>
    <row r="809" spans="1:13" x14ac:dyDescent="0.35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</row>
    <row r="810" spans="1:13" x14ac:dyDescent="0.35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</row>
    <row r="811" spans="1:13" x14ac:dyDescent="0.35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</row>
    <row r="812" spans="1:13" x14ac:dyDescent="0.35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</row>
    <row r="813" spans="1:13" x14ac:dyDescent="0.35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</row>
    <row r="814" spans="1:13" x14ac:dyDescent="0.35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</row>
    <row r="815" spans="1:13" x14ac:dyDescent="0.35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</row>
    <row r="816" spans="1:13" x14ac:dyDescent="0.35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</row>
    <row r="817" spans="1:13" x14ac:dyDescent="0.35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</row>
    <row r="818" spans="1:13" x14ac:dyDescent="0.35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</row>
    <row r="819" spans="1:13" x14ac:dyDescent="0.35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</row>
    <row r="820" spans="1:13" x14ac:dyDescent="0.35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</row>
    <row r="821" spans="1:13" x14ac:dyDescent="0.35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</row>
    <row r="822" spans="1:13" x14ac:dyDescent="0.35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</row>
    <row r="823" spans="1:13" x14ac:dyDescent="0.35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</row>
    <row r="824" spans="1:13" x14ac:dyDescent="0.35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</row>
    <row r="825" spans="1:13" x14ac:dyDescent="0.35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</row>
    <row r="826" spans="1:13" x14ac:dyDescent="0.35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</row>
    <row r="827" spans="1:13" x14ac:dyDescent="0.35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</row>
    <row r="828" spans="1:13" x14ac:dyDescent="0.35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</row>
    <row r="829" spans="1:13" x14ac:dyDescent="0.35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</row>
  </sheetData>
  <sheetProtection objects="1"/>
  <mergeCells count="2">
    <mergeCell ref="B10:L10"/>
    <mergeCell ref="M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6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69"/>
  <dimension ref="A1:V28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9.54296875" style="168" customWidth="1"/>
    <col min="2" max="5" width="12.54296875" style="168"/>
    <col min="6" max="6" width="12.54296875" style="168" customWidth="1"/>
    <col min="7" max="16384" width="12.54296875" style="168"/>
  </cols>
  <sheetData>
    <row r="1" spans="1:22" x14ac:dyDescent="0.35">
      <c r="A1" s="369" t="str">
        <f>TECNOLOGIAS!A1</f>
        <v>Proponente: TransPolitécnica</v>
      </c>
    </row>
    <row r="2" spans="1:22" x14ac:dyDescent="0.35">
      <c r="A2" s="369" t="str">
        <f>TECNOLOGIAS!A2</f>
        <v>Área de Concessão: 5 (Cinco)</v>
      </c>
    </row>
    <row r="4" spans="1:22" ht="18" x14ac:dyDescent="0.4">
      <c r="A4" s="167" t="s">
        <v>415</v>
      </c>
    </row>
    <row r="6" spans="1:22" x14ac:dyDescent="0.35">
      <c r="A6" s="181" t="s">
        <v>846</v>
      </c>
      <c r="B6" s="180"/>
      <c r="C6" s="180"/>
      <c r="D6" s="180"/>
      <c r="E6" s="180"/>
    </row>
    <row r="7" spans="1:22" x14ac:dyDescent="0.35">
      <c r="A7" s="177"/>
      <c r="B7" s="180"/>
      <c r="C7" s="180"/>
      <c r="D7" s="180"/>
      <c r="E7" s="180"/>
    </row>
    <row r="8" spans="1:22" x14ac:dyDescent="0.35">
      <c r="A8" s="198"/>
      <c r="B8" s="180"/>
      <c r="C8" s="180"/>
      <c r="D8" s="180"/>
      <c r="E8" s="180"/>
    </row>
    <row r="9" spans="1:22" ht="16" thickBot="1" x14ac:dyDescent="0.4">
      <c r="A9" s="177"/>
      <c r="B9" s="180"/>
      <c r="C9" s="180"/>
      <c r="D9" s="180"/>
      <c r="E9" s="180"/>
    </row>
    <row r="10" spans="1:22" ht="16" thickBot="1" x14ac:dyDescent="0.4">
      <c r="A10" s="270" t="s">
        <v>262</v>
      </c>
      <c r="B10" s="678" t="s">
        <v>263</v>
      </c>
      <c r="C10" s="679"/>
      <c r="D10" s="679"/>
      <c r="E10" s="679"/>
      <c r="F10" s="679"/>
      <c r="G10" s="679"/>
      <c r="H10" s="679"/>
      <c r="I10" s="679"/>
      <c r="J10" s="679"/>
      <c r="K10" s="679"/>
      <c r="L10" s="680"/>
      <c r="M10" s="678" t="s">
        <v>263</v>
      </c>
      <c r="N10" s="679"/>
      <c r="O10" s="679"/>
      <c r="P10" s="679"/>
      <c r="Q10" s="679"/>
      <c r="R10" s="679"/>
      <c r="S10" s="679"/>
      <c r="T10" s="679"/>
      <c r="U10" s="679"/>
      <c r="V10" s="680"/>
    </row>
    <row r="11" spans="1:22" x14ac:dyDescent="0.35">
      <c r="A11" s="196"/>
      <c r="B11" s="271" t="s">
        <v>372</v>
      </c>
      <c r="C11" s="272" t="s">
        <v>372</v>
      </c>
      <c r="D11" s="272" t="s">
        <v>372</v>
      </c>
      <c r="E11" s="272" t="s">
        <v>372</v>
      </c>
      <c r="F11" s="272" t="s">
        <v>372</v>
      </c>
      <c r="G11" s="272" t="s">
        <v>372</v>
      </c>
      <c r="H11" s="272" t="s">
        <v>372</v>
      </c>
      <c r="I11" s="272" t="s">
        <v>372</v>
      </c>
      <c r="J11" s="272" t="s">
        <v>372</v>
      </c>
      <c r="K11" s="272" t="s">
        <v>372</v>
      </c>
      <c r="L11" s="272" t="s">
        <v>372</v>
      </c>
      <c r="M11" s="272" t="s">
        <v>372</v>
      </c>
      <c r="N11" s="272" t="s">
        <v>372</v>
      </c>
      <c r="O11" s="272" t="s">
        <v>372</v>
      </c>
      <c r="P11" s="272" t="s">
        <v>372</v>
      </c>
      <c r="Q11" s="272" t="s">
        <v>372</v>
      </c>
      <c r="R11" s="272" t="s">
        <v>372</v>
      </c>
      <c r="S11" s="272" t="s">
        <v>372</v>
      </c>
      <c r="T11" s="272" t="s">
        <v>372</v>
      </c>
      <c r="U11" s="272" t="s">
        <v>372</v>
      </c>
      <c r="V11" s="272" t="s">
        <v>372</v>
      </c>
    </row>
    <row r="12" spans="1:22" ht="16" thickBot="1" x14ac:dyDescent="0.4">
      <c r="A12" s="182"/>
      <c r="B12" s="191" t="s">
        <v>413</v>
      </c>
      <c r="C12" s="191">
        <v>1</v>
      </c>
      <c r="D12" s="191">
        <v>2</v>
      </c>
      <c r="E12" s="191">
        <v>3</v>
      </c>
      <c r="F12" s="191">
        <v>4</v>
      </c>
      <c r="G12" s="191">
        <v>5</v>
      </c>
      <c r="H12" s="191">
        <v>6</v>
      </c>
      <c r="I12" s="191">
        <v>7</v>
      </c>
      <c r="J12" s="191">
        <v>8</v>
      </c>
      <c r="K12" s="191">
        <v>9</v>
      </c>
      <c r="L12" s="191">
        <v>10</v>
      </c>
      <c r="M12" s="191">
        <v>11</v>
      </c>
      <c r="N12" s="191">
        <v>12</v>
      </c>
      <c r="O12" s="191">
        <v>13</v>
      </c>
      <c r="P12" s="191">
        <v>14</v>
      </c>
      <c r="Q12" s="191">
        <v>15</v>
      </c>
      <c r="R12" s="191">
        <v>16</v>
      </c>
      <c r="S12" s="191">
        <v>17</v>
      </c>
      <c r="T12" s="191">
        <v>18</v>
      </c>
      <c r="U12" s="191">
        <v>19</v>
      </c>
      <c r="V12" s="191">
        <v>20</v>
      </c>
    </row>
    <row r="13" spans="1:22" x14ac:dyDescent="0.35">
      <c r="A13" s="181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</row>
    <row r="14" spans="1:22" x14ac:dyDescent="0.35">
      <c r="A14" s="181" t="s">
        <v>272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</row>
    <row r="15" spans="1:22" x14ac:dyDescent="0.35">
      <c r="A15" s="184" t="s">
        <v>264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</row>
    <row r="16" spans="1:22" x14ac:dyDescent="0.35">
      <c r="A16" s="184" t="s">
        <v>265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</row>
    <row r="17" spans="1:22" x14ac:dyDescent="0.35">
      <c r="A17" s="184" t="s">
        <v>266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</row>
    <row r="18" spans="1:22" x14ac:dyDescent="0.35">
      <c r="A18" s="184" t="s">
        <v>267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</row>
    <row r="19" spans="1:22" x14ac:dyDescent="0.35">
      <c r="A19" s="184" t="s">
        <v>268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</row>
    <row r="20" spans="1:22" x14ac:dyDescent="0.35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</row>
    <row r="21" spans="1:22" x14ac:dyDescent="0.35">
      <c r="A21" s="181" t="s">
        <v>273</v>
      </c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</row>
    <row r="22" spans="1:22" x14ac:dyDescent="0.35">
      <c r="A22" s="184" t="s">
        <v>264</v>
      </c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</row>
    <row r="23" spans="1:22" x14ac:dyDescent="0.35">
      <c r="A23" s="184" t="s">
        <v>265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</row>
    <row r="24" spans="1:22" x14ac:dyDescent="0.35">
      <c r="A24" s="184" t="s">
        <v>266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</row>
    <row r="25" spans="1:22" x14ac:dyDescent="0.35">
      <c r="A25" s="184" t="s">
        <v>267</v>
      </c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</row>
    <row r="26" spans="1:22" x14ac:dyDescent="0.35">
      <c r="A26" s="184" t="s">
        <v>268</v>
      </c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</row>
    <row r="28" spans="1:22" x14ac:dyDescent="0.35">
      <c r="A28" t="s">
        <v>447</v>
      </c>
    </row>
  </sheetData>
  <sheetProtection objects="1"/>
  <mergeCells count="2">
    <mergeCell ref="B10:L10"/>
    <mergeCell ref="M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6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7">
    <pageSetUpPr autoPageBreaks="0" fitToPage="1"/>
  </sheetPr>
  <dimension ref="A1:V422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48.1796875" style="495" customWidth="1"/>
    <col min="2" max="3" width="15.1796875" style="495" bestFit="1" customWidth="1"/>
    <col min="4" max="4" width="13.453125" style="495" bestFit="1" customWidth="1"/>
    <col min="5" max="6" width="15.1796875" style="495" bestFit="1" customWidth="1"/>
    <col min="7" max="7" width="13.453125" style="495" bestFit="1" customWidth="1"/>
    <col min="8" max="8" width="15.1796875" style="495" bestFit="1" customWidth="1"/>
    <col min="9" max="9" width="13.453125" style="495" bestFit="1" customWidth="1"/>
    <col min="10" max="10" width="15.1796875" style="495" bestFit="1" customWidth="1"/>
    <col min="11" max="15" width="12.26953125" style="495" bestFit="1" customWidth="1"/>
    <col min="16" max="21" width="13.453125" style="495" bestFit="1" customWidth="1"/>
    <col min="22" max="22" width="15.1796875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29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&amp;TECNOLOGIAS!$A$7</f>
        <v>VEÍCULO  Micro Ônibus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323"/>
      <c r="B10" s="324"/>
      <c r="C10" s="325"/>
      <c r="D10" s="325"/>
      <c r="E10" s="325"/>
      <c r="F10" s="325"/>
      <c r="G10" s="325"/>
      <c r="H10" s="325"/>
      <c r="I10" s="325"/>
      <c r="J10" s="325"/>
      <c r="K10" s="325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</row>
    <row r="11" spans="1:22" x14ac:dyDescent="0.35">
      <c r="A11" s="162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280"/>
      <c r="E13" s="33"/>
      <c r="F13" s="33"/>
      <c r="G13" s="280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13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>
        <v>14</v>
      </c>
      <c r="C16" s="44">
        <v>13</v>
      </c>
      <c r="D16" s="44">
        <v>12</v>
      </c>
      <c r="E16" s="44">
        <v>14</v>
      </c>
      <c r="F16" s="44">
        <v>13</v>
      </c>
      <c r="G16" s="44">
        <v>12</v>
      </c>
      <c r="H16" s="44">
        <v>14</v>
      </c>
      <c r="I16" s="44">
        <v>12</v>
      </c>
      <c r="J16" s="44">
        <v>13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7</v>
      </c>
      <c r="Q16" s="44">
        <v>7</v>
      </c>
      <c r="R16" s="44">
        <v>7</v>
      </c>
      <c r="S16" s="44">
        <v>7</v>
      </c>
      <c r="T16" s="44">
        <v>8</v>
      </c>
      <c r="U16" s="44">
        <v>7</v>
      </c>
      <c r="V16" s="44">
        <f>'5A'!V13</f>
        <v>0</v>
      </c>
    </row>
    <row r="17" spans="1:22" x14ac:dyDescent="0.35">
      <c r="A17" s="286" t="s">
        <v>365</v>
      </c>
      <c r="B17" s="44">
        <v>0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</row>
    <row r="18" spans="1:22" x14ac:dyDescent="0.35">
      <c r="A18" s="44" t="s">
        <v>366</v>
      </c>
      <c r="B18" s="156">
        <f>'8'!$B$11</f>
        <v>83000</v>
      </c>
      <c r="C18" s="156">
        <f>'8'!$B$11</f>
        <v>83000</v>
      </c>
      <c r="D18" s="156">
        <f>'8'!$B$11</f>
        <v>83000</v>
      </c>
      <c r="E18" s="156">
        <f>'8'!$B$11</f>
        <v>83000</v>
      </c>
      <c r="F18" s="156">
        <f>'8'!$B$11</f>
        <v>83000</v>
      </c>
      <c r="G18" s="156">
        <f>'8'!$B$11</f>
        <v>83000</v>
      </c>
      <c r="H18" s="156">
        <f>'8'!$B$11</f>
        <v>83000</v>
      </c>
      <c r="I18" s="156">
        <f>'8'!$B$11</f>
        <v>83000</v>
      </c>
      <c r="J18" s="156">
        <f>'8'!$B$11</f>
        <v>83000</v>
      </c>
      <c r="K18" s="156">
        <f>'8'!$B$11</f>
        <v>83000</v>
      </c>
      <c r="L18" s="156">
        <f>'8'!$B$11</f>
        <v>83000</v>
      </c>
      <c r="M18" s="156">
        <f>'8'!$B$11</f>
        <v>83000</v>
      </c>
      <c r="N18" s="156">
        <f>'8'!$B$11</f>
        <v>83000</v>
      </c>
      <c r="O18" s="156">
        <f>'8'!$B$11</f>
        <v>83000</v>
      </c>
      <c r="P18" s="156">
        <f>'8'!$B$11</f>
        <v>83000</v>
      </c>
      <c r="Q18" s="156">
        <f>'8'!$B$11</f>
        <v>83000</v>
      </c>
      <c r="R18" s="156">
        <f>'8'!$B$11</f>
        <v>83000</v>
      </c>
      <c r="S18" s="156">
        <f>'8'!$B$11</f>
        <v>83000</v>
      </c>
      <c r="T18" s="156">
        <f>'8'!$B$11</f>
        <v>83000</v>
      </c>
      <c r="U18" s="156">
        <f>'8'!$B$11</f>
        <v>83000</v>
      </c>
      <c r="V18" s="156">
        <f>'8'!$B$11</f>
        <v>83000</v>
      </c>
    </row>
    <row r="19" spans="1:22" x14ac:dyDescent="0.35">
      <c r="A19" s="44" t="s">
        <v>26</v>
      </c>
      <c r="B19" s="147">
        <f>ROUND(+B18*B16,2)</f>
        <v>1162000</v>
      </c>
      <c r="C19" s="147">
        <f>ROUND(+C18*C16,2)</f>
        <v>1079000</v>
      </c>
      <c r="D19" s="147">
        <f>ROUND(+D18*D16,2)</f>
        <v>996000</v>
      </c>
      <c r="E19" s="147">
        <f>ROUND(+E18*E16,2)</f>
        <v>1162000</v>
      </c>
      <c r="F19" s="147">
        <f t="shared" ref="F19:L19" si="0">ROUND(+F18*F16,2)</f>
        <v>1079000</v>
      </c>
      <c r="G19" s="147">
        <f t="shared" si="0"/>
        <v>996000</v>
      </c>
      <c r="H19" s="147">
        <f t="shared" si="0"/>
        <v>1162000</v>
      </c>
      <c r="I19" s="147">
        <f t="shared" si="0"/>
        <v>996000</v>
      </c>
      <c r="J19" s="147">
        <f t="shared" si="0"/>
        <v>1079000</v>
      </c>
      <c r="K19" s="147">
        <f t="shared" si="0"/>
        <v>0</v>
      </c>
      <c r="L19" s="147">
        <f t="shared" si="0"/>
        <v>0</v>
      </c>
      <c r="M19" s="147">
        <f t="shared" ref="M19:V19" si="1">ROUND(+M18*M16,2)</f>
        <v>0</v>
      </c>
      <c r="N19" s="147">
        <f t="shared" si="1"/>
        <v>0</v>
      </c>
      <c r="O19" s="147">
        <f t="shared" si="1"/>
        <v>0</v>
      </c>
      <c r="P19" s="147">
        <f t="shared" si="1"/>
        <v>581000</v>
      </c>
      <c r="Q19" s="147">
        <f t="shared" si="1"/>
        <v>581000</v>
      </c>
      <c r="R19" s="147">
        <f t="shared" si="1"/>
        <v>581000</v>
      </c>
      <c r="S19" s="147">
        <f t="shared" si="1"/>
        <v>581000</v>
      </c>
      <c r="T19" s="147">
        <f t="shared" si="1"/>
        <v>664000</v>
      </c>
      <c r="U19" s="147">
        <f t="shared" si="1"/>
        <v>581000</v>
      </c>
      <c r="V19" s="147">
        <f t="shared" si="1"/>
        <v>0</v>
      </c>
    </row>
    <row r="20" spans="1:22" x14ac:dyDescent="0.35">
      <c r="A20" s="44" t="s">
        <v>227</v>
      </c>
      <c r="B20" s="165">
        <v>10</v>
      </c>
      <c r="C20" s="165">
        <v>10</v>
      </c>
      <c r="D20" s="165">
        <v>10</v>
      </c>
      <c r="E20" s="165">
        <v>10</v>
      </c>
      <c r="F20" s="165">
        <v>10</v>
      </c>
      <c r="G20" s="165">
        <v>10</v>
      </c>
      <c r="H20" s="165">
        <v>10</v>
      </c>
      <c r="I20" s="165">
        <v>10</v>
      </c>
      <c r="J20" s="165">
        <v>10</v>
      </c>
      <c r="K20" s="165">
        <v>10</v>
      </c>
      <c r="L20" s="165">
        <v>10</v>
      </c>
      <c r="M20" s="165">
        <v>10</v>
      </c>
      <c r="N20" s="165">
        <v>10</v>
      </c>
      <c r="O20" s="165">
        <v>10</v>
      </c>
      <c r="P20" s="165">
        <v>10</v>
      </c>
      <c r="Q20" s="165">
        <v>10</v>
      </c>
      <c r="R20" s="165">
        <v>10</v>
      </c>
      <c r="S20" s="165">
        <v>10</v>
      </c>
      <c r="T20" s="165">
        <v>10</v>
      </c>
      <c r="U20" s="165">
        <v>10</v>
      </c>
      <c r="V20" s="165">
        <v>10</v>
      </c>
    </row>
    <row r="21" spans="1:22" x14ac:dyDescent="0.35">
      <c r="A21" s="44" t="s">
        <v>228</v>
      </c>
      <c r="B21" s="166">
        <f>+B20-B17</f>
        <v>10</v>
      </c>
      <c r="C21" s="166">
        <f>+C20-C17</f>
        <v>10</v>
      </c>
      <c r="D21" s="166">
        <f>+D20-D17</f>
        <v>10</v>
      </c>
      <c r="E21" s="166">
        <f>+E20-E17</f>
        <v>10</v>
      </c>
      <c r="F21" s="166">
        <f t="shared" ref="F21:L21" si="2">+F20-F17</f>
        <v>10</v>
      </c>
      <c r="G21" s="166">
        <f t="shared" si="2"/>
        <v>10</v>
      </c>
      <c r="H21" s="166">
        <f t="shared" si="2"/>
        <v>10</v>
      </c>
      <c r="I21" s="166">
        <f t="shared" si="2"/>
        <v>10</v>
      </c>
      <c r="J21" s="166">
        <f t="shared" si="2"/>
        <v>10</v>
      </c>
      <c r="K21" s="166">
        <f t="shared" si="2"/>
        <v>10</v>
      </c>
      <c r="L21" s="166">
        <f t="shared" si="2"/>
        <v>10</v>
      </c>
      <c r="M21" s="166">
        <f t="shared" ref="M21:V21" si="3">+M20-M17</f>
        <v>10</v>
      </c>
      <c r="N21" s="166">
        <f t="shared" si="3"/>
        <v>10</v>
      </c>
      <c r="O21" s="166">
        <f t="shared" si="3"/>
        <v>10</v>
      </c>
      <c r="P21" s="166">
        <f t="shared" si="3"/>
        <v>10</v>
      </c>
      <c r="Q21" s="166">
        <f t="shared" si="3"/>
        <v>10</v>
      </c>
      <c r="R21" s="166">
        <f t="shared" si="3"/>
        <v>10</v>
      </c>
      <c r="S21" s="166">
        <f t="shared" si="3"/>
        <v>10</v>
      </c>
      <c r="T21" s="166">
        <f t="shared" si="3"/>
        <v>10</v>
      </c>
      <c r="U21" s="166">
        <f t="shared" si="3"/>
        <v>10</v>
      </c>
      <c r="V21" s="166">
        <f t="shared" si="3"/>
        <v>10</v>
      </c>
    </row>
    <row r="22" spans="1:22" x14ac:dyDescent="0.35">
      <c r="A22" s="44" t="s">
        <v>229</v>
      </c>
      <c r="B22" s="164">
        <v>0.2</v>
      </c>
      <c r="C22" s="164">
        <v>0.2</v>
      </c>
      <c r="D22" s="164">
        <v>0.2</v>
      </c>
      <c r="E22" s="164">
        <v>0.2</v>
      </c>
      <c r="F22" s="164">
        <v>0.2</v>
      </c>
      <c r="G22" s="164">
        <v>0.2</v>
      </c>
      <c r="H22" s="164">
        <v>0.2</v>
      </c>
      <c r="I22" s="164">
        <v>0.2</v>
      </c>
      <c r="J22" s="164">
        <v>0.2</v>
      </c>
      <c r="K22" s="164">
        <v>0.2</v>
      </c>
      <c r="L22" s="164">
        <v>0.2</v>
      </c>
      <c r="M22" s="164">
        <v>0.2</v>
      </c>
      <c r="N22" s="164">
        <v>0.2</v>
      </c>
      <c r="O22" s="164">
        <v>0.2</v>
      </c>
      <c r="P22" s="164">
        <v>0.2</v>
      </c>
      <c r="Q22" s="164">
        <v>0.2</v>
      </c>
      <c r="R22" s="164">
        <v>0.2</v>
      </c>
      <c r="S22" s="164">
        <v>0.2</v>
      </c>
      <c r="T22" s="164">
        <v>0.2</v>
      </c>
      <c r="U22" s="164">
        <v>0.2</v>
      </c>
      <c r="V22" s="164">
        <v>0.2</v>
      </c>
    </row>
    <row r="23" spans="1:22" x14ac:dyDescent="0.35">
      <c r="A23" s="281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>
        <v>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7</v>
      </c>
      <c r="Q27" s="44">
        <v>7</v>
      </c>
      <c r="R27" s="44">
        <v>7</v>
      </c>
      <c r="S27" s="44">
        <v>7</v>
      </c>
      <c r="T27" s="44">
        <v>8</v>
      </c>
      <c r="U27" s="44">
        <v>7</v>
      </c>
      <c r="V27" s="44">
        <v>117</v>
      </c>
    </row>
    <row r="28" spans="1:22" x14ac:dyDescent="0.35">
      <c r="A28" s="44" t="s">
        <v>231</v>
      </c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>
        <f t="shared" ref="P28:U28" si="4">P18*0.2</f>
        <v>16600</v>
      </c>
      <c r="Q28" s="156">
        <f t="shared" si="4"/>
        <v>16600</v>
      </c>
      <c r="R28" s="156">
        <f t="shared" si="4"/>
        <v>16600</v>
      </c>
      <c r="S28" s="156">
        <f t="shared" si="4"/>
        <v>16600</v>
      </c>
      <c r="T28" s="156">
        <f t="shared" si="4"/>
        <v>16600</v>
      </c>
      <c r="U28" s="156">
        <f t="shared" si="4"/>
        <v>16600</v>
      </c>
      <c r="V28" s="156">
        <f>0.4*V18</f>
        <v>33200</v>
      </c>
    </row>
    <row r="29" spans="1:22" x14ac:dyDescent="0.35">
      <c r="A29" s="44" t="s">
        <v>232</v>
      </c>
      <c r="B29" s="147">
        <f>ROUND(B27*B28,2)</f>
        <v>0</v>
      </c>
      <c r="C29" s="147">
        <f t="shared" ref="C29:L29" si="5">ROUND(C27*C28,2)</f>
        <v>0</v>
      </c>
      <c r="D29" s="147">
        <f t="shared" si="5"/>
        <v>0</v>
      </c>
      <c r="E29" s="147">
        <f t="shared" si="5"/>
        <v>0</v>
      </c>
      <c r="F29" s="147">
        <f t="shared" si="5"/>
        <v>0</v>
      </c>
      <c r="G29" s="147">
        <f t="shared" si="5"/>
        <v>0</v>
      </c>
      <c r="H29" s="147">
        <f t="shared" si="5"/>
        <v>0</v>
      </c>
      <c r="I29" s="147">
        <f t="shared" si="5"/>
        <v>0</v>
      </c>
      <c r="J29" s="147">
        <f t="shared" si="5"/>
        <v>0</v>
      </c>
      <c r="K29" s="147">
        <f t="shared" si="5"/>
        <v>0</v>
      </c>
      <c r="L29" s="147">
        <f t="shared" si="5"/>
        <v>0</v>
      </c>
      <c r="M29" s="147">
        <f t="shared" ref="M29:V29" si="6">ROUND(M27*M28,2)</f>
        <v>0</v>
      </c>
      <c r="N29" s="147">
        <f t="shared" si="6"/>
        <v>0</v>
      </c>
      <c r="O29" s="147">
        <f t="shared" si="6"/>
        <v>0</v>
      </c>
      <c r="P29" s="147">
        <f t="shared" si="6"/>
        <v>116200</v>
      </c>
      <c r="Q29" s="147">
        <f t="shared" si="6"/>
        <v>116200</v>
      </c>
      <c r="R29" s="147">
        <f t="shared" si="6"/>
        <v>116200</v>
      </c>
      <c r="S29" s="147">
        <f t="shared" si="6"/>
        <v>116200</v>
      </c>
      <c r="T29" s="147">
        <f t="shared" si="6"/>
        <v>132800</v>
      </c>
      <c r="U29" s="147">
        <f t="shared" si="6"/>
        <v>116200</v>
      </c>
      <c r="V29" s="147">
        <f t="shared" si="6"/>
        <v>3884400</v>
      </c>
    </row>
    <row r="31" spans="1:22" x14ac:dyDescent="0.35">
      <c r="A31" s="490" t="s">
        <v>447</v>
      </c>
    </row>
    <row r="37" spans="1:22" s="534" customFormat="1" x14ac:dyDescent="0.35">
      <c r="A37" s="315"/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532"/>
      <c r="N37" s="532"/>
      <c r="O37" s="532"/>
      <c r="P37" s="532"/>
      <c r="Q37" s="532"/>
    </row>
    <row r="38" spans="1:22" s="534" customFormat="1" x14ac:dyDescent="0.35">
      <c r="A38" s="315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532"/>
      <c r="N38" s="532"/>
      <c r="O38" s="532"/>
      <c r="P38" s="532"/>
      <c r="Q38" s="532"/>
    </row>
    <row r="39" spans="1:22" s="534" customFormat="1" x14ac:dyDescent="0.35">
      <c r="A39" s="315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532"/>
      <c r="N39" s="532"/>
      <c r="O39" s="532"/>
      <c r="P39" s="532"/>
      <c r="Q39" s="532"/>
    </row>
    <row r="40" spans="1:22" s="534" customFormat="1" x14ac:dyDescent="0.35">
      <c r="A40" s="315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532"/>
      <c r="N40" s="532"/>
      <c r="O40" s="532"/>
      <c r="P40" s="532"/>
      <c r="Q40" s="532"/>
    </row>
    <row r="41" spans="1:22" s="534" customFormat="1" x14ac:dyDescent="0.35">
      <c r="A41" s="315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532"/>
      <c r="N41" s="532"/>
      <c r="O41" s="532"/>
      <c r="P41" s="532"/>
      <c r="Q41" s="532"/>
    </row>
    <row r="42" spans="1:22" s="534" customFormat="1" x14ac:dyDescent="0.35">
      <c r="A42" s="315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532"/>
      <c r="N42" s="532"/>
      <c r="O42" s="532"/>
      <c r="P42" s="532"/>
      <c r="Q42" s="532"/>
    </row>
    <row r="43" spans="1:22" s="534" customFormat="1" x14ac:dyDescent="0.35">
      <c r="A43" s="315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532"/>
      <c r="N43" s="532"/>
      <c r="O43" s="532"/>
      <c r="P43" s="532"/>
      <c r="Q43" s="532"/>
    </row>
    <row r="44" spans="1:22" s="534" customFormat="1" x14ac:dyDescent="0.35">
      <c r="A44" s="315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532"/>
      <c r="N44" s="532"/>
      <c r="O44" s="532"/>
      <c r="P44" s="532"/>
      <c r="Q44" s="532"/>
    </row>
    <row r="45" spans="1:22" s="534" customFormat="1" x14ac:dyDescent="0.35">
      <c r="A45" s="315"/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532"/>
      <c r="N45" s="532"/>
      <c r="O45" s="532"/>
      <c r="P45" s="532"/>
      <c r="Q45" s="532"/>
    </row>
    <row r="46" spans="1:22" s="534" customFormat="1" x14ac:dyDescent="0.35">
      <c r="A46" s="315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532"/>
      <c r="N46" s="532"/>
      <c r="O46" s="532"/>
      <c r="P46" s="532"/>
      <c r="Q46" s="532"/>
    </row>
    <row r="47" spans="1:22" s="534" customFormat="1" x14ac:dyDescent="0.35">
      <c r="A47" s="315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532"/>
      <c r="N47" s="532"/>
      <c r="O47" s="532"/>
      <c r="P47" s="532"/>
      <c r="Q47" s="532"/>
    </row>
    <row r="48" spans="1:22" s="534" customFormat="1" x14ac:dyDescent="0.35">
      <c r="A48" s="320"/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0"/>
      <c r="N48" s="532"/>
      <c r="O48" s="532"/>
      <c r="P48" s="532"/>
      <c r="Q48" s="532"/>
      <c r="R48" s="532"/>
      <c r="S48" s="532"/>
      <c r="T48" s="532"/>
      <c r="U48" s="532"/>
      <c r="V48" s="532"/>
    </row>
    <row r="49" spans="1:22" s="534" customFormat="1" x14ac:dyDescent="0.35">
      <c r="A49" s="315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532"/>
      <c r="O49" s="532"/>
      <c r="P49" s="532"/>
      <c r="Q49" s="532"/>
      <c r="R49" s="532"/>
      <c r="S49" s="532"/>
      <c r="T49" s="532"/>
      <c r="U49" s="532"/>
      <c r="V49" s="532"/>
    </row>
    <row r="50" spans="1:22" s="534" customFormat="1" x14ac:dyDescent="0.35">
      <c r="A50" s="315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532"/>
      <c r="O50" s="532"/>
      <c r="P50" s="532"/>
      <c r="Q50" s="532"/>
      <c r="R50" s="532"/>
      <c r="S50" s="532"/>
      <c r="T50" s="532"/>
      <c r="U50" s="532"/>
      <c r="V50" s="532"/>
    </row>
    <row r="51" spans="1:22" s="534" customFormat="1" x14ac:dyDescent="0.35">
      <c r="A51" s="315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532"/>
      <c r="O51" s="532"/>
      <c r="P51" s="532"/>
      <c r="Q51" s="532"/>
      <c r="R51" s="532"/>
      <c r="S51" s="532"/>
      <c r="T51" s="532"/>
      <c r="U51" s="532"/>
      <c r="V51" s="532"/>
    </row>
    <row r="52" spans="1:22" s="534" customFormat="1" x14ac:dyDescent="0.35">
      <c r="A52" s="315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532"/>
      <c r="O52" s="532"/>
      <c r="P52" s="532"/>
      <c r="Q52" s="532"/>
      <c r="R52" s="532"/>
      <c r="S52" s="532"/>
      <c r="T52" s="532"/>
      <c r="U52" s="532"/>
      <c r="V52" s="532"/>
    </row>
    <row r="53" spans="1:22" s="534" customFormat="1" x14ac:dyDescent="0.35">
      <c r="A53" s="315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532"/>
      <c r="O53" s="532"/>
      <c r="P53" s="532"/>
      <c r="Q53" s="532"/>
      <c r="R53" s="532"/>
      <c r="S53" s="532"/>
      <c r="T53" s="532"/>
      <c r="U53" s="532"/>
      <c r="V53" s="532"/>
    </row>
    <row r="54" spans="1:22" s="534" customFormat="1" x14ac:dyDescent="0.35">
      <c r="A54" s="315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532"/>
      <c r="O54" s="532"/>
      <c r="P54" s="532"/>
      <c r="Q54" s="532"/>
      <c r="R54" s="532"/>
      <c r="S54" s="532"/>
      <c r="T54" s="532"/>
      <c r="U54" s="532"/>
      <c r="V54" s="532"/>
    </row>
    <row r="55" spans="1:22" s="534" customFormat="1" x14ac:dyDescent="0.35">
      <c r="A55" s="315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532"/>
      <c r="O55" s="532"/>
      <c r="P55" s="532"/>
      <c r="Q55" s="532"/>
      <c r="R55" s="532"/>
      <c r="S55" s="532"/>
      <c r="T55" s="532"/>
      <c r="U55" s="532"/>
      <c r="V55" s="532"/>
    </row>
    <row r="56" spans="1:22" s="534" customFormat="1" x14ac:dyDescent="0.35">
      <c r="A56" s="315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532"/>
      <c r="O56" s="532"/>
      <c r="P56" s="532"/>
      <c r="Q56" s="532"/>
      <c r="R56" s="532"/>
      <c r="S56" s="532"/>
      <c r="T56" s="532"/>
      <c r="U56" s="532"/>
      <c r="V56" s="532"/>
    </row>
    <row r="57" spans="1:22" s="534" customFormat="1" x14ac:dyDescent="0.35">
      <c r="A57" s="315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532"/>
      <c r="O57" s="532"/>
      <c r="P57" s="532"/>
      <c r="Q57" s="532"/>
      <c r="R57" s="532"/>
      <c r="S57" s="532"/>
      <c r="T57" s="532"/>
      <c r="U57" s="532"/>
      <c r="V57" s="532"/>
    </row>
    <row r="58" spans="1:22" s="534" customFormat="1" x14ac:dyDescent="0.35">
      <c r="A58" s="315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532"/>
      <c r="O58" s="532"/>
      <c r="P58" s="532"/>
      <c r="Q58" s="532"/>
      <c r="R58" s="532"/>
      <c r="S58" s="532"/>
      <c r="T58" s="532"/>
      <c r="U58" s="532"/>
      <c r="V58" s="532"/>
    </row>
    <row r="59" spans="1:22" s="534" customFormat="1" x14ac:dyDescent="0.35">
      <c r="A59" s="315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532"/>
      <c r="O59" s="532"/>
      <c r="P59" s="532"/>
      <c r="Q59" s="532"/>
      <c r="R59" s="532"/>
      <c r="S59" s="532"/>
      <c r="T59" s="532"/>
      <c r="U59" s="532"/>
      <c r="V59" s="532"/>
    </row>
    <row r="60" spans="1:22" s="534" customFormat="1" x14ac:dyDescent="0.35"/>
    <row r="61" spans="1:22" s="534" customFormat="1" x14ac:dyDescent="0.35">
      <c r="A61" s="322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</row>
    <row r="62" spans="1:22" s="534" customFormat="1" x14ac:dyDescent="0.35"/>
    <row r="63" spans="1:22" s="534" customFormat="1" x14ac:dyDescent="0.35"/>
    <row r="64" spans="1:22" s="534" customFormat="1" x14ac:dyDescent="0.35"/>
    <row r="65" s="534" customFormat="1" x14ac:dyDescent="0.35"/>
    <row r="66" s="534" customFormat="1" x14ac:dyDescent="0.35"/>
    <row r="67" s="534" customFormat="1" x14ac:dyDescent="0.35"/>
    <row r="68" s="534" customFormat="1" x14ac:dyDescent="0.35"/>
    <row r="69" s="534" customFormat="1" x14ac:dyDescent="0.35"/>
    <row r="70" s="534" customFormat="1" x14ac:dyDescent="0.35"/>
    <row r="71" s="534" customFormat="1" x14ac:dyDescent="0.35"/>
    <row r="72" s="534" customFormat="1" x14ac:dyDescent="0.35"/>
    <row r="73" s="534" customFormat="1" x14ac:dyDescent="0.35"/>
    <row r="74" s="534" customFormat="1" x14ac:dyDescent="0.35"/>
    <row r="75" s="534" customFormat="1" x14ac:dyDescent="0.35"/>
    <row r="76" s="534" customFormat="1" x14ac:dyDescent="0.35"/>
    <row r="77" s="534" customFormat="1" x14ac:dyDescent="0.35"/>
    <row r="78" s="534" customFormat="1" x14ac:dyDescent="0.35"/>
    <row r="79" s="534" customFormat="1" x14ac:dyDescent="0.35"/>
    <row r="80" s="534" customFormat="1" x14ac:dyDescent="0.35"/>
    <row r="81" s="534" customFormat="1" x14ac:dyDescent="0.35"/>
    <row r="82" s="534" customFormat="1" x14ac:dyDescent="0.35"/>
    <row r="83" s="534" customFormat="1" x14ac:dyDescent="0.35"/>
    <row r="84" s="534" customFormat="1" x14ac:dyDescent="0.35"/>
    <row r="85" s="534" customFormat="1" x14ac:dyDescent="0.35"/>
    <row r="86" s="534" customFormat="1" x14ac:dyDescent="0.35"/>
    <row r="87" s="534" customFormat="1" x14ac:dyDescent="0.35"/>
    <row r="88" s="534" customFormat="1" x14ac:dyDescent="0.35"/>
    <row r="89" s="534" customFormat="1" x14ac:dyDescent="0.35"/>
    <row r="90" s="534" customFormat="1" x14ac:dyDescent="0.35"/>
    <row r="91" s="534" customFormat="1" x14ac:dyDescent="0.35"/>
    <row r="92" s="534" customFormat="1" x14ac:dyDescent="0.35"/>
    <row r="93" s="534" customFormat="1" x14ac:dyDescent="0.35"/>
    <row r="94" s="534" customFormat="1" x14ac:dyDescent="0.35"/>
    <row r="95" s="534" customFormat="1" x14ac:dyDescent="0.35"/>
    <row r="96" s="534" customFormat="1" x14ac:dyDescent="0.35"/>
    <row r="97" s="534" customFormat="1" x14ac:dyDescent="0.35"/>
    <row r="98" s="534" customFormat="1" x14ac:dyDescent="0.35"/>
    <row r="99" s="534" customFormat="1" x14ac:dyDescent="0.35"/>
    <row r="100" s="534" customFormat="1" x14ac:dyDescent="0.35"/>
    <row r="101" s="534" customFormat="1" x14ac:dyDescent="0.35"/>
    <row r="102" s="534" customFormat="1" x14ac:dyDescent="0.35"/>
    <row r="103" s="534" customFormat="1" x14ac:dyDescent="0.35"/>
    <row r="104" s="534" customFormat="1" x14ac:dyDescent="0.35"/>
    <row r="105" s="534" customFormat="1" x14ac:dyDescent="0.35"/>
    <row r="106" s="534" customFormat="1" x14ac:dyDescent="0.35"/>
    <row r="107" s="534" customFormat="1" x14ac:dyDescent="0.35"/>
    <row r="108" s="534" customFormat="1" x14ac:dyDescent="0.35"/>
    <row r="109" s="534" customFormat="1" x14ac:dyDescent="0.35"/>
    <row r="110" s="534" customFormat="1" x14ac:dyDescent="0.35"/>
    <row r="111" s="534" customFormat="1" x14ac:dyDescent="0.35"/>
    <row r="112" s="534" customFormat="1" x14ac:dyDescent="0.35"/>
    <row r="113" s="534" customFormat="1" x14ac:dyDescent="0.35"/>
    <row r="114" s="534" customFormat="1" x14ac:dyDescent="0.35"/>
    <row r="115" s="534" customFormat="1" x14ac:dyDescent="0.35"/>
    <row r="116" s="534" customFormat="1" x14ac:dyDescent="0.35"/>
    <row r="117" s="534" customFormat="1" x14ac:dyDescent="0.35"/>
    <row r="118" s="534" customFormat="1" x14ac:dyDescent="0.35"/>
    <row r="119" s="534" customFormat="1" x14ac:dyDescent="0.35"/>
    <row r="120" s="534" customFormat="1" x14ac:dyDescent="0.35"/>
    <row r="121" s="534" customFormat="1" x14ac:dyDescent="0.35"/>
    <row r="122" s="534" customFormat="1" x14ac:dyDescent="0.35"/>
    <row r="123" s="534" customFormat="1" x14ac:dyDescent="0.35"/>
    <row r="124" s="534" customFormat="1" x14ac:dyDescent="0.35"/>
    <row r="125" s="534" customFormat="1" x14ac:dyDescent="0.35"/>
    <row r="126" s="534" customFormat="1" x14ac:dyDescent="0.35"/>
    <row r="127" s="534" customFormat="1" x14ac:dyDescent="0.35"/>
    <row r="128" s="534" customFormat="1" x14ac:dyDescent="0.35"/>
    <row r="129" s="534" customFormat="1" x14ac:dyDescent="0.35"/>
    <row r="130" s="534" customFormat="1" x14ac:dyDescent="0.35"/>
    <row r="131" s="534" customFormat="1" x14ac:dyDescent="0.35"/>
    <row r="132" s="534" customFormat="1" x14ac:dyDescent="0.35"/>
    <row r="133" s="534" customFormat="1" x14ac:dyDescent="0.35"/>
    <row r="134" s="534" customFormat="1" x14ac:dyDescent="0.35"/>
    <row r="135" s="534" customFormat="1" x14ac:dyDescent="0.35"/>
    <row r="136" s="534" customFormat="1" x14ac:dyDescent="0.35"/>
    <row r="137" s="534" customFormat="1" x14ac:dyDescent="0.35"/>
    <row r="138" s="534" customFormat="1" x14ac:dyDescent="0.35"/>
    <row r="139" s="534" customFormat="1" x14ac:dyDescent="0.35"/>
    <row r="140" s="534" customFormat="1" x14ac:dyDescent="0.35"/>
    <row r="141" s="534" customFormat="1" x14ac:dyDescent="0.35"/>
    <row r="142" s="534" customFormat="1" x14ac:dyDescent="0.35"/>
    <row r="143" s="534" customFormat="1" x14ac:dyDescent="0.35"/>
    <row r="144" s="534" customFormat="1" x14ac:dyDescent="0.35"/>
    <row r="145" s="534" customFormat="1" x14ac:dyDescent="0.35"/>
    <row r="146" s="534" customFormat="1" x14ac:dyDescent="0.35"/>
    <row r="147" s="534" customFormat="1" x14ac:dyDescent="0.35"/>
    <row r="148" s="534" customFormat="1" x14ac:dyDescent="0.35"/>
    <row r="149" s="534" customFormat="1" x14ac:dyDescent="0.35"/>
    <row r="150" s="534" customFormat="1" x14ac:dyDescent="0.35"/>
    <row r="151" s="534" customFormat="1" x14ac:dyDescent="0.35"/>
    <row r="152" s="534" customFormat="1" x14ac:dyDescent="0.35"/>
    <row r="153" s="534" customFormat="1" x14ac:dyDescent="0.35"/>
    <row r="154" s="534" customFormat="1" x14ac:dyDescent="0.35"/>
    <row r="155" s="534" customFormat="1" x14ac:dyDescent="0.35"/>
    <row r="156" s="534" customFormat="1" x14ac:dyDescent="0.35"/>
    <row r="157" s="534" customFormat="1" x14ac:dyDescent="0.35"/>
    <row r="158" s="534" customFormat="1" x14ac:dyDescent="0.35"/>
    <row r="159" s="534" customFormat="1" x14ac:dyDescent="0.35"/>
    <row r="160" s="534" customFormat="1" x14ac:dyDescent="0.35"/>
    <row r="161" s="534" customFormat="1" x14ac:dyDescent="0.35"/>
    <row r="162" s="534" customFormat="1" x14ac:dyDescent="0.35"/>
    <row r="163" s="534" customFormat="1" x14ac:dyDescent="0.35"/>
    <row r="164" s="534" customFormat="1" x14ac:dyDescent="0.35"/>
    <row r="165" s="534" customFormat="1" x14ac:dyDescent="0.35"/>
    <row r="166" s="534" customFormat="1" x14ac:dyDescent="0.35"/>
    <row r="167" s="534" customFormat="1" x14ac:dyDescent="0.35"/>
    <row r="168" s="534" customFormat="1" x14ac:dyDescent="0.35"/>
    <row r="169" s="534" customFormat="1" x14ac:dyDescent="0.35"/>
    <row r="170" s="534" customFormat="1" x14ac:dyDescent="0.35"/>
    <row r="171" s="534" customFormat="1" x14ac:dyDescent="0.35"/>
    <row r="172" s="534" customFormat="1" x14ac:dyDescent="0.35"/>
    <row r="173" s="534" customFormat="1" x14ac:dyDescent="0.35"/>
    <row r="174" s="534" customFormat="1" x14ac:dyDescent="0.35"/>
    <row r="175" s="534" customFormat="1" x14ac:dyDescent="0.35"/>
    <row r="176" s="534" customFormat="1" x14ac:dyDescent="0.35"/>
    <row r="177" s="534" customFormat="1" x14ac:dyDescent="0.35"/>
    <row r="178" s="534" customFormat="1" x14ac:dyDescent="0.35"/>
    <row r="179" s="534" customFormat="1" x14ac:dyDescent="0.35"/>
    <row r="180" s="534" customFormat="1" x14ac:dyDescent="0.35"/>
    <row r="181" s="534" customFormat="1" x14ac:dyDescent="0.35"/>
    <row r="182" s="534" customFormat="1" x14ac:dyDescent="0.35"/>
    <row r="183" s="534" customFormat="1" x14ac:dyDescent="0.35"/>
    <row r="184" s="534" customFormat="1" x14ac:dyDescent="0.35"/>
    <row r="185" s="534" customFormat="1" x14ac:dyDescent="0.35"/>
    <row r="186" s="534" customFormat="1" x14ac:dyDescent="0.35"/>
    <row r="187" s="534" customFormat="1" x14ac:dyDescent="0.35"/>
    <row r="188" s="534" customFormat="1" x14ac:dyDescent="0.35"/>
    <row r="189" s="534" customFormat="1" x14ac:dyDescent="0.35"/>
    <row r="190" s="534" customFormat="1" x14ac:dyDescent="0.35"/>
    <row r="191" s="534" customFormat="1" x14ac:dyDescent="0.35"/>
    <row r="192" s="534" customFormat="1" x14ac:dyDescent="0.35"/>
    <row r="193" s="534" customFormat="1" x14ac:dyDescent="0.35"/>
    <row r="194" s="534" customFormat="1" x14ac:dyDescent="0.35"/>
    <row r="195" s="534" customFormat="1" x14ac:dyDescent="0.35"/>
    <row r="196" s="534" customFormat="1" x14ac:dyDescent="0.35"/>
    <row r="197" s="534" customFormat="1" x14ac:dyDescent="0.35"/>
    <row r="198" s="534" customFormat="1" x14ac:dyDescent="0.35"/>
    <row r="199" s="534" customFormat="1" x14ac:dyDescent="0.35"/>
    <row r="200" s="534" customFormat="1" x14ac:dyDescent="0.35"/>
    <row r="201" s="534" customFormat="1" x14ac:dyDescent="0.35"/>
    <row r="202" s="534" customFormat="1" x14ac:dyDescent="0.35"/>
    <row r="203" s="534" customFormat="1" x14ac:dyDescent="0.35"/>
    <row r="204" s="534" customFormat="1" x14ac:dyDescent="0.35"/>
    <row r="205" s="534" customFormat="1" x14ac:dyDescent="0.35"/>
    <row r="206" s="534" customFormat="1" x14ac:dyDescent="0.35"/>
    <row r="207" s="534" customFormat="1" x14ac:dyDescent="0.35"/>
    <row r="208" s="534" customFormat="1" x14ac:dyDescent="0.35"/>
    <row r="209" s="534" customFormat="1" x14ac:dyDescent="0.35"/>
    <row r="210" s="534" customFormat="1" x14ac:dyDescent="0.35"/>
    <row r="211" s="534" customFormat="1" x14ac:dyDescent="0.35"/>
    <row r="212" s="534" customFormat="1" x14ac:dyDescent="0.35"/>
    <row r="213" s="534" customFormat="1" x14ac:dyDescent="0.35"/>
    <row r="214" s="534" customFormat="1" x14ac:dyDescent="0.35"/>
    <row r="215" s="534" customFormat="1" x14ac:dyDescent="0.35"/>
    <row r="216" s="534" customFormat="1" x14ac:dyDescent="0.35"/>
    <row r="217" s="534" customFormat="1" x14ac:dyDescent="0.35"/>
    <row r="218" s="534" customFormat="1" x14ac:dyDescent="0.35"/>
    <row r="219" s="534" customFormat="1" x14ac:dyDescent="0.35"/>
    <row r="220" s="534" customFormat="1" x14ac:dyDescent="0.35"/>
    <row r="221" s="534" customFormat="1" x14ac:dyDescent="0.35"/>
    <row r="222" s="534" customFormat="1" x14ac:dyDescent="0.35"/>
    <row r="223" s="534" customFormat="1" x14ac:dyDescent="0.35"/>
    <row r="224" s="534" customFormat="1" x14ac:dyDescent="0.35"/>
    <row r="225" s="534" customFormat="1" x14ac:dyDescent="0.35"/>
    <row r="226" s="534" customFormat="1" x14ac:dyDescent="0.35"/>
    <row r="227" s="534" customFormat="1" x14ac:dyDescent="0.35"/>
    <row r="228" s="534" customFormat="1" x14ac:dyDescent="0.35"/>
    <row r="229" s="534" customFormat="1" x14ac:dyDescent="0.35"/>
    <row r="230" s="534" customFormat="1" x14ac:dyDescent="0.35"/>
    <row r="231" s="534" customFormat="1" x14ac:dyDescent="0.35"/>
    <row r="232" s="534" customFormat="1" x14ac:dyDescent="0.35"/>
    <row r="233" s="534" customFormat="1" x14ac:dyDescent="0.35"/>
    <row r="234" s="534" customFormat="1" x14ac:dyDescent="0.35"/>
    <row r="235" s="534" customFormat="1" x14ac:dyDescent="0.35"/>
    <row r="236" s="534" customFormat="1" x14ac:dyDescent="0.35"/>
    <row r="237" s="534" customFormat="1" x14ac:dyDescent="0.35"/>
    <row r="238" s="534" customFormat="1" x14ac:dyDescent="0.35"/>
    <row r="239" s="534" customFormat="1" x14ac:dyDescent="0.35"/>
    <row r="240" s="534" customFormat="1" x14ac:dyDescent="0.35"/>
    <row r="241" s="534" customFormat="1" x14ac:dyDescent="0.35"/>
    <row r="242" s="534" customFormat="1" x14ac:dyDescent="0.35"/>
    <row r="243" s="534" customFormat="1" x14ac:dyDescent="0.35"/>
    <row r="244" s="534" customFormat="1" x14ac:dyDescent="0.35"/>
    <row r="245" s="534" customFormat="1" x14ac:dyDescent="0.35"/>
    <row r="246" s="534" customFormat="1" x14ac:dyDescent="0.35"/>
    <row r="247" s="534" customFormat="1" x14ac:dyDescent="0.35"/>
    <row r="248" s="534" customFormat="1" x14ac:dyDescent="0.35"/>
    <row r="249" s="534" customFormat="1" x14ac:dyDescent="0.35"/>
    <row r="250" s="534" customFormat="1" x14ac:dyDescent="0.35"/>
    <row r="251" s="534" customFormat="1" x14ac:dyDescent="0.35"/>
    <row r="252" s="534" customFormat="1" x14ac:dyDescent="0.35"/>
    <row r="253" s="534" customFormat="1" x14ac:dyDescent="0.35"/>
    <row r="254" s="534" customFormat="1" x14ac:dyDescent="0.35"/>
    <row r="255" s="534" customFormat="1" x14ac:dyDescent="0.35"/>
    <row r="256" s="534" customFormat="1" x14ac:dyDescent="0.35"/>
    <row r="257" s="534" customFormat="1" x14ac:dyDescent="0.35"/>
    <row r="258" s="534" customFormat="1" x14ac:dyDescent="0.35"/>
    <row r="259" s="534" customFormat="1" x14ac:dyDescent="0.35"/>
    <row r="260" s="534" customFormat="1" x14ac:dyDescent="0.35"/>
    <row r="261" s="534" customFormat="1" x14ac:dyDescent="0.35"/>
    <row r="262" s="534" customFormat="1" x14ac:dyDescent="0.35"/>
    <row r="263" s="534" customFormat="1" x14ac:dyDescent="0.35"/>
    <row r="264" s="534" customFormat="1" x14ac:dyDescent="0.35"/>
    <row r="265" s="534" customFormat="1" x14ac:dyDescent="0.35"/>
    <row r="266" s="534" customFormat="1" x14ac:dyDescent="0.35"/>
    <row r="267" s="534" customFormat="1" x14ac:dyDescent="0.35"/>
    <row r="268" s="534" customFormat="1" x14ac:dyDescent="0.35"/>
    <row r="269" s="534" customFormat="1" x14ac:dyDescent="0.35"/>
    <row r="270" s="534" customFormat="1" x14ac:dyDescent="0.35"/>
    <row r="271" s="534" customFormat="1" x14ac:dyDescent="0.35"/>
    <row r="272" s="534" customFormat="1" x14ac:dyDescent="0.35"/>
    <row r="273" s="534" customFormat="1" x14ac:dyDescent="0.35"/>
    <row r="274" s="534" customFormat="1" x14ac:dyDescent="0.35"/>
    <row r="275" s="534" customFormat="1" x14ac:dyDescent="0.35"/>
    <row r="276" s="534" customFormat="1" x14ac:dyDescent="0.35"/>
    <row r="277" s="534" customFormat="1" x14ac:dyDescent="0.35"/>
    <row r="278" s="534" customFormat="1" x14ac:dyDescent="0.35"/>
    <row r="279" s="534" customFormat="1" x14ac:dyDescent="0.35"/>
    <row r="280" s="534" customFormat="1" x14ac:dyDescent="0.35"/>
    <row r="281" s="534" customFormat="1" x14ac:dyDescent="0.35"/>
    <row r="282" s="534" customFormat="1" x14ac:dyDescent="0.35"/>
    <row r="283" s="534" customFormat="1" x14ac:dyDescent="0.35"/>
    <row r="284" s="534" customFormat="1" x14ac:dyDescent="0.35"/>
    <row r="285" s="534" customFormat="1" x14ac:dyDescent="0.35"/>
    <row r="286" s="534" customFormat="1" x14ac:dyDescent="0.35"/>
    <row r="287" s="534" customFormat="1" x14ac:dyDescent="0.35"/>
    <row r="288" s="534" customFormat="1" x14ac:dyDescent="0.35"/>
    <row r="289" s="534" customFormat="1" x14ac:dyDescent="0.35"/>
    <row r="290" s="534" customFormat="1" x14ac:dyDescent="0.35"/>
    <row r="291" s="534" customFormat="1" x14ac:dyDescent="0.35"/>
    <row r="292" s="534" customFormat="1" x14ac:dyDescent="0.35"/>
    <row r="293" s="534" customFormat="1" x14ac:dyDescent="0.35"/>
    <row r="294" s="534" customFormat="1" x14ac:dyDescent="0.35"/>
    <row r="295" s="534" customFormat="1" x14ac:dyDescent="0.35"/>
    <row r="296" s="534" customFormat="1" x14ac:dyDescent="0.35"/>
    <row r="297" s="534" customFormat="1" x14ac:dyDescent="0.35"/>
    <row r="298" s="534" customFormat="1" x14ac:dyDescent="0.35"/>
    <row r="299" s="534" customFormat="1" x14ac:dyDescent="0.35"/>
    <row r="300" s="534" customFormat="1" x14ac:dyDescent="0.35"/>
    <row r="301" s="534" customFormat="1" x14ac:dyDescent="0.35"/>
    <row r="302" s="534" customFormat="1" x14ac:dyDescent="0.35"/>
    <row r="303" s="534" customFormat="1" x14ac:dyDescent="0.35"/>
    <row r="304" s="534" customFormat="1" x14ac:dyDescent="0.35"/>
    <row r="305" s="534" customFormat="1" x14ac:dyDescent="0.35"/>
    <row r="306" s="534" customFormat="1" x14ac:dyDescent="0.35"/>
    <row r="307" s="534" customFormat="1" x14ac:dyDescent="0.35"/>
    <row r="308" s="534" customFormat="1" x14ac:dyDescent="0.35"/>
    <row r="309" s="534" customFormat="1" x14ac:dyDescent="0.35"/>
    <row r="310" s="534" customFormat="1" x14ac:dyDescent="0.35"/>
    <row r="311" s="534" customFormat="1" x14ac:dyDescent="0.35"/>
    <row r="312" s="534" customFormat="1" x14ac:dyDescent="0.35"/>
    <row r="313" s="534" customFormat="1" x14ac:dyDescent="0.35"/>
    <row r="314" s="534" customFormat="1" x14ac:dyDescent="0.35"/>
    <row r="315" s="534" customFormat="1" x14ac:dyDescent="0.35"/>
    <row r="316" s="534" customFormat="1" x14ac:dyDescent="0.35"/>
    <row r="317" s="534" customFormat="1" x14ac:dyDescent="0.35"/>
    <row r="318" s="534" customFormat="1" x14ac:dyDescent="0.35"/>
    <row r="319" s="534" customFormat="1" x14ac:dyDescent="0.35"/>
    <row r="320" s="534" customFormat="1" x14ac:dyDescent="0.35"/>
    <row r="321" s="534" customFormat="1" x14ac:dyDescent="0.35"/>
    <row r="322" s="534" customFormat="1" x14ac:dyDescent="0.35"/>
    <row r="323" s="534" customFormat="1" x14ac:dyDescent="0.35"/>
    <row r="324" s="534" customFormat="1" x14ac:dyDescent="0.35"/>
    <row r="325" s="534" customFormat="1" x14ac:dyDescent="0.35"/>
    <row r="326" s="534" customFormat="1" x14ac:dyDescent="0.35"/>
    <row r="327" s="534" customFormat="1" x14ac:dyDescent="0.35"/>
    <row r="328" s="534" customFormat="1" x14ac:dyDescent="0.35"/>
    <row r="329" s="534" customFormat="1" x14ac:dyDescent="0.35"/>
    <row r="330" s="534" customFormat="1" x14ac:dyDescent="0.35"/>
    <row r="331" s="534" customFormat="1" x14ac:dyDescent="0.35"/>
    <row r="332" s="534" customFormat="1" x14ac:dyDescent="0.35"/>
    <row r="333" s="534" customFormat="1" x14ac:dyDescent="0.35"/>
    <row r="334" s="534" customFormat="1" x14ac:dyDescent="0.35"/>
    <row r="335" s="534" customFormat="1" x14ac:dyDescent="0.35"/>
    <row r="336" s="534" customFormat="1" x14ac:dyDescent="0.35"/>
    <row r="337" s="534" customFormat="1" x14ac:dyDescent="0.35"/>
    <row r="338" s="534" customFormat="1" x14ac:dyDescent="0.35"/>
    <row r="339" s="534" customFormat="1" x14ac:dyDescent="0.35"/>
    <row r="340" s="534" customFormat="1" x14ac:dyDescent="0.35"/>
    <row r="341" s="534" customFormat="1" x14ac:dyDescent="0.35"/>
    <row r="342" s="534" customFormat="1" x14ac:dyDescent="0.35"/>
    <row r="343" s="534" customFormat="1" x14ac:dyDescent="0.35"/>
    <row r="344" s="534" customFormat="1" x14ac:dyDescent="0.35"/>
    <row r="345" s="534" customFormat="1" x14ac:dyDescent="0.35"/>
    <row r="346" s="534" customFormat="1" x14ac:dyDescent="0.35"/>
    <row r="347" s="534" customFormat="1" x14ac:dyDescent="0.35"/>
    <row r="348" s="534" customFormat="1" x14ac:dyDescent="0.35"/>
    <row r="349" s="534" customFormat="1" x14ac:dyDescent="0.35"/>
    <row r="350" s="534" customFormat="1" x14ac:dyDescent="0.35"/>
    <row r="351" s="534" customFormat="1" x14ac:dyDescent="0.35"/>
    <row r="352" s="534" customFormat="1" x14ac:dyDescent="0.35"/>
    <row r="353" s="534" customFormat="1" x14ac:dyDescent="0.35"/>
    <row r="354" s="534" customFormat="1" x14ac:dyDescent="0.35"/>
    <row r="355" s="534" customFormat="1" x14ac:dyDescent="0.35"/>
    <row r="356" s="534" customFormat="1" x14ac:dyDescent="0.35"/>
    <row r="357" s="534" customFormat="1" x14ac:dyDescent="0.35"/>
    <row r="358" s="534" customFormat="1" x14ac:dyDescent="0.35"/>
    <row r="359" s="534" customFormat="1" x14ac:dyDescent="0.35"/>
    <row r="360" s="534" customFormat="1" x14ac:dyDescent="0.35"/>
    <row r="361" s="534" customFormat="1" x14ac:dyDescent="0.35"/>
    <row r="362" s="534" customFormat="1" x14ac:dyDescent="0.35"/>
    <row r="363" s="534" customFormat="1" x14ac:dyDescent="0.35"/>
    <row r="364" s="534" customFormat="1" x14ac:dyDescent="0.35"/>
    <row r="365" s="534" customFormat="1" x14ac:dyDescent="0.35"/>
    <row r="366" s="534" customFormat="1" x14ac:dyDescent="0.35"/>
    <row r="367" s="534" customFormat="1" x14ac:dyDescent="0.35"/>
    <row r="368" s="534" customFormat="1" x14ac:dyDescent="0.35"/>
    <row r="369" s="534" customFormat="1" x14ac:dyDescent="0.35"/>
    <row r="370" s="534" customFormat="1" x14ac:dyDescent="0.35"/>
    <row r="371" s="534" customFormat="1" x14ac:dyDescent="0.35"/>
    <row r="372" s="534" customFormat="1" x14ac:dyDescent="0.35"/>
    <row r="373" s="534" customFormat="1" x14ac:dyDescent="0.35"/>
    <row r="374" s="534" customFormat="1" x14ac:dyDescent="0.35"/>
    <row r="375" s="534" customFormat="1" x14ac:dyDescent="0.35"/>
    <row r="376" s="534" customFormat="1" x14ac:dyDescent="0.35"/>
    <row r="377" s="534" customFormat="1" x14ac:dyDescent="0.35"/>
    <row r="378" s="534" customFormat="1" x14ac:dyDescent="0.35"/>
    <row r="379" s="534" customFormat="1" x14ac:dyDescent="0.35"/>
    <row r="380" s="534" customFormat="1" x14ac:dyDescent="0.35"/>
    <row r="381" s="534" customFormat="1" x14ac:dyDescent="0.35"/>
    <row r="382" s="534" customFormat="1" x14ac:dyDescent="0.35"/>
    <row r="383" s="534" customFormat="1" x14ac:dyDescent="0.35"/>
    <row r="384" s="534" customFormat="1" x14ac:dyDescent="0.35"/>
    <row r="385" s="534" customFormat="1" x14ac:dyDescent="0.35"/>
    <row r="386" s="534" customFormat="1" x14ac:dyDescent="0.35"/>
    <row r="387" s="534" customFormat="1" x14ac:dyDescent="0.35"/>
    <row r="388" s="534" customFormat="1" x14ac:dyDescent="0.35"/>
    <row r="389" s="534" customFormat="1" x14ac:dyDescent="0.35"/>
    <row r="390" s="534" customFormat="1" x14ac:dyDescent="0.35"/>
    <row r="391" s="534" customFormat="1" x14ac:dyDescent="0.35"/>
    <row r="392" s="534" customFormat="1" x14ac:dyDescent="0.35"/>
    <row r="393" s="534" customFormat="1" x14ac:dyDescent="0.35"/>
    <row r="394" s="534" customFormat="1" x14ac:dyDescent="0.35"/>
    <row r="395" s="534" customFormat="1" x14ac:dyDescent="0.35"/>
    <row r="396" s="534" customFormat="1" x14ac:dyDescent="0.35"/>
    <row r="397" s="534" customFormat="1" x14ac:dyDescent="0.35"/>
    <row r="398" s="534" customFormat="1" x14ac:dyDescent="0.35"/>
    <row r="399" s="534" customFormat="1" x14ac:dyDescent="0.35"/>
    <row r="400" s="534" customFormat="1" x14ac:dyDescent="0.35"/>
    <row r="401" s="534" customFormat="1" x14ac:dyDescent="0.35"/>
    <row r="402" s="534" customFormat="1" x14ac:dyDescent="0.35"/>
    <row r="403" s="534" customFormat="1" x14ac:dyDescent="0.35"/>
    <row r="404" s="534" customFormat="1" x14ac:dyDescent="0.35"/>
    <row r="405" s="534" customFormat="1" x14ac:dyDescent="0.35"/>
    <row r="406" s="534" customFormat="1" x14ac:dyDescent="0.35"/>
    <row r="407" s="534" customFormat="1" x14ac:dyDescent="0.35"/>
    <row r="408" s="534" customFormat="1" x14ac:dyDescent="0.35"/>
    <row r="409" s="534" customFormat="1" x14ac:dyDescent="0.35"/>
    <row r="410" s="534" customFormat="1" x14ac:dyDescent="0.35"/>
    <row r="411" s="534" customFormat="1" x14ac:dyDescent="0.35"/>
    <row r="412" s="534" customFormat="1" x14ac:dyDescent="0.35"/>
    <row r="413" s="534" customFormat="1" x14ac:dyDescent="0.35"/>
    <row r="414" s="534" customFormat="1" x14ac:dyDescent="0.35"/>
    <row r="415" s="534" customFormat="1" x14ac:dyDescent="0.35"/>
    <row r="416" s="534" customFormat="1" x14ac:dyDescent="0.35"/>
    <row r="417" s="534" customFormat="1" x14ac:dyDescent="0.35"/>
    <row r="418" s="534" customFormat="1" x14ac:dyDescent="0.35"/>
    <row r="419" s="534" customFormat="1" x14ac:dyDescent="0.35"/>
    <row r="420" s="534" customFormat="1" x14ac:dyDescent="0.35"/>
    <row r="421" s="534" customFormat="1" x14ac:dyDescent="0.35"/>
    <row r="422" s="534" customFormat="1" x14ac:dyDescent="0.35"/>
  </sheetData>
  <sheetProtection objects="1"/>
  <phoneticPr fontId="0" type="noConversion"/>
  <pageMargins left="0.39370078740157483" right="0.39370078740157483" top="0.59055118110236227" bottom="0.51181102362204722" header="0.51181102362204722" footer="0.51181102362204722"/>
  <pageSetup paperSize="9" scale="64" fitToWidth="2" orientation="landscape" horizontalDpi="300" verticalDpi="300" r:id="rId1"/>
  <headerFooter alignWithMargins="0"/>
  <colBreaks count="1" manualBreakCount="1">
    <brk id="12" max="30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70"/>
  <dimension ref="A1:V24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35.7265625" style="168" customWidth="1"/>
    <col min="2" max="12" width="11.81640625" style="168" customWidth="1"/>
    <col min="13" max="16384" width="12.54296875" style="168"/>
  </cols>
  <sheetData>
    <row r="1" spans="1:22" x14ac:dyDescent="0.35">
      <c r="A1" s="369" t="str">
        <f>TECNOLOGIAS!A1</f>
        <v>Proponente: TransPolitécnica</v>
      </c>
    </row>
    <row r="2" spans="1:22" x14ac:dyDescent="0.35">
      <c r="A2" s="369" t="str">
        <f>TECNOLOGIAS!A2</f>
        <v>Área de Concessão: 5 (Cinco)</v>
      </c>
    </row>
    <row r="4" spans="1:22" ht="18" x14ac:dyDescent="0.4">
      <c r="A4" s="167" t="s">
        <v>414</v>
      </c>
    </row>
    <row r="6" spans="1:22" x14ac:dyDescent="0.35">
      <c r="A6" s="169" t="s">
        <v>789</v>
      </c>
      <c r="B6" s="180"/>
      <c r="C6" s="180"/>
      <c r="D6" s="180"/>
      <c r="E6" s="180"/>
    </row>
    <row r="7" spans="1:22" x14ac:dyDescent="0.35">
      <c r="A7" s="177"/>
      <c r="B7" s="180"/>
      <c r="C7" s="180"/>
      <c r="D7" s="180"/>
      <c r="E7" s="180"/>
    </row>
    <row r="8" spans="1:22" x14ac:dyDescent="0.35">
      <c r="A8" s="170" t="s">
        <v>269</v>
      </c>
      <c r="B8" s="180"/>
      <c r="C8" s="180"/>
      <c r="D8" s="180"/>
      <c r="E8" s="180"/>
    </row>
    <row r="9" spans="1:22" ht="16" thickBot="1" x14ac:dyDescent="0.4">
      <c r="A9" s="177"/>
      <c r="B9" s="180"/>
      <c r="C9" s="180"/>
      <c r="D9" s="180"/>
      <c r="E9" s="180"/>
    </row>
    <row r="10" spans="1:22" ht="16" thickBot="1" x14ac:dyDescent="0.4">
      <c r="A10" s="270" t="s">
        <v>21</v>
      </c>
      <c r="B10" s="678" t="s">
        <v>263</v>
      </c>
      <c r="C10" s="679"/>
      <c r="D10" s="679"/>
      <c r="E10" s="679"/>
      <c r="F10" s="679"/>
      <c r="G10" s="679"/>
      <c r="H10" s="679"/>
      <c r="I10" s="679"/>
      <c r="J10" s="679"/>
      <c r="K10" s="679"/>
      <c r="L10" s="680"/>
      <c r="M10" s="678" t="s">
        <v>263</v>
      </c>
      <c r="N10" s="679"/>
      <c r="O10" s="679"/>
      <c r="P10" s="679"/>
      <c r="Q10" s="679"/>
      <c r="R10" s="679"/>
      <c r="S10" s="679"/>
      <c r="T10" s="679"/>
      <c r="U10" s="679"/>
      <c r="V10" s="680"/>
    </row>
    <row r="11" spans="1:22" x14ac:dyDescent="0.35">
      <c r="A11" s="196"/>
      <c r="B11" s="271" t="s">
        <v>372</v>
      </c>
      <c r="C11" s="272" t="s">
        <v>372</v>
      </c>
      <c r="D11" s="272" t="s">
        <v>372</v>
      </c>
      <c r="E11" s="272" t="s">
        <v>372</v>
      </c>
      <c r="F11" s="272" t="s">
        <v>372</v>
      </c>
      <c r="G11" s="272" t="s">
        <v>372</v>
      </c>
      <c r="H11" s="272" t="s">
        <v>372</v>
      </c>
      <c r="I11" s="272" t="s">
        <v>372</v>
      </c>
      <c r="J11" s="272" t="s">
        <v>372</v>
      </c>
      <c r="K11" s="272" t="s">
        <v>372</v>
      </c>
      <c r="L11" s="272" t="s">
        <v>372</v>
      </c>
      <c r="M11" s="272" t="s">
        <v>372</v>
      </c>
      <c r="N11" s="272" t="s">
        <v>372</v>
      </c>
      <c r="O11" s="272" t="s">
        <v>372</v>
      </c>
      <c r="P11" s="272" t="s">
        <v>372</v>
      </c>
      <c r="Q11" s="272" t="s">
        <v>372</v>
      </c>
      <c r="R11" s="272" t="s">
        <v>372</v>
      </c>
      <c r="S11" s="272" t="s">
        <v>372</v>
      </c>
      <c r="T11" s="272" t="s">
        <v>372</v>
      </c>
      <c r="U11" s="272" t="s">
        <v>372</v>
      </c>
      <c r="V11" s="272" t="s">
        <v>372</v>
      </c>
    </row>
    <row r="12" spans="1:22" ht="16" thickBot="1" x14ac:dyDescent="0.4">
      <c r="A12" s="182"/>
      <c r="B12" s="191" t="s">
        <v>413</v>
      </c>
      <c r="C12" s="191">
        <v>1</v>
      </c>
      <c r="D12" s="191">
        <v>2</v>
      </c>
      <c r="E12" s="191">
        <v>3</v>
      </c>
      <c r="F12" s="191">
        <v>4</v>
      </c>
      <c r="G12" s="191">
        <v>5</v>
      </c>
      <c r="H12" s="191">
        <v>6</v>
      </c>
      <c r="I12" s="191">
        <v>7</v>
      </c>
      <c r="J12" s="191">
        <v>8</v>
      </c>
      <c r="K12" s="191">
        <v>9</v>
      </c>
      <c r="L12" s="191">
        <v>10</v>
      </c>
      <c r="M12" s="191">
        <v>11</v>
      </c>
      <c r="N12" s="191">
        <v>12</v>
      </c>
      <c r="O12" s="191">
        <v>13</v>
      </c>
      <c r="P12" s="191">
        <v>14</v>
      </c>
      <c r="Q12" s="191">
        <v>15</v>
      </c>
      <c r="R12" s="191">
        <v>16</v>
      </c>
      <c r="S12" s="191">
        <v>17</v>
      </c>
      <c r="T12" s="191">
        <v>18</v>
      </c>
      <c r="U12" s="191">
        <v>19</v>
      </c>
      <c r="V12" s="191">
        <v>20</v>
      </c>
    </row>
    <row r="13" spans="1:22" x14ac:dyDescent="0.35">
      <c r="A13" s="181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</row>
    <row r="14" spans="1:22" x14ac:dyDescent="0.35">
      <c r="A14" s="181" t="s">
        <v>275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</row>
    <row r="15" spans="1:22" x14ac:dyDescent="0.35">
      <c r="A15" s="184" t="s">
        <v>276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</row>
    <row r="16" spans="1:22" x14ac:dyDescent="0.35">
      <c r="A16" s="184" t="s">
        <v>277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</row>
    <row r="17" spans="1:22" x14ac:dyDescent="0.35">
      <c r="A17" s="184" t="s">
        <v>278</v>
      </c>
      <c r="B17" s="199">
        <f>B15+B16</f>
        <v>0</v>
      </c>
      <c r="C17" s="199">
        <f t="shared" ref="C17:L17" si="0">C15+C16</f>
        <v>0</v>
      </c>
      <c r="D17" s="199">
        <f t="shared" si="0"/>
        <v>0</v>
      </c>
      <c r="E17" s="199">
        <f t="shared" si="0"/>
        <v>0</v>
      </c>
      <c r="F17" s="199">
        <f t="shared" si="0"/>
        <v>0</v>
      </c>
      <c r="G17" s="199">
        <f t="shared" si="0"/>
        <v>0</v>
      </c>
      <c r="H17" s="199">
        <f t="shared" si="0"/>
        <v>0</v>
      </c>
      <c r="I17" s="199">
        <f t="shared" si="0"/>
        <v>0</v>
      </c>
      <c r="J17" s="199">
        <f t="shared" si="0"/>
        <v>0</v>
      </c>
      <c r="K17" s="199">
        <f t="shared" si="0"/>
        <v>0</v>
      </c>
      <c r="L17" s="199">
        <f t="shared" si="0"/>
        <v>0</v>
      </c>
      <c r="M17" s="199">
        <f t="shared" ref="M17:V17" si="1">M15+M16</f>
        <v>0</v>
      </c>
      <c r="N17" s="199">
        <f t="shared" si="1"/>
        <v>0</v>
      </c>
      <c r="O17" s="199">
        <f t="shared" si="1"/>
        <v>0</v>
      </c>
      <c r="P17" s="199">
        <f t="shared" si="1"/>
        <v>0</v>
      </c>
      <c r="Q17" s="199">
        <f t="shared" si="1"/>
        <v>0</v>
      </c>
      <c r="R17" s="199">
        <f t="shared" si="1"/>
        <v>0</v>
      </c>
      <c r="S17" s="199">
        <f t="shared" si="1"/>
        <v>0</v>
      </c>
      <c r="T17" s="199">
        <f t="shared" si="1"/>
        <v>0</v>
      </c>
      <c r="U17" s="199">
        <f t="shared" si="1"/>
        <v>0</v>
      </c>
      <c r="V17" s="199">
        <f t="shared" si="1"/>
        <v>0</v>
      </c>
    </row>
    <row r="18" spans="1:22" x14ac:dyDescent="0.35">
      <c r="A18" s="180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</row>
    <row r="19" spans="1:22" x14ac:dyDescent="0.35">
      <c r="A19" s="181" t="s">
        <v>279</v>
      </c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</row>
    <row r="20" spans="1:22" x14ac:dyDescent="0.35">
      <c r="A20" s="184" t="s">
        <v>280</v>
      </c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</row>
    <row r="21" spans="1:22" x14ac:dyDescent="0.35">
      <c r="A21" s="184" t="s">
        <v>281</v>
      </c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</row>
    <row r="22" spans="1:22" x14ac:dyDescent="0.35">
      <c r="A22" s="184" t="s">
        <v>282</v>
      </c>
      <c r="B22" s="199">
        <f>B20+B21</f>
        <v>0</v>
      </c>
      <c r="C22" s="199">
        <f t="shared" ref="C22:L22" si="2">C20+C21</f>
        <v>0</v>
      </c>
      <c r="D22" s="199">
        <f t="shared" si="2"/>
        <v>0</v>
      </c>
      <c r="E22" s="199">
        <f t="shared" si="2"/>
        <v>0</v>
      </c>
      <c r="F22" s="199">
        <f t="shared" si="2"/>
        <v>0</v>
      </c>
      <c r="G22" s="199">
        <f t="shared" si="2"/>
        <v>0</v>
      </c>
      <c r="H22" s="199">
        <f t="shared" si="2"/>
        <v>0</v>
      </c>
      <c r="I22" s="199">
        <f t="shared" si="2"/>
        <v>0</v>
      </c>
      <c r="J22" s="199">
        <f t="shared" si="2"/>
        <v>0</v>
      </c>
      <c r="K22" s="199">
        <f t="shared" si="2"/>
        <v>0</v>
      </c>
      <c r="L22" s="199">
        <f t="shared" si="2"/>
        <v>0</v>
      </c>
      <c r="M22" s="199">
        <f t="shared" ref="M22:V22" si="3">M20+M21</f>
        <v>0</v>
      </c>
      <c r="N22" s="199">
        <f t="shared" si="3"/>
        <v>0</v>
      </c>
      <c r="O22" s="199">
        <f t="shared" si="3"/>
        <v>0</v>
      </c>
      <c r="P22" s="199">
        <f t="shared" si="3"/>
        <v>0</v>
      </c>
      <c r="Q22" s="199">
        <f t="shared" si="3"/>
        <v>0</v>
      </c>
      <c r="R22" s="199">
        <f t="shared" si="3"/>
        <v>0</v>
      </c>
      <c r="S22" s="199">
        <f t="shared" si="3"/>
        <v>0</v>
      </c>
      <c r="T22" s="199">
        <f t="shared" si="3"/>
        <v>0</v>
      </c>
      <c r="U22" s="199">
        <f t="shared" si="3"/>
        <v>0</v>
      </c>
      <c r="V22" s="199">
        <f t="shared" si="3"/>
        <v>0</v>
      </c>
    </row>
    <row r="24" spans="1:22" x14ac:dyDescent="0.35">
      <c r="A24" t="s">
        <v>447</v>
      </c>
    </row>
  </sheetData>
  <sheetProtection objects="1"/>
  <mergeCells count="2">
    <mergeCell ref="B10:L10"/>
    <mergeCell ref="M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70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71"/>
  <dimension ref="A1:V829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24.26953125" style="168" customWidth="1"/>
    <col min="2" max="12" width="11.54296875" style="168" customWidth="1"/>
    <col min="13" max="16384" width="12.54296875" style="168"/>
  </cols>
  <sheetData>
    <row r="1" spans="1:22" x14ac:dyDescent="0.35">
      <c r="A1" s="369" t="str">
        <f>TECNOLOGIAS!A1</f>
        <v>Proponente: TransPolitécnica</v>
      </c>
    </row>
    <row r="2" spans="1:22" x14ac:dyDescent="0.35">
      <c r="A2" s="369" t="str">
        <f>TECNOLOGIAS!A2</f>
        <v>Área de Concessão: 5 (Cinco)</v>
      </c>
    </row>
    <row r="4" spans="1:22" ht="18" x14ac:dyDescent="0.4">
      <c r="A4" s="167" t="s">
        <v>826</v>
      </c>
    </row>
    <row r="6" spans="1:22" x14ac:dyDescent="0.35">
      <c r="A6" s="169" t="s">
        <v>788</v>
      </c>
      <c r="B6" s="180"/>
      <c r="C6" s="180"/>
      <c r="D6" s="180"/>
      <c r="E6" s="180"/>
    </row>
    <row r="7" spans="1:22" x14ac:dyDescent="0.35">
      <c r="A7" s="177"/>
      <c r="B7" s="180"/>
      <c r="C7" s="180"/>
      <c r="D7" s="180"/>
      <c r="E7" s="180"/>
    </row>
    <row r="8" spans="1:22" x14ac:dyDescent="0.35">
      <c r="A8" s="170" t="s">
        <v>825</v>
      </c>
      <c r="B8" s="180"/>
      <c r="C8" s="180"/>
      <c r="D8" s="180"/>
      <c r="E8" s="180"/>
    </row>
    <row r="9" spans="1:22" ht="16" thickBot="1" x14ac:dyDescent="0.4">
      <c r="A9" s="177"/>
      <c r="B9" s="180"/>
      <c r="C9" s="180"/>
      <c r="D9" s="180"/>
      <c r="E9" s="180"/>
    </row>
    <row r="10" spans="1:22" ht="16" thickBot="1" x14ac:dyDescent="0.4">
      <c r="A10" s="270" t="s">
        <v>329</v>
      </c>
      <c r="B10" s="678" t="s">
        <v>263</v>
      </c>
      <c r="C10" s="679"/>
      <c r="D10" s="679"/>
      <c r="E10" s="679"/>
      <c r="F10" s="679"/>
      <c r="G10" s="679"/>
      <c r="H10" s="679"/>
      <c r="I10" s="679"/>
      <c r="J10" s="679"/>
      <c r="K10" s="679"/>
      <c r="L10" s="680"/>
      <c r="M10" s="678" t="s">
        <v>263</v>
      </c>
      <c r="N10" s="679"/>
      <c r="O10" s="679"/>
      <c r="P10" s="679"/>
      <c r="Q10" s="679"/>
      <c r="R10" s="679"/>
      <c r="S10" s="679"/>
      <c r="T10" s="679"/>
      <c r="U10" s="679"/>
      <c r="V10" s="680"/>
    </row>
    <row r="11" spans="1:22" x14ac:dyDescent="0.35">
      <c r="A11" s="196"/>
      <c r="B11" s="271" t="s">
        <v>372</v>
      </c>
      <c r="C11" s="272" t="s">
        <v>372</v>
      </c>
      <c r="D11" s="272" t="s">
        <v>372</v>
      </c>
      <c r="E11" s="272" t="s">
        <v>372</v>
      </c>
      <c r="F11" s="272" t="s">
        <v>372</v>
      </c>
      <c r="G11" s="272" t="s">
        <v>372</v>
      </c>
      <c r="H11" s="272" t="s">
        <v>372</v>
      </c>
      <c r="I11" s="272" t="s">
        <v>372</v>
      </c>
      <c r="J11" s="272" t="s">
        <v>372</v>
      </c>
      <c r="K11" s="272" t="s">
        <v>372</v>
      </c>
      <c r="L11" s="272" t="s">
        <v>372</v>
      </c>
      <c r="M11" s="272" t="s">
        <v>372</v>
      </c>
      <c r="N11" s="272" t="s">
        <v>372</v>
      </c>
      <c r="O11" s="272" t="s">
        <v>372</v>
      </c>
      <c r="P11" s="272" t="s">
        <v>372</v>
      </c>
      <c r="Q11" s="272" t="s">
        <v>372</v>
      </c>
      <c r="R11" s="272" t="s">
        <v>372</v>
      </c>
      <c r="S11" s="272" t="s">
        <v>372</v>
      </c>
      <c r="T11" s="272" t="s">
        <v>372</v>
      </c>
      <c r="U11" s="272" t="s">
        <v>372</v>
      </c>
      <c r="V11" s="272" t="s">
        <v>372</v>
      </c>
    </row>
    <row r="12" spans="1:22" ht="16" thickBot="1" x14ac:dyDescent="0.4">
      <c r="A12" s="182"/>
      <c r="B12" s="191" t="s">
        <v>413</v>
      </c>
      <c r="C12" s="191">
        <v>1</v>
      </c>
      <c r="D12" s="191">
        <v>2</v>
      </c>
      <c r="E12" s="191">
        <v>3</v>
      </c>
      <c r="F12" s="191">
        <v>4</v>
      </c>
      <c r="G12" s="191">
        <v>5</v>
      </c>
      <c r="H12" s="191">
        <v>6</v>
      </c>
      <c r="I12" s="191">
        <v>7</v>
      </c>
      <c r="J12" s="191">
        <v>8</v>
      </c>
      <c r="K12" s="191">
        <v>9</v>
      </c>
      <c r="L12" s="191">
        <v>10</v>
      </c>
      <c r="M12" s="191">
        <v>11</v>
      </c>
      <c r="N12" s="191">
        <v>12</v>
      </c>
      <c r="O12" s="191">
        <v>13</v>
      </c>
      <c r="P12" s="191">
        <v>14</v>
      </c>
      <c r="Q12" s="191">
        <v>15</v>
      </c>
      <c r="R12" s="191">
        <v>16</v>
      </c>
      <c r="S12" s="191">
        <v>17</v>
      </c>
      <c r="T12" s="191">
        <v>18</v>
      </c>
      <c r="U12" s="191">
        <v>19</v>
      </c>
      <c r="V12" s="191">
        <v>20</v>
      </c>
    </row>
    <row r="13" spans="1:22" x14ac:dyDescent="0.35">
      <c r="A13" s="181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</row>
    <row r="14" spans="1:22" x14ac:dyDescent="0.35">
      <c r="A14" s="181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</row>
    <row r="15" spans="1:22" x14ac:dyDescent="0.35">
      <c r="A15" s="184" t="s">
        <v>264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</row>
    <row r="16" spans="1:22" x14ac:dyDescent="0.35">
      <c r="A16" s="184" t="s">
        <v>265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</row>
    <row r="17" spans="1:22" x14ac:dyDescent="0.35">
      <c r="A17" s="184" t="s">
        <v>266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</row>
    <row r="18" spans="1:22" x14ac:dyDescent="0.35">
      <c r="A18" s="184" t="s">
        <v>267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</row>
    <row r="19" spans="1:22" x14ac:dyDescent="0.35">
      <c r="A19" s="184" t="s">
        <v>268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</row>
    <row r="20" spans="1:22" x14ac:dyDescent="0.35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</row>
    <row r="21" spans="1:22" s="351" customFormat="1" x14ac:dyDescent="0.35">
      <c r="A21" t="s">
        <v>447</v>
      </c>
      <c r="B21" s="350"/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</row>
    <row r="22" spans="1:22" s="351" customFormat="1" x14ac:dyDescent="0.35">
      <c r="A22" s="349"/>
      <c r="B22" s="350"/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</row>
    <row r="23" spans="1:22" s="351" customFormat="1" x14ac:dyDescent="0.35">
      <c r="A23" s="352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</row>
    <row r="24" spans="1:22" s="351" customFormat="1" x14ac:dyDescent="0.35">
      <c r="A24" s="352"/>
      <c r="B24" s="350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</row>
    <row r="25" spans="1:22" s="351" customFormat="1" x14ac:dyDescent="0.35">
      <c r="A25" s="352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</row>
    <row r="26" spans="1:22" s="351" customFormat="1" x14ac:dyDescent="0.35">
      <c r="A26" s="352"/>
      <c r="B26" s="350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</row>
    <row r="27" spans="1:22" s="351" customFormat="1" x14ac:dyDescent="0.35">
      <c r="A27" s="352"/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</row>
    <row r="28" spans="1:22" s="351" customFormat="1" x14ac:dyDescent="0.35">
      <c r="A28" s="350"/>
      <c r="B28" s="350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</row>
    <row r="29" spans="1:22" s="351" customFormat="1" x14ac:dyDescent="0.35">
      <c r="A29" s="349"/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</row>
    <row r="30" spans="1:22" s="351" customFormat="1" x14ac:dyDescent="0.35">
      <c r="A30" s="349"/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</row>
    <row r="31" spans="1:22" s="351" customFormat="1" x14ac:dyDescent="0.35">
      <c r="A31" s="352"/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</row>
    <row r="32" spans="1:22" s="351" customFormat="1" x14ac:dyDescent="0.35">
      <c r="A32" s="352"/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</row>
    <row r="33" spans="1:22" s="351" customFormat="1" x14ac:dyDescent="0.35">
      <c r="A33" s="352"/>
      <c r="B33" s="350"/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</row>
    <row r="34" spans="1:22" s="351" customFormat="1" x14ac:dyDescent="0.35">
      <c r="A34" s="352"/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</row>
    <row r="35" spans="1:22" s="351" customFormat="1" x14ac:dyDescent="0.35">
      <c r="A35" s="352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</row>
    <row r="36" spans="1:22" s="351" customFormat="1" x14ac:dyDescent="0.35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</row>
    <row r="37" spans="1:22" s="351" customFormat="1" x14ac:dyDescent="0.35">
      <c r="A37" s="349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</row>
    <row r="38" spans="1:22" s="351" customFormat="1" x14ac:dyDescent="0.35">
      <c r="A38" s="349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</row>
    <row r="39" spans="1:22" s="351" customFormat="1" x14ac:dyDescent="0.35">
      <c r="A39" s="352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</row>
    <row r="40" spans="1:22" s="351" customFormat="1" x14ac:dyDescent="0.35">
      <c r="A40" s="352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</row>
    <row r="41" spans="1:22" s="351" customFormat="1" x14ac:dyDescent="0.35">
      <c r="A41" s="352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</row>
    <row r="42" spans="1:22" s="351" customFormat="1" x14ac:dyDescent="0.35">
      <c r="A42" s="352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</row>
    <row r="43" spans="1:22" s="351" customFormat="1" x14ac:dyDescent="0.35">
      <c r="A43" s="352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</row>
    <row r="44" spans="1:22" s="351" customFormat="1" x14ac:dyDescent="0.3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</row>
    <row r="45" spans="1:22" x14ac:dyDescent="0.35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</row>
    <row r="46" spans="1:22" x14ac:dyDescent="0.35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</row>
    <row r="47" spans="1:22" x14ac:dyDescent="0.35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</row>
    <row r="48" spans="1:22" x14ac:dyDescent="0.35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</row>
    <row r="49" spans="1:13" x14ac:dyDescent="0.35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3" x14ac:dyDescent="0.35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</row>
    <row r="51" spans="1:13" x14ac:dyDescent="0.35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</row>
    <row r="52" spans="1:13" x14ac:dyDescent="0.35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</row>
    <row r="53" spans="1:13" x14ac:dyDescent="0.35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</row>
    <row r="54" spans="1:13" x14ac:dyDescent="0.35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</row>
    <row r="55" spans="1:13" x14ac:dyDescent="0.35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</row>
    <row r="56" spans="1:13" x14ac:dyDescent="0.35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</row>
    <row r="57" spans="1:13" x14ac:dyDescent="0.35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</row>
    <row r="58" spans="1:13" x14ac:dyDescent="0.35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</row>
    <row r="59" spans="1:13" x14ac:dyDescent="0.35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</row>
    <row r="60" spans="1:13" x14ac:dyDescent="0.35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</row>
    <row r="61" spans="1:13" x14ac:dyDescent="0.35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</row>
    <row r="62" spans="1:13" x14ac:dyDescent="0.35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</row>
    <row r="63" spans="1:13" x14ac:dyDescent="0.35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3" x14ac:dyDescent="0.35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</row>
    <row r="65" spans="1:13" x14ac:dyDescent="0.35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</row>
    <row r="66" spans="1:13" x14ac:dyDescent="0.35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</row>
    <row r="67" spans="1:13" x14ac:dyDescent="0.35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</row>
    <row r="68" spans="1:13" x14ac:dyDescent="0.35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</row>
    <row r="69" spans="1:13" x14ac:dyDescent="0.35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</row>
    <row r="70" spans="1:13" x14ac:dyDescent="0.35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</row>
    <row r="71" spans="1:13" x14ac:dyDescent="0.35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</row>
    <row r="72" spans="1:13" x14ac:dyDescent="0.35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</row>
    <row r="73" spans="1:13" x14ac:dyDescent="0.35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</row>
    <row r="74" spans="1:13" x14ac:dyDescent="0.35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</row>
    <row r="75" spans="1:13" x14ac:dyDescent="0.35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</row>
    <row r="76" spans="1:13" x14ac:dyDescent="0.35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</row>
    <row r="77" spans="1:13" x14ac:dyDescent="0.35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3" x14ac:dyDescent="0.35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</row>
    <row r="79" spans="1:13" x14ac:dyDescent="0.35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</row>
    <row r="80" spans="1:13" x14ac:dyDescent="0.35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</row>
    <row r="81" spans="1:13" x14ac:dyDescent="0.35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</row>
    <row r="82" spans="1:13" x14ac:dyDescent="0.35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</row>
    <row r="83" spans="1:13" x14ac:dyDescent="0.35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</row>
    <row r="84" spans="1:13" x14ac:dyDescent="0.35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</row>
    <row r="85" spans="1:13" x14ac:dyDescent="0.35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</row>
    <row r="86" spans="1:13" x14ac:dyDescent="0.35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</row>
    <row r="87" spans="1:13" x14ac:dyDescent="0.35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</row>
    <row r="88" spans="1:13" x14ac:dyDescent="0.35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</row>
    <row r="89" spans="1:13" x14ac:dyDescent="0.35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</row>
    <row r="90" spans="1:13" x14ac:dyDescent="0.35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</row>
    <row r="91" spans="1:13" x14ac:dyDescent="0.35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3" x14ac:dyDescent="0.35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</row>
    <row r="93" spans="1:13" x14ac:dyDescent="0.35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</row>
    <row r="94" spans="1:13" x14ac:dyDescent="0.35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</row>
    <row r="95" spans="1:13" x14ac:dyDescent="0.35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</row>
    <row r="96" spans="1:13" x14ac:dyDescent="0.35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</row>
    <row r="97" spans="1:13" x14ac:dyDescent="0.35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</row>
    <row r="98" spans="1:13" x14ac:dyDescent="0.35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</row>
    <row r="99" spans="1:13" x14ac:dyDescent="0.35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</row>
    <row r="100" spans="1:13" x14ac:dyDescent="0.35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</row>
    <row r="101" spans="1:13" x14ac:dyDescent="0.35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</row>
    <row r="102" spans="1:13" x14ac:dyDescent="0.35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</row>
    <row r="103" spans="1:13" x14ac:dyDescent="0.35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</row>
    <row r="104" spans="1:13" x14ac:dyDescent="0.35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</row>
    <row r="105" spans="1:13" x14ac:dyDescent="0.35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3" x14ac:dyDescent="0.35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</row>
    <row r="107" spans="1:13" x14ac:dyDescent="0.35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</row>
    <row r="108" spans="1:13" x14ac:dyDescent="0.35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</row>
    <row r="109" spans="1:13" x14ac:dyDescent="0.35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</row>
    <row r="110" spans="1:13" x14ac:dyDescent="0.35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</row>
    <row r="111" spans="1:13" x14ac:dyDescent="0.35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</row>
    <row r="112" spans="1:13" x14ac:dyDescent="0.35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</row>
    <row r="113" spans="1:13" x14ac:dyDescent="0.35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</row>
    <row r="114" spans="1:13" x14ac:dyDescent="0.35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</row>
    <row r="115" spans="1:13" x14ac:dyDescent="0.35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</row>
    <row r="116" spans="1:13" x14ac:dyDescent="0.35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</row>
    <row r="117" spans="1:13" x14ac:dyDescent="0.35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</row>
    <row r="118" spans="1:13" x14ac:dyDescent="0.35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</row>
    <row r="119" spans="1:13" x14ac:dyDescent="0.35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3" x14ac:dyDescent="0.35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</row>
    <row r="121" spans="1:13" x14ac:dyDescent="0.35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</row>
    <row r="122" spans="1:13" x14ac:dyDescent="0.35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</row>
    <row r="123" spans="1:13" x14ac:dyDescent="0.35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</row>
    <row r="124" spans="1:13" x14ac:dyDescent="0.35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</row>
    <row r="125" spans="1:13" x14ac:dyDescent="0.35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</row>
    <row r="126" spans="1:13" x14ac:dyDescent="0.35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</row>
    <row r="127" spans="1:13" x14ac:dyDescent="0.35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</row>
    <row r="128" spans="1:13" x14ac:dyDescent="0.35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</row>
    <row r="129" spans="1:13" x14ac:dyDescent="0.35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</row>
    <row r="130" spans="1:13" x14ac:dyDescent="0.35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</row>
    <row r="131" spans="1:13" x14ac:dyDescent="0.35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</row>
    <row r="132" spans="1:13" x14ac:dyDescent="0.35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</row>
    <row r="133" spans="1:13" x14ac:dyDescent="0.35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3" x14ac:dyDescent="0.35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</row>
    <row r="135" spans="1:13" x14ac:dyDescent="0.35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</row>
    <row r="136" spans="1:13" x14ac:dyDescent="0.35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</row>
    <row r="137" spans="1:13" x14ac:dyDescent="0.35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</row>
    <row r="138" spans="1:13" x14ac:dyDescent="0.35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</row>
    <row r="139" spans="1:13" x14ac:dyDescent="0.35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</row>
    <row r="140" spans="1:13" x14ac:dyDescent="0.35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</row>
    <row r="141" spans="1:13" x14ac:dyDescent="0.35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</row>
    <row r="142" spans="1:13" x14ac:dyDescent="0.35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</row>
    <row r="143" spans="1:13" x14ac:dyDescent="0.35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</row>
    <row r="144" spans="1:13" x14ac:dyDescent="0.35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</row>
    <row r="145" spans="1:13" x14ac:dyDescent="0.35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</row>
    <row r="146" spans="1:13" x14ac:dyDescent="0.35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</row>
    <row r="147" spans="1:13" x14ac:dyDescent="0.35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3" x14ac:dyDescent="0.35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</row>
    <row r="149" spans="1:13" x14ac:dyDescent="0.35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</row>
    <row r="150" spans="1:13" x14ac:dyDescent="0.35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</row>
    <row r="151" spans="1:13" x14ac:dyDescent="0.35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</row>
    <row r="152" spans="1:13" x14ac:dyDescent="0.35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</row>
    <row r="153" spans="1:13" x14ac:dyDescent="0.35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</row>
    <row r="154" spans="1:13" x14ac:dyDescent="0.35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</row>
    <row r="155" spans="1:13" x14ac:dyDescent="0.3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</row>
    <row r="156" spans="1:13" x14ac:dyDescent="0.35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</row>
    <row r="157" spans="1:13" x14ac:dyDescent="0.35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</row>
    <row r="158" spans="1:13" x14ac:dyDescent="0.35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</row>
    <row r="159" spans="1:13" x14ac:dyDescent="0.35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</row>
    <row r="160" spans="1:13" x14ac:dyDescent="0.35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</row>
    <row r="161" spans="1:13" x14ac:dyDescent="0.35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</row>
    <row r="162" spans="1:13" x14ac:dyDescent="0.35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</row>
    <row r="163" spans="1:13" x14ac:dyDescent="0.35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</row>
    <row r="164" spans="1:13" x14ac:dyDescent="0.35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</row>
    <row r="165" spans="1:13" x14ac:dyDescent="0.35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</row>
    <row r="166" spans="1:13" x14ac:dyDescent="0.35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</row>
    <row r="167" spans="1:13" x14ac:dyDescent="0.35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</row>
    <row r="168" spans="1:13" x14ac:dyDescent="0.35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</row>
    <row r="169" spans="1:13" x14ac:dyDescent="0.35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</row>
    <row r="170" spans="1:13" x14ac:dyDescent="0.35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</row>
    <row r="171" spans="1:13" x14ac:dyDescent="0.35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</row>
    <row r="172" spans="1:13" x14ac:dyDescent="0.35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</row>
    <row r="173" spans="1:13" x14ac:dyDescent="0.35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</row>
    <row r="174" spans="1:13" x14ac:dyDescent="0.35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</row>
    <row r="175" spans="1:13" x14ac:dyDescent="0.35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</row>
    <row r="176" spans="1:13" x14ac:dyDescent="0.35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</row>
    <row r="177" spans="1:13" x14ac:dyDescent="0.35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</row>
    <row r="178" spans="1:13" x14ac:dyDescent="0.35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</row>
    <row r="179" spans="1:13" x14ac:dyDescent="0.35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</row>
    <row r="180" spans="1:13" x14ac:dyDescent="0.35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</row>
    <row r="181" spans="1:13" x14ac:dyDescent="0.35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</row>
    <row r="182" spans="1:13" x14ac:dyDescent="0.35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</row>
    <row r="183" spans="1:13" x14ac:dyDescent="0.35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</row>
    <row r="184" spans="1:13" x14ac:dyDescent="0.35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</row>
    <row r="185" spans="1:13" x14ac:dyDescent="0.35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</row>
    <row r="186" spans="1:13" x14ac:dyDescent="0.35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</row>
    <row r="187" spans="1:13" x14ac:dyDescent="0.35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</row>
    <row r="188" spans="1:13" x14ac:dyDescent="0.35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</row>
    <row r="189" spans="1:13" x14ac:dyDescent="0.35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</row>
    <row r="190" spans="1:13" x14ac:dyDescent="0.35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</row>
    <row r="191" spans="1:13" x14ac:dyDescent="0.35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</row>
    <row r="192" spans="1:13" x14ac:dyDescent="0.35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</row>
    <row r="193" spans="1:13" x14ac:dyDescent="0.35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</row>
    <row r="194" spans="1:13" x14ac:dyDescent="0.35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</row>
    <row r="195" spans="1:13" x14ac:dyDescent="0.35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</row>
    <row r="196" spans="1:13" x14ac:dyDescent="0.35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</row>
    <row r="197" spans="1:13" x14ac:dyDescent="0.35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</row>
    <row r="198" spans="1:13" x14ac:dyDescent="0.35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</row>
    <row r="199" spans="1:13" x14ac:dyDescent="0.35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</row>
    <row r="200" spans="1:13" x14ac:dyDescent="0.35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</row>
    <row r="201" spans="1:13" x14ac:dyDescent="0.35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</row>
    <row r="202" spans="1:13" x14ac:dyDescent="0.35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</row>
    <row r="203" spans="1:13" x14ac:dyDescent="0.35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</row>
    <row r="204" spans="1:13" x14ac:dyDescent="0.35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</row>
    <row r="205" spans="1:13" x14ac:dyDescent="0.35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</row>
    <row r="206" spans="1:13" x14ac:dyDescent="0.35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</row>
    <row r="207" spans="1:13" x14ac:dyDescent="0.35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</row>
    <row r="208" spans="1:13" x14ac:dyDescent="0.35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</row>
    <row r="209" spans="1:13" x14ac:dyDescent="0.35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</row>
    <row r="210" spans="1:13" x14ac:dyDescent="0.35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</row>
    <row r="211" spans="1:13" x14ac:dyDescent="0.35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</row>
    <row r="212" spans="1:13" x14ac:dyDescent="0.35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</row>
    <row r="213" spans="1:13" x14ac:dyDescent="0.35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</row>
    <row r="214" spans="1:13" x14ac:dyDescent="0.35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</row>
    <row r="215" spans="1:13" x14ac:dyDescent="0.35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</row>
    <row r="216" spans="1:13" x14ac:dyDescent="0.35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</row>
    <row r="217" spans="1:13" x14ac:dyDescent="0.35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</row>
    <row r="218" spans="1:13" x14ac:dyDescent="0.35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</row>
    <row r="219" spans="1:13" x14ac:dyDescent="0.35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</row>
    <row r="220" spans="1:13" x14ac:dyDescent="0.35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</row>
    <row r="221" spans="1:13" x14ac:dyDescent="0.35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</row>
    <row r="222" spans="1:13" x14ac:dyDescent="0.35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</row>
    <row r="223" spans="1:13" x14ac:dyDescent="0.35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</row>
    <row r="224" spans="1:13" x14ac:dyDescent="0.35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</row>
    <row r="225" spans="1:13" x14ac:dyDescent="0.35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</row>
    <row r="226" spans="1:13" x14ac:dyDescent="0.35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</row>
    <row r="227" spans="1:13" x14ac:dyDescent="0.35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</row>
    <row r="228" spans="1:13" x14ac:dyDescent="0.35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</row>
    <row r="229" spans="1:13" x14ac:dyDescent="0.35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</row>
    <row r="230" spans="1:13" x14ac:dyDescent="0.35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</row>
    <row r="231" spans="1:13" x14ac:dyDescent="0.35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</row>
    <row r="232" spans="1:13" x14ac:dyDescent="0.35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</row>
    <row r="233" spans="1:13" x14ac:dyDescent="0.35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</row>
    <row r="234" spans="1:13" x14ac:dyDescent="0.35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</row>
    <row r="235" spans="1:13" x14ac:dyDescent="0.35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</row>
    <row r="236" spans="1:13" x14ac:dyDescent="0.35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</row>
    <row r="237" spans="1:13" x14ac:dyDescent="0.35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</row>
    <row r="238" spans="1:13" x14ac:dyDescent="0.35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</row>
    <row r="239" spans="1:13" x14ac:dyDescent="0.35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</row>
    <row r="240" spans="1:13" x14ac:dyDescent="0.35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</row>
    <row r="241" spans="1:13" x14ac:dyDescent="0.35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</row>
    <row r="242" spans="1:13" x14ac:dyDescent="0.35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</row>
    <row r="243" spans="1:13" x14ac:dyDescent="0.35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</row>
    <row r="244" spans="1:13" x14ac:dyDescent="0.35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</row>
    <row r="245" spans="1:13" x14ac:dyDescent="0.35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</row>
    <row r="246" spans="1:13" x14ac:dyDescent="0.35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</row>
    <row r="247" spans="1:13" x14ac:dyDescent="0.35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</row>
    <row r="248" spans="1:13" x14ac:dyDescent="0.35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</row>
    <row r="249" spans="1:13" x14ac:dyDescent="0.35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</row>
    <row r="250" spans="1:13" x14ac:dyDescent="0.35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</row>
    <row r="251" spans="1:13" x14ac:dyDescent="0.35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</row>
    <row r="252" spans="1:13" x14ac:dyDescent="0.35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</row>
    <row r="253" spans="1:13" x14ac:dyDescent="0.35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</row>
    <row r="254" spans="1:13" x14ac:dyDescent="0.35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</row>
    <row r="255" spans="1:13" x14ac:dyDescent="0.35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</row>
    <row r="256" spans="1:13" x14ac:dyDescent="0.35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</row>
    <row r="257" spans="1:13" x14ac:dyDescent="0.35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</row>
    <row r="258" spans="1:13" x14ac:dyDescent="0.35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</row>
    <row r="259" spans="1:13" x14ac:dyDescent="0.35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</row>
    <row r="260" spans="1:13" x14ac:dyDescent="0.35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</row>
    <row r="261" spans="1:13" x14ac:dyDescent="0.35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</row>
    <row r="262" spans="1:13" x14ac:dyDescent="0.35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</row>
    <row r="263" spans="1:13" x14ac:dyDescent="0.35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</row>
    <row r="264" spans="1:13" x14ac:dyDescent="0.35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</row>
    <row r="265" spans="1:13" x14ac:dyDescent="0.35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</row>
    <row r="266" spans="1:13" x14ac:dyDescent="0.35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</row>
    <row r="267" spans="1:13" x14ac:dyDescent="0.35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</row>
    <row r="268" spans="1:13" x14ac:dyDescent="0.35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</row>
    <row r="269" spans="1:13" x14ac:dyDescent="0.35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</row>
    <row r="270" spans="1:13" x14ac:dyDescent="0.35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</row>
    <row r="271" spans="1:13" x14ac:dyDescent="0.35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</row>
    <row r="272" spans="1:13" x14ac:dyDescent="0.35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</row>
    <row r="273" spans="1:13" x14ac:dyDescent="0.35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</row>
    <row r="274" spans="1:13" x14ac:dyDescent="0.35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</row>
    <row r="275" spans="1:13" x14ac:dyDescent="0.35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</row>
    <row r="276" spans="1:13" x14ac:dyDescent="0.35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</row>
    <row r="277" spans="1:13" x14ac:dyDescent="0.35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</row>
    <row r="278" spans="1:13" x14ac:dyDescent="0.35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</row>
    <row r="279" spans="1:13" x14ac:dyDescent="0.35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</row>
    <row r="280" spans="1:13" x14ac:dyDescent="0.35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</row>
    <row r="281" spans="1:13" x14ac:dyDescent="0.35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</row>
    <row r="282" spans="1:13" x14ac:dyDescent="0.35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</row>
    <row r="283" spans="1:13" x14ac:dyDescent="0.35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</row>
    <row r="284" spans="1:13" x14ac:dyDescent="0.35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</row>
    <row r="285" spans="1:13" x14ac:dyDescent="0.35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</row>
    <row r="286" spans="1:13" x14ac:dyDescent="0.35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</row>
    <row r="287" spans="1:13" x14ac:dyDescent="0.35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</row>
    <row r="288" spans="1:13" x14ac:dyDescent="0.35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</row>
    <row r="289" spans="1:13" x14ac:dyDescent="0.35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</row>
    <row r="290" spans="1:13" x14ac:dyDescent="0.35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</row>
    <row r="291" spans="1:13" x14ac:dyDescent="0.35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</row>
    <row r="292" spans="1:13" x14ac:dyDescent="0.35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</row>
    <row r="293" spans="1:13" x14ac:dyDescent="0.35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</row>
    <row r="294" spans="1:13" x14ac:dyDescent="0.35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</row>
    <row r="295" spans="1:13" x14ac:dyDescent="0.35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</row>
    <row r="296" spans="1:13" x14ac:dyDescent="0.35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</row>
    <row r="297" spans="1:13" x14ac:dyDescent="0.35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</row>
    <row r="298" spans="1:13" x14ac:dyDescent="0.35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</row>
    <row r="299" spans="1:13" x14ac:dyDescent="0.35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</row>
    <row r="300" spans="1:13" x14ac:dyDescent="0.35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</row>
    <row r="301" spans="1:13" x14ac:dyDescent="0.35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</row>
    <row r="302" spans="1:13" x14ac:dyDescent="0.35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</row>
    <row r="303" spans="1:13" x14ac:dyDescent="0.35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</row>
    <row r="304" spans="1:13" x14ac:dyDescent="0.35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</row>
    <row r="305" spans="1:13" x14ac:dyDescent="0.35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</row>
    <row r="306" spans="1:13" x14ac:dyDescent="0.35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</row>
    <row r="307" spans="1:13" x14ac:dyDescent="0.35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</row>
    <row r="308" spans="1:13" x14ac:dyDescent="0.35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</row>
    <row r="309" spans="1:13" x14ac:dyDescent="0.35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</row>
    <row r="310" spans="1:13" x14ac:dyDescent="0.35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</row>
    <row r="311" spans="1:13" x14ac:dyDescent="0.35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</row>
    <row r="312" spans="1:13" x14ac:dyDescent="0.35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</row>
    <row r="313" spans="1:13" x14ac:dyDescent="0.35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</row>
    <row r="314" spans="1:13" x14ac:dyDescent="0.35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</row>
    <row r="315" spans="1:13" x14ac:dyDescent="0.35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</row>
    <row r="316" spans="1:13" x14ac:dyDescent="0.35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</row>
    <row r="317" spans="1:13" x14ac:dyDescent="0.35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</row>
    <row r="318" spans="1:13" x14ac:dyDescent="0.35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</row>
    <row r="319" spans="1:13" x14ac:dyDescent="0.35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</row>
    <row r="320" spans="1:13" x14ac:dyDescent="0.35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</row>
    <row r="321" spans="1:13" x14ac:dyDescent="0.35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</row>
    <row r="322" spans="1:13" x14ac:dyDescent="0.35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</row>
    <row r="323" spans="1:13" x14ac:dyDescent="0.35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</row>
    <row r="324" spans="1:13" x14ac:dyDescent="0.35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</row>
    <row r="325" spans="1:13" x14ac:dyDescent="0.35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</row>
    <row r="326" spans="1:13" x14ac:dyDescent="0.35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</row>
    <row r="327" spans="1:13" x14ac:dyDescent="0.35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</row>
    <row r="328" spans="1:13" x14ac:dyDescent="0.35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</row>
    <row r="329" spans="1:13" x14ac:dyDescent="0.35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</row>
    <row r="330" spans="1:13" x14ac:dyDescent="0.35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</row>
    <row r="331" spans="1:13" x14ac:dyDescent="0.35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</row>
    <row r="332" spans="1:13" x14ac:dyDescent="0.35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</row>
    <row r="333" spans="1:13" x14ac:dyDescent="0.35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</row>
    <row r="334" spans="1:13" x14ac:dyDescent="0.35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</row>
    <row r="335" spans="1:13" x14ac:dyDescent="0.35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</row>
    <row r="336" spans="1:13" x14ac:dyDescent="0.35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</row>
    <row r="337" spans="1:13" x14ac:dyDescent="0.35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</row>
    <row r="338" spans="1:13" x14ac:dyDescent="0.35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</row>
    <row r="339" spans="1:13" x14ac:dyDescent="0.35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</row>
    <row r="340" spans="1:13" x14ac:dyDescent="0.35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</row>
    <row r="341" spans="1:13" x14ac:dyDescent="0.35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</row>
    <row r="342" spans="1:13" x14ac:dyDescent="0.35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</row>
    <row r="343" spans="1:13" x14ac:dyDescent="0.35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</row>
    <row r="344" spans="1:13" x14ac:dyDescent="0.35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</row>
    <row r="345" spans="1:13" x14ac:dyDescent="0.35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</row>
    <row r="346" spans="1:13" x14ac:dyDescent="0.35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</row>
    <row r="347" spans="1:13" x14ac:dyDescent="0.35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</row>
    <row r="348" spans="1:13" x14ac:dyDescent="0.35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</row>
    <row r="349" spans="1:13" x14ac:dyDescent="0.35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</row>
    <row r="350" spans="1:13" x14ac:dyDescent="0.35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</row>
    <row r="351" spans="1:13" x14ac:dyDescent="0.35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</row>
    <row r="352" spans="1:13" x14ac:dyDescent="0.35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</row>
    <row r="353" spans="1:13" x14ac:dyDescent="0.35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</row>
    <row r="354" spans="1:13" x14ac:dyDescent="0.35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</row>
    <row r="355" spans="1:13" x14ac:dyDescent="0.35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</row>
    <row r="356" spans="1:13" x14ac:dyDescent="0.35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</row>
    <row r="357" spans="1:13" x14ac:dyDescent="0.35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</row>
    <row r="358" spans="1:13" x14ac:dyDescent="0.35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</row>
    <row r="359" spans="1:13" x14ac:dyDescent="0.35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</row>
    <row r="360" spans="1:13" x14ac:dyDescent="0.35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</row>
    <row r="361" spans="1:13" x14ac:dyDescent="0.35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</row>
    <row r="362" spans="1:13" x14ac:dyDescent="0.35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</row>
    <row r="363" spans="1:13" x14ac:dyDescent="0.35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</row>
    <row r="364" spans="1:13" x14ac:dyDescent="0.35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</row>
    <row r="365" spans="1:13" x14ac:dyDescent="0.35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</row>
    <row r="366" spans="1:13" x14ac:dyDescent="0.35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</row>
    <row r="367" spans="1:13" x14ac:dyDescent="0.35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</row>
    <row r="368" spans="1:13" x14ac:dyDescent="0.35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</row>
    <row r="369" spans="1:13" x14ac:dyDescent="0.35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</row>
    <row r="370" spans="1:13" x14ac:dyDescent="0.35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</row>
    <row r="371" spans="1:13" x14ac:dyDescent="0.35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</row>
    <row r="372" spans="1:13" x14ac:dyDescent="0.35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</row>
    <row r="373" spans="1:13" x14ac:dyDescent="0.35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</row>
    <row r="374" spans="1:13" x14ac:dyDescent="0.35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</row>
    <row r="375" spans="1:13" x14ac:dyDescent="0.35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</row>
    <row r="376" spans="1:13" x14ac:dyDescent="0.35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</row>
    <row r="377" spans="1:13" x14ac:dyDescent="0.35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</row>
    <row r="378" spans="1:13" x14ac:dyDescent="0.35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</row>
    <row r="379" spans="1:13" x14ac:dyDescent="0.35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</row>
    <row r="380" spans="1:13" x14ac:dyDescent="0.35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</row>
    <row r="381" spans="1:13" x14ac:dyDescent="0.35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</row>
    <row r="382" spans="1:13" x14ac:dyDescent="0.35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</row>
    <row r="383" spans="1:13" x14ac:dyDescent="0.35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</row>
    <row r="384" spans="1:13" x14ac:dyDescent="0.35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</row>
    <row r="385" spans="1:13" x14ac:dyDescent="0.35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</row>
    <row r="386" spans="1:13" x14ac:dyDescent="0.35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</row>
    <row r="387" spans="1:13" x14ac:dyDescent="0.35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</row>
    <row r="388" spans="1:13" x14ac:dyDescent="0.35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</row>
    <row r="389" spans="1:13" x14ac:dyDescent="0.35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</row>
    <row r="390" spans="1:13" x14ac:dyDescent="0.35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</row>
    <row r="391" spans="1:13" x14ac:dyDescent="0.35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</row>
    <row r="392" spans="1:13" x14ac:dyDescent="0.35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</row>
    <row r="393" spans="1:13" x14ac:dyDescent="0.35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</row>
    <row r="394" spans="1:13" x14ac:dyDescent="0.35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</row>
    <row r="395" spans="1:13" x14ac:dyDescent="0.35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</row>
    <row r="396" spans="1:13" x14ac:dyDescent="0.35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</row>
    <row r="397" spans="1:13" x14ac:dyDescent="0.35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</row>
    <row r="398" spans="1:13" x14ac:dyDescent="0.35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</row>
    <row r="399" spans="1:13" x14ac:dyDescent="0.35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</row>
    <row r="400" spans="1:13" x14ac:dyDescent="0.35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</row>
    <row r="401" spans="1:13" x14ac:dyDescent="0.35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</row>
    <row r="402" spans="1:13" x14ac:dyDescent="0.35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</row>
    <row r="403" spans="1:13" x14ac:dyDescent="0.35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</row>
    <row r="404" spans="1:13" x14ac:dyDescent="0.35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</row>
    <row r="405" spans="1:13" x14ac:dyDescent="0.35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</row>
    <row r="406" spans="1:13" x14ac:dyDescent="0.35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</row>
    <row r="407" spans="1:13" x14ac:dyDescent="0.35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</row>
    <row r="408" spans="1:13" x14ac:dyDescent="0.35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</row>
    <row r="409" spans="1:13" x14ac:dyDescent="0.35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</row>
    <row r="410" spans="1:13" x14ac:dyDescent="0.35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</row>
    <row r="411" spans="1:13" x14ac:dyDescent="0.35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</row>
    <row r="412" spans="1:13" x14ac:dyDescent="0.35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</row>
    <row r="413" spans="1:13" x14ac:dyDescent="0.35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</row>
    <row r="414" spans="1:13" x14ac:dyDescent="0.35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</row>
    <row r="415" spans="1:13" x14ac:dyDescent="0.35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</row>
    <row r="416" spans="1:13" x14ac:dyDescent="0.35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</row>
    <row r="417" spans="1:13" x14ac:dyDescent="0.35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</row>
    <row r="418" spans="1:13" x14ac:dyDescent="0.35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</row>
    <row r="419" spans="1:13" x14ac:dyDescent="0.35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</row>
    <row r="420" spans="1:13" x14ac:dyDescent="0.35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</row>
    <row r="421" spans="1:13" x14ac:dyDescent="0.35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</row>
    <row r="422" spans="1:13" x14ac:dyDescent="0.35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</row>
    <row r="423" spans="1:13" x14ac:dyDescent="0.35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</row>
    <row r="424" spans="1:13" x14ac:dyDescent="0.35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</row>
    <row r="425" spans="1:13" x14ac:dyDescent="0.35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</row>
    <row r="426" spans="1:13" x14ac:dyDescent="0.35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</row>
    <row r="427" spans="1:13" x14ac:dyDescent="0.35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</row>
    <row r="428" spans="1:13" x14ac:dyDescent="0.35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</row>
    <row r="429" spans="1:13" x14ac:dyDescent="0.35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</row>
    <row r="430" spans="1:13" x14ac:dyDescent="0.35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</row>
    <row r="431" spans="1:13" x14ac:dyDescent="0.35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</row>
    <row r="432" spans="1:13" x14ac:dyDescent="0.35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</row>
    <row r="433" spans="1:13" x14ac:dyDescent="0.35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</row>
    <row r="434" spans="1:13" x14ac:dyDescent="0.35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</row>
    <row r="435" spans="1:13" x14ac:dyDescent="0.35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</row>
    <row r="436" spans="1:13" x14ac:dyDescent="0.35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</row>
    <row r="437" spans="1:13" x14ac:dyDescent="0.35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</row>
    <row r="438" spans="1:13" x14ac:dyDescent="0.35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</row>
    <row r="439" spans="1:13" x14ac:dyDescent="0.35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</row>
    <row r="440" spans="1:13" x14ac:dyDescent="0.35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</row>
    <row r="441" spans="1:13" x14ac:dyDescent="0.35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</row>
    <row r="442" spans="1:13" x14ac:dyDescent="0.35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</row>
    <row r="443" spans="1:13" x14ac:dyDescent="0.35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</row>
    <row r="444" spans="1:13" x14ac:dyDescent="0.35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</row>
    <row r="445" spans="1:13" x14ac:dyDescent="0.35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</row>
    <row r="446" spans="1:13" x14ac:dyDescent="0.35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</row>
    <row r="447" spans="1:13" x14ac:dyDescent="0.35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</row>
    <row r="448" spans="1:13" x14ac:dyDescent="0.35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</row>
    <row r="449" spans="1:13" x14ac:dyDescent="0.35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</row>
    <row r="450" spans="1:13" x14ac:dyDescent="0.35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</row>
    <row r="451" spans="1:13" x14ac:dyDescent="0.35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</row>
    <row r="452" spans="1:13" x14ac:dyDescent="0.35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</row>
    <row r="453" spans="1:13" x14ac:dyDescent="0.35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</row>
    <row r="454" spans="1:13" x14ac:dyDescent="0.35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</row>
    <row r="455" spans="1:13" x14ac:dyDescent="0.35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</row>
    <row r="456" spans="1:13" x14ac:dyDescent="0.35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</row>
    <row r="457" spans="1:13" x14ac:dyDescent="0.35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</row>
    <row r="458" spans="1:13" x14ac:dyDescent="0.35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</row>
    <row r="459" spans="1:13" x14ac:dyDescent="0.35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</row>
    <row r="460" spans="1:13" x14ac:dyDescent="0.35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</row>
    <row r="461" spans="1:13" x14ac:dyDescent="0.35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</row>
    <row r="462" spans="1:13" x14ac:dyDescent="0.35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</row>
    <row r="463" spans="1:13" x14ac:dyDescent="0.35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</row>
    <row r="464" spans="1:13" x14ac:dyDescent="0.35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</row>
    <row r="465" spans="1:13" x14ac:dyDescent="0.35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</row>
    <row r="466" spans="1:13" x14ac:dyDescent="0.35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</row>
    <row r="467" spans="1:13" x14ac:dyDescent="0.35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</row>
    <row r="468" spans="1:13" x14ac:dyDescent="0.35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</row>
    <row r="469" spans="1:13" x14ac:dyDescent="0.35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</row>
    <row r="470" spans="1:13" x14ac:dyDescent="0.35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</row>
    <row r="471" spans="1:13" x14ac:dyDescent="0.35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</row>
    <row r="472" spans="1:13" x14ac:dyDescent="0.35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</row>
    <row r="473" spans="1:13" x14ac:dyDescent="0.35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</row>
    <row r="474" spans="1:13" x14ac:dyDescent="0.35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</row>
    <row r="475" spans="1:13" x14ac:dyDescent="0.35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</row>
    <row r="476" spans="1:13" x14ac:dyDescent="0.35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</row>
    <row r="477" spans="1:13" x14ac:dyDescent="0.35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</row>
    <row r="478" spans="1:13" x14ac:dyDescent="0.35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</row>
    <row r="479" spans="1:13" x14ac:dyDescent="0.35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</row>
    <row r="480" spans="1:13" x14ac:dyDescent="0.35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</row>
    <row r="481" spans="1:13" x14ac:dyDescent="0.35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</row>
    <row r="482" spans="1:13" x14ac:dyDescent="0.35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</row>
    <row r="483" spans="1:13" x14ac:dyDescent="0.35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</row>
    <row r="484" spans="1:13" x14ac:dyDescent="0.35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</row>
    <row r="485" spans="1:13" x14ac:dyDescent="0.35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</row>
    <row r="486" spans="1:13" x14ac:dyDescent="0.35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</row>
    <row r="487" spans="1:13" x14ac:dyDescent="0.35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</row>
    <row r="488" spans="1:13" x14ac:dyDescent="0.35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</row>
    <row r="489" spans="1:13" x14ac:dyDescent="0.35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</row>
    <row r="490" spans="1:13" x14ac:dyDescent="0.35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</row>
    <row r="491" spans="1:13" x14ac:dyDescent="0.35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</row>
    <row r="492" spans="1:13" x14ac:dyDescent="0.35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</row>
    <row r="493" spans="1:13" x14ac:dyDescent="0.35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</row>
    <row r="494" spans="1:13" x14ac:dyDescent="0.35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</row>
    <row r="495" spans="1:13" x14ac:dyDescent="0.35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</row>
    <row r="496" spans="1:13" x14ac:dyDescent="0.35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</row>
    <row r="497" spans="1:13" x14ac:dyDescent="0.35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</row>
    <row r="498" spans="1:13" x14ac:dyDescent="0.35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</row>
    <row r="499" spans="1:13" x14ac:dyDescent="0.35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</row>
    <row r="500" spans="1:13" x14ac:dyDescent="0.35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</row>
    <row r="501" spans="1:13" x14ac:dyDescent="0.35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</row>
    <row r="502" spans="1:13" x14ac:dyDescent="0.35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</row>
    <row r="503" spans="1:13" x14ac:dyDescent="0.35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</row>
    <row r="504" spans="1:13" x14ac:dyDescent="0.35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</row>
    <row r="505" spans="1:13" x14ac:dyDescent="0.35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</row>
    <row r="506" spans="1:13" x14ac:dyDescent="0.35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</row>
    <row r="507" spans="1:13" x14ac:dyDescent="0.35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</row>
    <row r="508" spans="1:13" x14ac:dyDescent="0.35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</row>
    <row r="509" spans="1:13" x14ac:dyDescent="0.35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</row>
    <row r="510" spans="1:13" x14ac:dyDescent="0.35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</row>
    <row r="511" spans="1:13" x14ac:dyDescent="0.35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</row>
    <row r="512" spans="1:13" x14ac:dyDescent="0.35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</row>
    <row r="513" spans="1:13" x14ac:dyDescent="0.35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</row>
    <row r="514" spans="1:13" x14ac:dyDescent="0.35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</row>
    <row r="515" spans="1:13" x14ac:dyDescent="0.35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</row>
    <row r="516" spans="1:13" x14ac:dyDescent="0.35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</row>
    <row r="517" spans="1:13" x14ac:dyDescent="0.35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</row>
    <row r="518" spans="1:13" x14ac:dyDescent="0.35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</row>
    <row r="519" spans="1:13" x14ac:dyDescent="0.35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</row>
    <row r="520" spans="1:13" x14ac:dyDescent="0.35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</row>
    <row r="521" spans="1:13" x14ac:dyDescent="0.35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</row>
    <row r="522" spans="1:13" x14ac:dyDescent="0.35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</row>
    <row r="523" spans="1:13" x14ac:dyDescent="0.35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</row>
    <row r="524" spans="1:13" x14ac:dyDescent="0.35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</row>
    <row r="525" spans="1:13" x14ac:dyDescent="0.35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</row>
    <row r="526" spans="1:13" x14ac:dyDescent="0.35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</row>
    <row r="527" spans="1:13" x14ac:dyDescent="0.35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</row>
    <row r="528" spans="1:13" x14ac:dyDescent="0.35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</row>
    <row r="529" spans="1:13" x14ac:dyDescent="0.35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</row>
    <row r="530" spans="1:13" x14ac:dyDescent="0.35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</row>
    <row r="531" spans="1:13" x14ac:dyDescent="0.35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</row>
    <row r="532" spans="1:13" x14ac:dyDescent="0.35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</row>
    <row r="533" spans="1:13" x14ac:dyDescent="0.35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</row>
    <row r="534" spans="1:13" x14ac:dyDescent="0.35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</row>
    <row r="535" spans="1:13" x14ac:dyDescent="0.35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</row>
    <row r="536" spans="1:13" x14ac:dyDescent="0.35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</row>
    <row r="537" spans="1:13" x14ac:dyDescent="0.35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</row>
    <row r="538" spans="1:13" x14ac:dyDescent="0.35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</row>
    <row r="539" spans="1:13" x14ac:dyDescent="0.35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</row>
    <row r="540" spans="1:13" x14ac:dyDescent="0.35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</row>
    <row r="541" spans="1:13" x14ac:dyDescent="0.35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</row>
    <row r="542" spans="1:13" x14ac:dyDescent="0.35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</row>
    <row r="543" spans="1:13" x14ac:dyDescent="0.35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</row>
    <row r="544" spans="1:13" x14ac:dyDescent="0.35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</row>
    <row r="545" spans="1:13" x14ac:dyDescent="0.35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</row>
    <row r="546" spans="1:13" x14ac:dyDescent="0.35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</row>
    <row r="547" spans="1:13" x14ac:dyDescent="0.35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</row>
    <row r="548" spans="1:13" x14ac:dyDescent="0.35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</row>
    <row r="549" spans="1:13" x14ac:dyDescent="0.35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</row>
    <row r="550" spans="1:13" x14ac:dyDescent="0.35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</row>
    <row r="551" spans="1:13" x14ac:dyDescent="0.35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</row>
    <row r="552" spans="1:13" x14ac:dyDescent="0.35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</row>
    <row r="553" spans="1:13" x14ac:dyDescent="0.35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</row>
    <row r="554" spans="1:13" x14ac:dyDescent="0.35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</row>
    <row r="555" spans="1:13" x14ac:dyDescent="0.35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</row>
    <row r="556" spans="1:13" x14ac:dyDescent="0.35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</row>
    <row r="557" spans="1:13" x14ac:dyDescent="0.35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</row>
    <row r="558" spans="1:13" x14ac:dyDescent="0.35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</row>
    <row r="559" spans="1:13" x14ac:dyDescent="0.35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</row>
    <row r="560" spans="1:13" x14ac:dyDescent="0.35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</row>
    <row r="561" spans="1:13" x14ac:dyDescent="0.35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</row>
    <row r="562" spans="1:13" x14ac:dyDescent="0.35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</row>
    <row r="563" spans="1:13" x14ac:dyDescent="0.35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</row>
    <row r="564" spans="1:13" x14ac:dyDescent="0.35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</row>
    <row r="565" spans="1:13" x14ac:dyDescent="0.35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</row>
    <row r="566" spans="1:13" x14ac:dyDescent="0.35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</row>
    <row r="567" spans="1:13" x14ac:dyDescent="0.35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</row>
    <row r="568" spans="1:13" x14ac:dyDescent="0.35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</row>
    <row r="569" spans="1:13" x14ac:dyDescent="0.35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</row>
    <row r="570" spans="1:13" x14ac:dyDescent="0.35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</row>
    <row r="571" spans="1:13" x14ac:dyDescent="0.35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</row>
    <row r="572" spans="1:13" x14ac:dyDescent="0.35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</row>
    <row r="573" spans="1:13" x14ac:dyDescent="0.35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</row>
    <row r="574" spans="1:13" x14ac:dyDescent="0.35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</row>
    <row r="575" spans="1:13" x14ac:dyDescent="0.35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</row>
    <row r="576" spans="1:13" x14ac:dyDescent="0.35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</row>
    <row r="577" spans="1:13" x14ac:dyDescent="0.35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</row>
    <row r="578" spans="1:13" x14ac:dyDescent="0.35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</row>
    <row r="579" spans="1:13" x14ac:dyDescent="0.35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</row>
    <row r="580" spans="1:13" x14ac:dyDescent="0.35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</row>
    <row r="581" spans="1:13" x14ac:dyDescent="0.35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</row>
    <row r="582" spans="1:13" x14ac:dyDescent="0.35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</row>
    <row r="583" spans="1:13" x14ac:dyDescent="0.35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</row>
    <row r="584" spans="1:13" x14ac:dyDescent="0.35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</row>
    <row r="585" spans="1:13" x14ac:dyDescent="0.35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</row>
    <row r="586" spans="1:13" x14ac:dyDescent="0.35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</row>
    <row r="587" spans="1:13" x14ac:dyDescent="0.35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</row>
    <row r="588" spans="1:13" x14ac:dyDescent="0.35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</row>
    <row r="589" spans="1:13" x14ac:dyDescent="0.35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</row>
    <row r="590" spans="1:13" x14ac:dyDescent="0.35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</row>
    <row r="591" spans="1:13" x14ac:dyDescent="0.35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</row>
    <row r="592" spans="1:13" x14ac:dyDescent="0.35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</row>
    <row r="593" spans="1:13" x14ac:dyDescent="0.35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</row>
    <row r="594" spans="1:13" x14ac:dyDescent="0.35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</row>
    <row r="595" spans="1:13" x14ac:dyDescent="0.35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</row>
    <row r="596" spans="1:13" x14ac:dyDescent="0.35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</row>
    <row r="597" spans="1:13" x14ac:dyDescent="0.35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</row>
    <row r="598" spans="1:13" x14ac:dyDescent="0.35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</row>
    <row r="599" spans="1:13" x14ac:dyDescent="0.35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</row>
    <row r="600" spans="1:13" x14ac:dyDescent="0.35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</row>
    <row r="601" spans="1:13" x14ac:dyDescent="0.35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</row>
    <row r="602" spans="1:13" x14ac:dyDescent="0.35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</row>
    <row r="603" spans="1:13" x14ac:dyDescent="0.35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</row>
    <row r="604" spans="1:13" x14ac:dyDescent="0.35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</row>
    <row r="605" spans="1:13" x14ac:dyDescent="0.35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</row>
    <row r="606" spans="1:13" x14ac:dyDescent="0.35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</row>
    <row r="607" spans="1:13" x14ac:dyDescent="0.35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</row>
    <row r="608" spans="1:13" x14ac:dyDescent="0.35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</row>
    <row r="609" spans="1:13" x14ac:dyDescent="0.35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</row>
    <row r="610" spans="1:13" x14ac:dyDescent="0.35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</row>
    <row r="611" spans="1:13" x14ac:dyDescent="0.35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</row>
    <row r="612" spans="1:13" x14ac:dyDescent="0.35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</row>
    <row r="613" spans="1:13" x14ac:dyDescent="0.35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</row>
    <row r="614" spans="1:13" x14ac:dyDescent="0.35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</row>
    <row r="615" spans="1:13" x14ac:dyDescent="0.35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</row>
    <row r="616" spans="1:13" x14ac:dyDescent="0.35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</row>
    <row r="617" spans="1:13" x14ac:dyDescent="0.35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</row>
    <row r="618" spans="1:13" x14ac:dyDescent="0.35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</row>
    <row r="619" spans="1:13" x14ac:dyDescent="0.35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</row>
    <row r="620" spans="1:13" x14ac:dyDescent="0.35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</row>
    <row r="621" spans="1:13" x14ac:dyDescent="0.35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</row>
    <row r="622" spans="1:13" x14ac:dyDescent="0.35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</row>
    <row r="623" spans="1:13" x14ac:dyDescent="0.35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</row>
    <row r="624" spans="1:13" x14ac:dyDescent="0.35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</row>
    <row r="625" spans="1:13" x14ac:dyDescent="0.35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</row>
    <row r="626" spans="1:13" x14ac:dyDescent="0.35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</row>
    <row r="627" spans="1:13" x14ac:dyDescent="0.35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</row>
    <row r="628" spans="1:13" x14ac:dyDescent="0.35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</row>
    <row r="629" spans="1:13" x14ac:dyDescent="0.35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</row>
    <row r="630" spans="1:13" x14ac:dyDescent="0.35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</row>
    <row r="631" spans="1:13" x14ac:dyDescent="0.35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</row>
    <row r="632" spans="1:13" x14ac:dyDescent="0.35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</row>
    <row r="633" spans="1:13" x14ac:dyDescent="0.35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</row>
    <row r="634" spans="1:13" x14ac:dyDescent="0.35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</row>
    <row r="635" spans="1:13" x14ac:dyDescent="0.35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</row>
    <row r="636" spans="1:13" x14ac:dyDescent="0.35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</row>
    <row r="637" spans="1:13" x14ac:dyDescent="0.35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</row>
    <row r="638" spans="1:13" x14ac:dyDescent="0.35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</row>
    <row r="639" spans="1:13" x14ac:dyDescent="0.35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</row>
    <row r="640" spans="1:13" x14ac:dyDescent="0.35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</row>
    <row r="641" spans="1:13" x14ac:dyDescent="0.35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</row>
    <row r="642" spans="1:13" x14ac:dyDescent="0.35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</row>
    <row r="643" spans="1:13" x14ac:dyDescent="0.35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</row>
    <row r="644" spans="1:13" x14ac:dyDescent="0.35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</row>
    <row r="645" spans="1:13" x14ac:dyDescent="0.35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</row>
    <row r="646" spans="1:13" x14ac:dyDescent="0.35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</row>
    <row r="647" spans="1:13" x14ac:dyDescent="0.35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</row>
    <row r="648" spans="1:13" x14ac:dyDescent="0.35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</row>
    <row r="649" spans="1:13" x14ac:dyDescent="0.35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</row>
    <row r="650" spans="1:13" x14ac:dyDescent="0.35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</row>
    <row r="651" spans="1:13" x14ac:dyDescent="0.35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</row>
    <row r="652" spans="1:13" x14ac:dyDescent="0.35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</row>
    <row r="653" spans="1:13" x14ac:dyDescent="0.35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</row>
    <row r="654" spans="1:13" x14ac:dyDescent="0.35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</row>
    <row r="655" spans="1:13" x14ac:dyDescent="0.35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</row>
    <row r="656" spans="1:13" x14ac:dyDescent="0.35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</row>
    <row r="657" spans="1:13" x14ac:dyDescent="0.35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</row>
    <row r="658" spans="1:13" x14ac:dyDescent="0.35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</row>
    <row r="659" spans="1:13" x14ac:dyDescent="0.35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</row>
    <row r="660" spans="1:13" x14ac:dyDescent="0.35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</row>
    <row r="661" spans="1:13" x14ac:dyDescent="0.35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</row>
    <row r="662" spans="1:13" x14ac:dyDescent="0.35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</row>
    <row r="663" spans="1:13" x14ac:dyDescent="0.35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</row>
    <row r="664" spans="1:13" x14ac:dyDescent="0.35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</row>
    <row r="665" spans="1:13" x14ac:dyDescent="0.35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</row>
    <row r="666" spans="1:13" x14ac:dyDescent="0.35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</row>
    <row r="667" spans="1:13" x14ac:dyDescent="0.35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</row>
    <row r="668" spans="1:13" x14ac:dyDescent="0.35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</row>
    <row r="669" spans="1:13" x14ac:dyDescent="0.35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</row>
    <row r="670" spans="1:13" x14ac:dyDescent="0.35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</row>
    <row r="671" spans="1:13" x14ac:dyDescent="0.35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</row>
    <row r="672" spans="1:13" x14ac:dyDescent="0.35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</row>
    <row r="673" spans="1:13" x14ac:dyDescent="0.35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</row>
    <row r="674" spans="1:13" x14ac:dyDescent="0.35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</row>
    <row r="675" spans="1:13" x14ac:dyDescent="0.35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</row>
    <row r="676" spans="1:13" x14ac:dyDescent="0.35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</row>
    <row r="677" spans="1:13" x14ac:dyDescent="0.35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</row>
    <row r="678" spans="1:13" x14ac:dyDescent="0.35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</row>
    <row r="679" spans="1:13" x14ac:dyDescent="0.35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</row>
    <row r="680" spans="1:13" x14ac:dyDescent="0.35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</row>
    <row r="681" spans="1:13" x14ac:dyDescent="0.35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</row>
    <row r="682" spans="1:13" x14ac:dyDescent="0.35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</row>
    <row r="683" spans="1:13" x14ac:dyDescent="0.35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</row>
    <row r="684" spans="1:13" x14ac:dyDescent="0.35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</row>
    <row r="685" spans="1:13" x14ac:dyDescent="0.35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</row>
    <row r="686" spans="1:13" x14ac:dyDescent="0.35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</row>
    <row r="687" spans="1:13" x14ac:dyDescent="0.35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</row>
    <row r="688" spans="1:13" x14ac:dyDescent="0.35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</row>
    <row r="689" spans="1:13" x14ac:dyDescent="0.35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</row>
    <row r="690" spans="1:13" x14ac:dyDescent="0.35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</row>
    <row r="691" spans="1:13" x14ac:dyDescent="0.35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</row>
    <row r="692" spans="1:13" x14ac:dyDescent="0.35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</row>
    <row r="693" spans="1:13" x14ac:dyDescent="0.35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</row>
    <row r="694" spans="1:13" x14ac:dyDescent="0.35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</row>
    <row r="695" spans="1:13" x14ac:dyDescent="0.35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</row>
    <row r="696" spans="1:13" x14ac:dyDescent="0.35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</row>
    <row r="697" spans="1:13" x14ac:dyDescent="0.35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</row>
    <row r="698" spans="1:13" x14ac:dyDescent="0.35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</row>
    <row r="699" spans="1:13" x14ac:dyDescent="0.35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</row>
    <row r="700" spans="1:13" x14ac:dyDescent="0.35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</row>
    <row r="701" spans="1:13" x14ac:dyDescent="0.35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</row>
    <row r="702" spans="1:13" x14ac:dyDescent="0.35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</row>
    <row r="703" spans="1:13" x14ac:dyDescent="0.35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</row>
    <row r="704" spans="1:13" x14ac:dyDescent="0.35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</row>
    <row r="705" spans="1:13" x14ac:dyDescent="0.35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</row>
    <row r="706" spans="1:13" x14ac:dyDescent="0.35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</row>
    <row r="707" spans="1:13" x14ac:dyDescent="0.35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</row>
    <row r="708" spans="1:13" x14ac:dyDescent="0.35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</row>
    <row r="709" spans="1:13" x14ac:dyDescent="0.35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</row>
    <row r="710" spans="1:13" x14ac:dyDescent="0.35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</row>
    <row r="711" spans="1:13" x14ac:dyDescent="0.35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</row>
    <row r="712" spans="1:13" x14ac:dyDescent="0.35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</row>
    <row r="713" spans="1:13" x14ac:dyDescent="0.35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</row>
    <row r="714" spans="1:13" x14ac:dyDescent="0.35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</row>
    <row r="715" spans="1:13" x14ac:dyDescent="0.35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</row>
    <row r="716" spans="1:13" x14ac:dyDescent="0.35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</row>
    <row r="717" spans="1:13" x14ac:dyDescent="0.35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</row>
    <row r="718" spans="1:13" x14ac:dyDescent="0.35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</row>
    <row r="719" spans="1:13" x14ac:dyDescent="0.35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</row>
    <row r="720" spans="1:13" x14ac:dyDescent="0.35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</row>
    <row r="721" spans="1:13" x14ac:dyDescent="0.35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</row>
    <row r="722" spans="1:13" x14ac:dyDescent="0.35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</row>
    <row r="723" spans="1:13" x14ac:dyDescent="0.35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</row>
    <row r="724" spans="1:13" x14ac:dyDescent="0.35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</row>
    <row r="725" spans="1:13" x14ac:dyDescent="0.35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</row>
    <row r="726" spans="1:13" x14ac:dyDescent="0.35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</row>
    <row r="727" spans="1:13" x14ac:dyDescent="0.35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</row>
    <row r="728" spans="1:13" x14ac:dyDescent="0.35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</row>
    <row r="729" spans="1:13" x14ac:dyDescent="0.35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</row>
    <row r="730" spans="1:13" x14ac:dyDescent="0.35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</row>
    <row r="731" spans="1:13" x14ac:dyDescent="0.35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</row>
    <row r="732" spans="1:13" x14ac:dyDescent="0.35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</row>
    <row r="733" spans="1:13" x14ac:dyDescent="0.35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</row>
    <row r="734" spans="1:13" x14ac:dyDescent="0.35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</row>
    <row r="735" spans="1:13" x14ac:dyDescent="0.35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</row>
    <row r="736" spans="1:13" x14ac:dyDescent="0.35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</row>
    <row r="737" spans="1:13" x14ac:dyDescent="0.35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</row>
    <row r="738" spans="1:13" x14ac:dyDescent="0.35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</row>
    <row r="739" spans="1:13" x14ac:dyDescent="0.35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</row>
    <row r="740" spans="1:13" x14ac:dyDescent="0.35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</row>
    <row r="741" spans="1:13" x14ac:dyDescent="0.35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</row>
    <row r="742" spans="1:13" x14ac:dyDescent="0.35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</row>
    <row r="743" spans="1:13" x14ac:dyDescent="0.35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</row>
    <row r="744" spans="1:13" x14ac:dyDescent="0.35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</row>
    <row r="745" spans="1:13" x14ac:dyDescent="0.35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</row>
    <row r="746" spans="1:13" x14ac:dyDescent="0.35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</row>
    <row r="747" spans="1:13" x14ac:dyDescent="0.35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</row>
    <row r="748" spans="1:13" x14ac:dyDescent="0.35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</row>
    <row r="749" spans="1:13" x14ac:dyDescent="0.35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</row>
    <row r="750" spans="1:13" x14ac:dyDescent="0.35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</row>
    <row r="751" spans="1:13" x14ac:dyDescent="0.35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</row>
    <row r="752" spans="1:13" x14ac:dyDescent="0.35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</row>
    <row r="753" spans="1:13" x14ac:dyDescent="0.35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</row>
    <row r="754" spans="1:13" x14ac:dyDescent="0.35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</row>
    <row r="755" spans="1:13" x14ac:dyDescent="0.35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</row>
    <row r="756" spans="1:13" x14ac:dyDescent="0.35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</row>
    <row r="757" spans="1:13" x14ac:dyDescent="0.35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</row>
    <row r="758" spans="1:13" x14ac:dyDescent="0.35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</row>
    <row r="759" spans="1:13" x14ac:dyDescent="0.35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</row>
    <row r="760" spans="1:13" x14ac:dyDescent="0.35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</row>
    <row r="761" spans="1:13" x14ac:dyDescent="0.35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</row>
    <row r="762" spans="1:13" x14ac:dyDescent="0.35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</row>
    <row r="763" spans="1:13" x14ac:dyDescent="0.35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</row>
    <row r="764" spans="1:13" x14ac:dyDescent="0.35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</row>
    <row r="765" spans="1:13" x14ac:dyDescent="0.35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</row>
    <row r="766" spans="1:13" x14ac:dyDescent="0.35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</row>
    <row r="767" spans="1:13" x14ac:dyDescent="0.35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</row>
    <row r="768" spans="1:13" x14ac:dyDescent="0.35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</row>
    <row r="769" spans="1:13" x14ac:dyDescent="0.35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</row>
    <row r="770" spans="1:13" x14ac:dyDescent="0.35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</row>
    <row r="771" spans="1:13" x14ac:dyDescent="0.35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</row>
    <row r="772" spans="1:13" x14ac:dyDescent="0.35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</row>
    <row r="773" spans="1:13" x14ac:dyDescent="0.35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</row>
    <row r="774" spans="1:13" x14ac:dyDescent="0.35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</row>
    <row r="775" spans="1:13" x14ac:dyDescent="0.35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</row>
    <row r="776" spans="1:13" x14ac:dyDescent="0.35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</row>
    <row r="777" spans="1:13" x14ac:dyDescent="0.35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</row>
    <row r="778" spans="1:13" x14ac:dyDescent="0.35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</row>
    <row r="779" spans="1:13" x14ac:dyDescent="0.35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</row>
    <row r="780" spans="1:13" x14ac:dyDescent="0.35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</row>
    <row r="781" spans="1:13" x14ac:dyDescent="0.35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</row>
    <row r="782" spans="1:13" x14ac:dyDescent="0.35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</row>
    <row r="783" spans="1:13" x14ac:dyDescent="0.35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</row>
    <row r="784" spans="1:13" x14ac:dyDescent="0.35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</row>
    <row r="785" spans="1:13" x14ac:dyDescent="0.35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</row>
    <row r="786" spans="1:13" x14ac:dyDescent="0.35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</row>
    <row r="787" spans="1:13" x14ac:dyDescent="0.35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</row>
    <row r="788" spans="1:13" x14ac:dyDescent="0.35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</row>
    <row r="789" spans="1:13" x14ac:dyDescent="0.35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</row>
    <row r="790" spans="1:13" x14ac:dyDescent="0.35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</row>
    <row r="791" spans="1:13" x14ac:dyDescent="0.35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</row>
    <row r="792" spans="1:13" x14ac:dyDescent="0.35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</row>
    <row r="793" spans="1:13" x14ac:dyDescent="0.35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</row>
    <row r="794" spans="1:13" x14ac:dyDescent="0.35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</row>
    <row r="795" spans="1:13" x14ac:dyDescent="0.35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</row>
    <row r="796" spans="1:13" x14ac:dyDescent="0.35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</row>
    <row r="797" spans="1:13" x14ac:dyDescent="0.35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</row>
    <row r="798" spans="1:13" x14ac:dyDescent="0.35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</row>
    <row r="799" spans="1:13" x14ac:dyDescent="0.35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</row>
    <row r="800" spans="1:13" x14ac:dyDescent="0.35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</row>
    <row r="801" spans="1:13" x14ac:dyDescent="0.35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</row>
    <row r="802" spans="1:13" x14ac:dyDescent="0.35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</row>
    <row r="803" spans="1:13" x14ac:dyDescent="0.35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</row>
    <row r="804" spans="1:13" x14ac:dyDescent="0.35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</row>
    <row r="805" spans="1:13" x14ac:dyDescent="0.35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</row>
    <row r="806" spans="1:13" x14ac:dyDescent="0.35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</row>
    <row r="807" spans="1:13" x14ac:dyDescent="0.35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</row>
    <row r="808" spans="1:13" x14ac:dyDescent="0.35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</row>
    <row r="809" spans="1:13" x14ac:dyDescent="0.35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</row>
    <row r="810" spans="1:13" x14ac:dyDescent="0.35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</row>
    <row r="811" spans="1:13" x14ac:dyDescent="0.35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</row>
    <row r="812" spans="1:13" x14ac:dyDescent="0.35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</row>
    <row r="813" spans="1:13" x14ac:dyDescent="0.35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</row>
    <row r="814" spans="1:13" x14ac:dyDescent="0.35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</row>
    <row r="815" spans="1:13" x14ac:dyDescent="0.35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</row>
    <row r="816" spans="1:13" x14ac:dyDescent="0.35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</row>
    <row r="817" spans="1:13" x14ac:dyDescent="0.35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</row>
    <row r="818" spans="1:13" x14ac:dyDescent="0.35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</row>
    <row r="819" spans="1:13" x14ac:dyDescent="0.35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</row>
    <row r="820" spans="1:13" x14ac:dyDescent="0.35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</row>
    <row r="821" spans="1:13" x14ac:dyDescent="0.35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</row>
    <row r="822" spans="1:13" x14ac:dyDescent="0.35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</row>
    <row r="823" spans="1:13" x14ac:dyDescent="0.35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</row>
    <row r="824" spans="1:13" x14ac:dyDescent="0.35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</row>
    <row r="825" spans="1:13" x14ac:dyDescent="0.35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</row>
    <row r="826" spans="1:13" x14ac:dyDescent="0.35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</row>
    <row r="827" spans="1:13" x14ac:dyDescent="0.35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</row>
    <row r="828" spans="1:13" x14ac:dyDescent="0.35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</row>
    <row r="829" spans="1:13" x14ac:dyDescent="0.35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</row>
  </sheetData>
  <sheetProtection objects="1"/>
  <mergeCells count="2">
    <mergeCell ref="B10:L10"/>
    <mergeCell ref="M10:V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65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72">
    <pageSetUpPr fitToPage="1"/>
  </sheetPr>
  <dimension ref="A1:AA36"/>
  <sheetViews>
    <sheetView showGridLines="0" showZeros="0" defaultGridColor="0" view="pageBreakPreview" colorId="22" zoomScale="60" zoomScaleNormal="87" workbookViewId="0">
      <selection activeCell="A8" sqref="A8:F9"/>
    </sheetView>
  </sheetViews>
  <sheetFormatPr defaultColWidth="12.54296875" defaultRowHeight="15.5" x14ac:dyDescent="0.35"/>
  <cols>
    <col min="1" max="1" width="11.1796875" style="168" customWidth="1"/>
    <col min="2" max="2" width="18.7265625" style="168" customWidth="1"/>
    <col min="3" max="3" width="17.26953125" style="168" customWidth="1"/>
    <col min="4" max="4" width="16" style="168" customWidth="1"/>
    <col min="5" max="5" width="16.1796875" style="168" customWidth="1"/>
    <col min="6" max="6" width="17.453125" style="168" customWidth="1"/>
    <col min="7" max="16384" width="12.54296875" style="168"/>
  </cols>
  <sheetData>
    <row r="1" spans="1:27" x14ac:dyDescent="0.35">
      <c r="A1" s="369" t="str">
        <f>TECNOLOGIAS!A1</f>
        <v>Proponente: TransPolitécnica</v>
      </c>
    </row>
    <row r="2" spans="1:27" x14ac:dyDescent="0.35">
      <c r="A2" s="369" t="str">
        <f>TECNOLOGIAS!A2</f>
        <v>Área de Concessão: 5 (Cinco)</v>
      </c>
    </row>
    <row r="4" spans="1:27" ht="18" x14ac:dyDescent="0.4">
      <c r="A4" s="167" t="s">
        <v>358</v>
      </c>
    </row>
    <row r="6" spans="1:27" x14ac:dyDescent="0.35">
      <c r="A6" s="169" t="s">
        <v>283</v>
      </c>
    </row>
    <row r="8" spans="1:27" x14ac:dyDescent="0.35">
      <c r="A8" s="681" t="s">
        <v>847</v>
      </c>
      <c r="B8" s="682"/>
      <c r="C8" s="682"/>
      <c r="D8" s="682"/>
      <c r="E8" s="682"/>
      <c r="F8" s="682"/>
    </row>
    <row r="9" spans="1:27" x14ac:dyDescent="0.35">
      <c r="A9" s="682"/>
      <c r="B9" s="682"/>
      <c r="C9" s="682"/>
      <c r="D9" s="682"/>
      <c r="E9" s="682"/>
      <c r="F9" s="682"/>
    </row>
    <row r="10" spans="1:27" x14ac:dyDescent="0.35">
      <c r="A10" s="683" t="s">
        <v>403</v>
      </c>
      <c r="B10" s="683"/>
      <c r="C10" s="683"/>
      <c r="D10" s="683"/>
      <c r="E10" s="683"/>
      <c r="F10" s="683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211"/>
    </row>
    <row r="11" spans="1:27" ht="16" thickBot="1" x14ac:dyDescent="0.4"/>
    <row r="12" spans="1:27" ht="17.25" customHeight="1" x14ac:dyDescent="0.35">
      <c r="A12" s="188" t="s">
        <v>371</v>
      </c>
      <c r="B12" s="188" t="s">
        <v>284</v>
      </c>
      <c r="C12" s="189" t="s">
        <v>285</v>
      </c>
      <c r="D12" s="189" t="s">
        <v>286</v>
      </c>
      <c r="E12" s="189" t="s">
        <v>287</v>
      </c>
      <c r="F12" s="189" t="s">
        <v>284</v>
      </c>
    </row>
    <row r="13" spans="1:27" ht="17.25" customHeight="1" thickBot="1" x14ac:dyDescent="0.4">
      <c r="A13" s="190"/>
      <c r="B13" s="190" t="s">
        <v>288</v>
      </c>
      <c r="C13" s="191" t="s">
        <v>289</v>
      </c>
      <c r="D13" s="191" t="s">
        <v>290</v>
      </c>
      <c r="E13" s="191" t="s">
        <v>291</v>
      </c>
      <c r="F13" s="191" t="s">
        <v>292</v>
      </c>
    </row>
    <row r="14" spans="1:27" ht="17.25" customHeight="1" x14ac:dyDescent="0.35">
      <c r="A14" s="192" t="s">
        <v>413</v>
      </c>
      <c r="B14" s="199">
        <f>'33A'!B$14+'33A'!B$21+'33A'!B$28+'33A'!B$35+'33A'!B$42+'33A'!B$49+'33A'!B$56+'33A'!B$63+'33C'!B$15+'33C'!B$22+'33B'!B$15+'33E'!B$15</f>
        <v>0</v>
      </c>
      <c r="C14" s="199">
        <f>'33A'!B$15+'33A'!B$22+'33A'!B$29+'33A'!B$36+'33A'!B$43+'33A'!B$50+'33A'!B$57+'33A'!B$64+'33C'!B$16+'33C'!B$23+'33B'!B$16+'33E'!B$16</f>
        <v>0</v>
      </c>
      <c r="D14" s="199">
        <f>'33A'!B$16+'33A'!B$23+'33A'!B$30+'33A'!B$37+'33A'!B$44+'33A'!B$51+'33A'!B$58+'33A'!B$65+'33C'!B$17+'33C'!B$24+'33B'!B$17+'33E'!B$17</f>
        <v>0</v>
      </c>
      <c r="E14" s="199">
        <f>'33A'!B$17+'33A'!B$24+'33A'!B$31+'33A'!B$38+'33A'!B$45+'33A'!B$52+'33A'!B$59+'33A'!B$66+'33C'!B$18+'33C'!B$25+'33B'!B$18+'33E'!B$18</f>
        <v>0</v>
      </c>
      <c r="F14" s="199">
        <f>'33A'!B$18+'33A'!B$25+'33A'!B$32+'33A'!B$39+'33A'!B$46+'33A'!B$53+'33A'!B$60+'33A'!B$67+'33C'!B$19+'33C'!B$26+'33B'!B$19+'33E'!B$19</f>
        <v>28652000</v>
      </c>
    </row>
    <row r="15" spans="1:27" ht="17.25" customHeight="1" x14ac:dyDescent="0.35">
      <c r="A15" s="192">
        <v>1</v>
      </c>
      <c r="B15" s="199">
        <f>'33A'!C$14+'33A'!C$21+'33A'!C$28+'33A'!C$35+'33A'!C$42+'33A'!C$49+'33A'!C$56+'33A'!C$63+'33C'!C$15+'33C'!C$22+'33B'!C$15+'33E'!C$15</f>
        <v>28652000</v>
      </c>
      <c r="C15" s="199">
        <f>'33A'!C$15+'33A'!C$22+'33A'!C$29+'33A'!C$36+'33A'!C$43+'33A'!C$50+'33A'!C$57+'33A'!C$64+'33C'!C$16+'33C'!C$23+'33B'!C$16+'33E'!C$16</f>
        <v>1790750</v>
      </c>
      <c r="D15" s="199">
        <f>'33A'!C$16+'33A'!C$23+'33A'!C$30+'33A'!C$37+'33A'!C$44+'33A'!C$51+'33A'!C$58+'33A'!C$65+'33C'!C$17+'33C'!C$24+'33B'!C$17+'33E'!C$17</f>
        <v>1862380</v>
      </c>
      <c r="E15" s="199">
        <f>'33A'!C$17+'33A'!C$24+'33A'!C$31+'33A'!C$38+'33A'!C$45+'33A'!C$52+'33A'!C$59+'33A'!C$66+'33C'!C$18+'33C'!C$25+'33B'!C$18+'33E'!C$18</f>
        <v>3653130</v>
      </c>
      <c r="F15" s="199">
        <f>'33A'!C$18+'33A'!C$25+'33A'!C$32+'33A'!C$39+'33A'!C$46+'33A'!C$53+'33A'!C$60+'33A'!C$67+'33C'!C$19+'33C'!C$26+'33B'!C$19+'33E'!C$19</f>
        <v>30574850</v>
      </c>
    </row>
    <row r="16" spans="1:27" ht="17.25" customHeight="1" x14ac:dyDescent="0.35">
      <c r="A16" s="192">
        <v>2</v>
      </c>
      <c r="B16" s="199">
        <f>'33A'!D$14+'33A'!D$21+'33A'!D$28+'33A'!D$35+'33A'!D$42+'33A'!D$49+'33A'!D$56+'33A'!D$63+'33C'!D$15+'33C'!D$22+'33B'!D$15+'33E'!D$15</f>
        <v>30574850</v>
      </c>
      <c r="C16" s="199">
        <f>'33A'!D$15+'33A'!D$22+'33A'!D$29+'33A'!D$36+'33A'!D$43+'33A'!D$50+'33A'!D$57+'33A'!D$64+'33C'!D$16+'33C'!D$23+'33B'!D$16+'33E'!D$16</f>
        <v>2022850</v>
      </c>
      <c r="D16" s="199">
        <f>'33A'!D$16+'33A'!D$23+'33A'!D$30+'33A'!D$37+'33A'!D$44+'33A'!D$51+'33A'!D$58+'33A'!D$65+'33C'!D$17+'33C'!D$24+'33B'!D$17+'33E'!D$17</f>
        <v>1987365.25</v>
      </c>
      <c r="E16" s="199">
        <f>'33A'!D$17+'33A'!D$24+'33A'!D$31+'33A'!D$38+'33A'!D$45+'33A'!D$52+'33A'!D$59+'33A'!D$66+'33C'!D$18+'33C'!D$25+'33B'!D$18+'33E'!D$18</f>
        <v>4010215.25</v>
      </c>
      <c r="F16" s="199">
        <f>'33A'!D$18+'33A'!D$25+'33A'!D$32+'33A'!D$39+'33A'!D$46+'33A'!D$53+'33A'!D$60+'33A'!D$67+'33C'!D$19+'33C'!D$26+'33B'!D$19+'33E'!D$19</f>
        <v>28552000</v>
      </c>
    </row>
    <row r="17" spans="1:6" ht="17.25" customHeight="1" x14ac:dyDescent="0.35">
      <c r="A17" s="192">
        <v>3</v>
      </c>
      <c r="B17" s="199">
        <f>'33A'!E$14+'33A'!E$21+'33A'!E$28+'33A'!E$35+'33A'!E$42+'33A'!E$49+'33A'!E$56+'33A'!E$63+'33C'!E$15+'33C'!E$22+'33B'!E$15+'33E'!E$15</f>
        <v>28552000</v>
      </c>
      <c r="C17" s="199">
        <f>'33A'!E$15+'33A'!E$22+'33A'!E$29+'33A'!E$36+'33A'!E$43+'33A'!E$50+'33A'!E$57+'33A'!E$64+'33C'!E$16+'33C'!E$23+'33B'!E$16+'33E'!E$16</f>
        <v>2022850</v>
      </c>
      <c r="D17" s="199">
        <f>'33A'!E$16+'33A'!E$23+'33A'!E$30+'33A'!E$37+'33A'!E$44+'33A'!E$51+'33A'!E$58+'33A'!E$65+'33C'!E$17+'33C'!E$24+'33B'!E$17+'33E'!E$17</f>
        <v>1855880</v>
      </c>
      <c r="E17" s="199">
        <f>'33A'!E$17+'33A'!E$24+'33A'!E$31+'33A'!E$38+'33A'!E$45+'33A'!E$52+'33A'!E$59+'33A'!E$66+'33C'!E$18+'33C'!E$25+'33B'!E$18+'33E'!E$18</f>
        <v>3878730</v>
      </c>
      <c r="F17" s="199">
        <f>'33A'!E$18+'33A'!E$25+'33A'!E$32+'33A'!E$39+'33A'!E$46+'33A'!E$53+'33A'!E$60+'33A'!E$67+'33C'!E$19+'33C'!E$26+'33B'!E$19+'33E'!E$19</f>
        <v>26529150</v>
      </c>
    </row>
    <row r="18" spans="1:6" ht="17.25" customHeight="1" x14ac:dyDescent="0.35">
      <c r="A18" s="192">
        <v>4</v>
      </c>
      <c r="B18" s="199">
        <f>'33A'!F$14+'33A'!F$21+'33A'!F$28+'33A'!F$35+'33A'!F$42+'33A'!F$49+'33A'!F$56+'33A'!F$63+'33C'!F$15+'33C'!F$22+'33B'!F$15+'33E'!F$15</f>
        <v>26529150</v>
      </c>
      <c r="C18" s="199">
        <f>'33A'!F$15+'33A'!F$22+'33A'!F$29+'33A'!F$36+'33A'!F$43+'33A'!F$50+'33A'!F$57+'33A'!F$64+'33C'!F$16+'33C'!F$23+'33B'!F$16+'33E'!F$16</f>
        <v>2022850</v>
      </c>
      <c r="D18" s="199">
        <f>'33A'!F$16+'33A'!F$23+'33A'!F$30+'33A'!F$37+'33A'!F$44+'33A'!F$51+'33A'!F$58+'33A'!F$65+'33C'!F$17+'33C'!F$24+'33B'!F$17+'33E'!F$17</f>
        <v>1724394.75</v>
      </c>
      <c r="E18" s="199">
        <f>'33A'!F$17+'33A'!F$24+'33A'!F$31+'33A'!F$38+'33A'!F$45+'33A'!F$52+'33A'!F$59+'33A'!F$66+'33C'!F$18+'33C'!F$25+'33B'!F$18+'33E'!F$18</f>
        <v>3747244.75</v>
      </c>
      <c r="F18" s="199">
        <f>'33A'!F$18+'33A'!F$25+'33A'!F$32+'33A'!F$39+'33A'!F$46+'33A'!F$53+'33A'!F$60+'33A'!F$67+'33C'!F$19+'33C'!F$26+'33B'!F$19+'33E'!F$19</f>
        <v>24506300</v>
      </c>
    </row>
    <row r="19" spans="1:6" ht="17.25" customHeight="1" x14ac:dyDescent="0.35">
      <c r="A19" s="192">
        <v>5</v>
      </c>
      <c r="B19" s="199">
        <f>'33A'!G$14+'33A'!G$21+'33A'!G$28+'33A'!G$35+'33A'!G$42+'33A'!G$49+'33A'!G$56+'33A'!G$63+'33C'!G$15+'33C'!G$22+'33B'!G$15+'33E'!G$15</f>
        <v>24506300</v>
      </c>
      <c r="C19" s="199">
        <f>'33A'!G$15+'33A'!G$22+'33A'!G$29+'33A'!G$36+'33A'!G$43+'33A'!G$50+'33A'!G$57+'33A'!G$64+'33C'!G$16+'33C'!G$23+'33B'!G$16+'33E'!G$16</f>
        <v>2022850</v>
      </c>
      <c r="D19" s="199">
        <f>'33A'!G$16+'33A'!G$23+'33A'!G$30+'33A'!G$37+'33A'!G$44+'33A'!G$51+'33A'!G$58+'33A'!G$65+'33C'!G$17+'33C'!G$24+'33B'!G$17+'33E'!G$17</f>
        <v>1592909.5</v>
      </c>
      <c r="E19" s="199">
        <f>'33A'!G$17+'33A'!G$24+'33A'!G$31+'33A'!G$38+'33A'!G$45+'33A'!G$52+'33A'!G$59+'33A'!G$66+'33C'!G$18+'33C'!G$25+'33B'!G$18+'33E'!G$18</f>
        <v>3615759.5</v>
      </c>
      <c r="F19" s="199">
        <f>'33A'!G$18+'33A'!G$25+'33A'!G$32+'33A'!G$39+'33A'!G$46+'33A'!G$53+'33A'!G$60+'33A'!G$67+'33C'!G$19+'33C'!G$26+'33B'!G$19+'33E'!G$19</f>
        <v>22483450</v>
      </c>
    </row>
    <row r="20" spans="1:6" ht="17.25" customHeight="1" x14ac:dyDescent="0.35">
      <c r="A20" s="192">
        <v>6</v>
      </c>
      <c r="B20" s="199">
        <f>'33A'!H$14+'33A'!H$21+'33A'!H$28+'33A'!H$35+'33A'!H$42+'33A'!H$49+'33A'!H$56+'33A'!H$63+'33C'!H$15+'33C'!H$22+'33B'!H$15+'33E'!H$15</f>
        <v>22483450</v>
      </c>
      <c r="C20" s="199">
        <f>'33A'!H$15+'33A'!H$22+'33A'!H$29+'33A'!H$36+'33A'!H$43+'33A'!H$50+'33A'!H$57+'33A'!H$64+'33C'!H$16+'33C'!H$23+'33B'!H$16+'33E'!H$16</f>
        <v>2022850</v>
      </c>
      <c r="D20" s="199">
        <f>'33A'!H$16+'33A'!H$23+'33A'!H$30+'33A'!H$37+'33A'!H$44+'33A'!H$51+'33A'!H$58+'33A'!H$65+'33C'!H$17+'33C'!H$24+'33B'!H$17+'33E'!H$17</f>
        <v>1461424.25</v>
      </c>
      <c r="E20" s="199">
        <f>'33A'!H$17+'33A'!H$24+'33A'!H$31+'33A'!H$38+'33A'!H$45+'33A'!H$52+'33A'!H$59+'33A'!H$66+'33C'!H$18+'33C'!H$25+'33B'!H$18+'33E'!H$18</f>
        <v>3484274.25</v>
      </c>
      <c r="F20" s="199">
        <f>'33A'!H$18+'33A'!H$25+'33A'!H$32+'33A'!H$39+'33A'!H$46+'33A'!H$53+'33A'!H$60+'33A'!H$67+'33C'!H$19+'33C'!H$26+'33B'!H$19+'33E'!H$19</f>
        <v>20460600</v>
      </c>
    </row>
    <row r="21" spans="1:6" ht="17.25" customHeight="1" x14ac:dyDescent="0.35">
      <c r="A21" s="192">
        <v>7</v>
      </c>
      <c r="B21" s="199">
        <f>'33A'!I$14+'33A'!I$21+'33A'!I$28+'33A'!I$35+'33A'!I$42+'33A'!I$49+'33A'!I$56+'33A'!I$63+'33C'!I$15+'33C'!I$22+'33B'!I$15+'33E'!I$15</f>
        <v>20460600</v>
      </c>
      <c r="C21" s="199">
        <f>'33A'!I$15+'33A'!I$22+'33A'!I$29+'33A'!I$36+'33A'!I$43+'33A'!I$50+'33A'!I$57+'33A'!I$64+'33C'!I$16+'33C'!I$23+'33B'!I$16+'33E'!I$16</f>
        <v>2022850</v>
      </c>
      <c r="D21" s="199">
        <f>'33A'!I$16+'33A'!I$23+'33A'!I$30+'33A'!I$37+'33A'!I$44+'33A'!I$51+'33A'!I$58+'33A'!I$65+'33C'!I$17+'33C'!I$24+'33B'!I$17+'33E'!I$17</f>
        <v>1329939</v>
      </c>
      <c r="E21" s="199">
        <f>'33A'!I$17+'33A'!I$24+'33A'!I$31+'33A'!I$38+'33A'!I$45+'33A'!I$52+'33A'!I$59+'33A'!I$66+'33C'!I$18+'33C'!I$25+'33B'!I$18+'33E'!I$18</f>
        <v>3352789</v>
      </c>
      <c r="F21" s="199">
        <f>'33A'!I$18+'33A'!I$25+'33A'!I$32+'33A'!I$39+'33A'!I$46+'33A'!I$53+'33A'!I$60+'33A'!I$67+'33C'!I$19+'33C'!I$26+'33B'!I$19+'33E'!I$19</f>
        <v>18437750</v>
      </c>
    </row>
    <row r="22" spans="1:6" ht="17.25" customHeight="1" x14ac:dyDescent="0.35">
      <c r="A22" s="192">
        <v>8</v>
      </c>
      <c r="B22" s="199">
        <f>'33A'!J$14+'33A'!J$21+'33A'!J$28+'33A'!J$35+'33A'!J$42+'33A'!J$49+'33A'!J$56+'33A'!J$63+'33C'!J$15+'33C'!J$22+'33B'!J$15+'33E'!J$15</f>
        <v>18437750</v>
      </c>
      <c r="C22" s="199">
        <f>'33A'!J$15+'33A'!J$22+'33A'!J$29+'33A'!J$36+'33A'!J$43+'33A'!J$50+'33A'!J$57+'33A'!J$64+'33C'!J$16+'33C'!J$23+'33B'!J$16+'33E'!J$16</f>
        <v>2022850</v>
      </c>
      <c r="D22" s="199">
        <f>'33A'!J$16+'33A'!J$23+'33A'!J$30+'33A'!J$37+'33A'!J$44+'33A'!J$51+'33A'!J$58+'33A'!J$65+'33C'!J$17+'33C'!J$24+'33B'!J$17+'33E'!J$17</f>
        <v>1198453.75</v>
      </c>
      <c r="E22" s="199">
        <f>'33A'!J$17+'33A'!J$24+'33A'!J$31+'33A'!J$38+'33A'!J$45+'33A'!J$52+'33A'!J$59+'33A'!J$66+'33C'!J$18+'33C'!J$25+'33B'!J$18+'33E'!J$18</f>
        <v>3221303.75</v>
      </c>
      <c r="F22" s="199">
        <f>'33A'!J$18+'33A'!J$25+'33A'!J$32+'33A'!J$39+'33A'!J$46+'33A'!J$53+'33A'!J$60+'33A'!J$67+'33C'!J$19+'33C'!J$26+'33B'!J$19+'33E'!J$19</f>
        <v>16414900</v>
      </c>
    </row>
    <row r="23" spans="1:6" ht="17.25" customHeight="1" x14ac:dyDescent="0.35">
      <c r="A23" s="192">
        <v>9</v>
      </c>
      <c r="B23" s="199">
        <f>'33A'!K$14+'33A'!K$21+'33A'!K$28+'33A'!K$35+'33A'!K$42+'33A'!K$49+'33A'!K$56+'33A'!K$63+'33C'!K$15+'33C'!K$22+'33B'!K$15+'33E'!K$15</f>
        <v>16414900</v>
      </c>
      <c r="C23" s="199">
        <f>'33A'!K$15+'33A'!K$22+'33A'!K$29+'33A'!K$36+'33A'!K$43+'33A'!K$50+'33A'!K$57+'33A'!K$64+'33C'!K$16+'33C'!K$23+'33B'!K$16+'33E'!K$16</f>
        <v>2022850</v>
      </c>
      <c r="D23" s="199">
        <f>'33A'!K$16+'33A'!K$23+'33A'!K$30+'33A'!K$37+'33A'!K$44+'33A'!K$51+'33A'!K$58+'33A'!K$65+'33C'!K$17+'33C'!K$24+'33B'!K$17+'33E'!K$17</f>
        <v>1066968.5</v>
      </c>
      <c r="E23" s="199">
        <f>'33A'!K$17+'33A'!K$24+'33A'!K$31+'33A'!K$38+'33A'!K$45+'33A'!K$52+'33A'!K$59+'33A'!K$66+'33C'!K$18+'33C'!K$25+'33B'!K$18+'33E'!K$18</f>
        <v>3089818.5</v>
      </c>
      <c r="F23" s="199">
        <f>'33A'!K$18+'33A'!K$25+'33A'!K$32+'33A'!K$39+'33A'!K$46+'33A'!K$53+'33A'!K$60+'33A'!K$67+'33C'!K$19+'33C'!K$26+'33B'!K$19+'33E'!K$19</f>
        <v>14392050</v>
      </c>
    </row>
    <row r="24" spans="1:6" ht="17.25" customHeight="1" x14ac:dyDescent="0.35">
      <c r="A24" s="192">
        <v>10</v>
      </c>
      <c r="B24" s="199">
        <f>'33A'!L$14+'33A'!L$21+'33A'!L$28+'33A'!L$35+'33A'!L$42+'33A'!L$49+'33A'!L$56+'33A'!L$63+'33C'!L$15+'33C'!L$22+'33B'!L$15+'33E'!L$15</f>
        <v>14392050</v>
      </c>
      <c r="C24" s="199">
        <f>'33A'!L$15+'33A'!L$22+'33A'!L$29+'33A'!L$36+'33A'!L$43+'33A'!L$50+'33A'!L$57+'33A'!L$64+'33C'!L$16+'33C'!L$23+'33B'!L$16+'33E'!L$16</f>
        <v>2022850</v>
      </c>
      <c r="D24" s="199">
        <f>'33A'!L$16+'33A'!L$23+'33A'!L$30+'33A'!L$37+'33A'!L$44+'33A'!L$51+'33A'!L$58+'33A'!L$65+'33C'!L$17+'33C'!L$24+'33B'!L$17+'33E'!L$17</f>
        <v>935483.25</v>
      </c>
      <c r="E24" s="199">
        <f>'33A'!L$17+'33A'!L$24+'33A'!L$31+'33A'!L$38+'33A'!L$45+'33A'!L$52+'33A'!L$59+'33A'!L$66+'33C'!L$18+'33C'!L$25+'33B'!L$18+'33E'!L$18</f>
        <v>2958333.25</v>
      </c>
      <c r="F24" s="199">
        <f>'33A'!L$18+'33A'!L$25+'33A'!L$32+'33A'!L$39+'33A'!L$46+'33A'!L$53+'33A'!L$60+'33A'!L$67+'33C'!L$19+'33C'!L$26+'33B'!L$19+'33E'!L$19</f>
        <v>12369200</v>
      </c>
    </row>
    <row r="25" spans="1:6" ht="17.25" customHeight="1" x14ac:dyDescent="0.35">
      <c r="A25" s="192">
        <v>11</v>
      </c>
      <c r="B25" s="199">
        <f>'33A'!M$14+'33A'!M$21+'33A'!M$28+'33A'!M$35+'33A'!M$42+'33A'!M$49+'33A'!M$56+'33A'!M$63+'33C'!M$15+'33C'!M$22+'33B'!M$15+'33E'!M$15</f>
        <v>12369200</v>
      </c>
      <c r="C25" s="199">
        <f>'33A'!M$15+'33A'!M$22+'33A'!M$29+'33A'!M$36+'33A'!M$43+'33A'!M$50+'33A'!M$57+'33A'!M$64+'33C'!M$16+'33C'!M$23+'33B'!M$16+'33E'!M$16</f>
        <v>2022850</v>
      </c>
      <c r="D25" s="199">
        <f>'33A'!M$16+'33A'!M$23+'33A'!M$30+'33A'!M$37+'33A'!M$44+'33A'!M$51+'33A'!M$58+'33A'!M$65+'33C'!M$17+'33C'!M$24+'33B'!M$17+'33E'!M$17</f>
        <v>803998</v>
      </c>
      <c r="E25" s="199">
        <f>'33A'!M$17+'33A'!M$24+'33A'!M$31+'33A'!M$38+'33A'!M$45+'33A'!M$52+'33A'!M$59+'33A'!M$66+'33C'!M$18+'33C'!M$25+'33B'!M$18+'33E'!M$18</f>
        <v>2826848</v>
      </c>
      <c r="F25" s="199">
        <f>'33A'!M$18+'33A'!M$25+'33A'!M$32+'33A'!M$39+'33A'!M$46+'33A'!M$53+'33A'!M$60+'33A'!M$67+'33C'!M$19+'33C'!M$26+'33B'!M$19+'33E'!M$19</f>
        <v>10346350</v>
      </c>
    </row>
    <row r="26" spans="1:6" ht="17.25" customHeight="1" x14ac:dyDescent="0.35">
      <c r="A26" s="192">
        <v>12</v>
      </c>
      <c r="B26" s="199">
        <f>'33A'!N$14+'33A'!N$21+'33A'!N$28+'33A'!N$35+'33A'!N$42+'33A'!N$49+'33A'!N$56+'33A'!N$63+'33C'!N$15+'33C'!N$22+'33B'!N$15+'33E'!N$15</f>
        <v>10346350</v>
      </c>
      <c r="C26" s="199">
        <f>'33A'!N$15+'33A'!N$22+'33A'!N$29+'33A'!N$36+'33A'!N$43+'33A'!N$50+'33A'!N$57+'33A'!N$64+'33C'!N$16+'33C'!N$23+'33B'!N$16+'33E'!N$16</f>
        <v>2022850</v>
      </c>
      <c r="D26" s="199">
        <f>'33A'!N$16+'33A'!N$23+'33A'!N$30+'33A'!N$37+'33A'!N$44+'33A'!N$51+'33A'!N$58+'33A'!N$65+'33C'!N$17+'33C'!N$24+'33B'!N$17+'33E'!N$17</f>
        <v>672512.75</v>
      </c>
      <c r="E26" s="199">
        <f>'33A'!N$17+'33A'!N$24+'33A'!N$31+'33A'!N$38+'33A'!N$45+'33A'!N$52+'33A'!N$59+'33A'!N$66+'33C'!N$18+'33C'!N$25+'33B'!N$18+'33E'!N$18</f>
        <v>2695362.75</v>
      </c>
      <c r="F26" s="199">
        <f>'33A'!N$18+'33A'!N$25+'33A'!N$32+'33A'!N$39+'33A'!N$46+'33A'!N$53+'33A'!N$60+'33A'!N$67+'33C'!N$19+'33C'!N$26+'33B'!N$19+'33E'!N$19</f>
        <v>8323500</v>
      </c>
    </row>
    <row r="27" spans="1:6" ht="17.25" customHeight="1" x14ac:dyDescent="0.35">
      <c r="A27" s="192">
        <v>13</v>
      </c>
      <c r="B27" s="199">
        <f>'33A'!O$14+'33A'!O$21+'33A'!O$28+'33A'!O$35+'33A'!O$42+'33A'!O$49+'33A'!O$56+'33A'!O$63+'33C'!O$15+'33C'!O$22+'33B'!O$15+'33E'!O$15</f>
        <v>8323500</v>
      </c>
      <c r="C27" s="199">
        <f>'33A'!O$15+'33A'!O$22+'33A'!O$29+'33A'!O$36+'33A'!O$43+'33A'!O$50+'33A'!O$57+'33A'!O$64+'33C'!O$16+'33C'!O$23+'33B'!O$16+'33E'!O$16</f>
        <v>2022850</v>
      </c>
      <c r="D27" s="199">
        <f>'33A'!O$16+'33A'!O$23+'33A'!O$30+'33A'!O$37+'33A'!O$44+'33A'!O$51+'33A'!O$58+'33A'!O$65+'33C'!O$17+'33C'!O$24+'33B'!O$17+'33E'!O$17</f>
        <v>541027.5</v>
      </c>
      <c r="E27" s="199">
        <f>'33A'!O$17+'33A'!O$24+'33A'!O$31+'33A'!O$38+'33A'!O$45+'33A'!O$52+'33A'!O$59+'33A'!O$66+'33C'!O$18+'33C'!O$25+'33B'!O$18+'33E'!O$18</f>
        <v>2563877.5</v>
      </c>
      <c r="F27" s="199">
        <f>'33A'!O$18+'33A'!O$25+'33A'!O$32+'33A'!O$39+'33A'!O$46+'33A'!O$53+'33A'!O$60+'33A'!O$67+'33C'!O$19+'33C'!O$26+'33B'!O$19+'33E'!O$19</f>
        <v>6300650</v>
      </c>
    </row>
    <row r="28" spans="1:6" ht="17.25" customHeight="1" x14ac:dyDescent="0.35">
      <c r="A28" s="192">
        <v>14</v>
      </c>
      <c r="B28" s="199">
        <f>'33A'!P$14+'33A'!P$21+'33A'!P$28+'33A'!P$35+'33A'!P$42+'33A'!P$49+'33A'!P$56+'33A'!P$63+'33C'!P$15+'33C'!P$22+'33B'!P$15+'33E'!P$15</f>
        <v>6300650</v>
      </c>
      <c r="C28" s="199">
        <f>'33A'!P$15+'33A'!P$22+'33A'!P$29+'33A'!P$36+'33A'!P$43+'33A'!P$50+'33A'!P$57+'33A'!P$64+'33C'!P$16+'33C'!P$23+'33B'!P$16+'33E'!P$16</f>
        <v>2022850</v>
      </c>
      <c r="D28" s="199">
        <f>'33A'!P$16+'33A'!P$23+'33A'!P$30+'33A'!P$37+'33A'!P$44+'33A'!P$51+'33A'!P$58+'33A'!P$65+'33C'!P$17+'33C'!P$24+'33B'!P$17+'33E'!P$17</f>
        <v>409542.25</v>
      </c>
      <c r="E28" s="199">
        <f>'33A'!P$17+'33A'!P$24+'33A'!P$31+'33A'!P$38+'33A'!P$45+'33A'!P$52+'33A'!P$59+'33A'!P$66+'33C'!P$18+'33C'!P$25+'33B'!P$18+'33E'!P$18</f>
        <v>2432392.25</v>
      </c>
      <c r="F28" s="199">
        <f>'33A'!P$18+'33A'!P$25+'33A'!P$32+'33A'!P$39+'33A'!P$46+'33A'!P$53+'33A'!P$60+'33A'!P$67+'33C'!P$19+'33C'!P$26+'33B'!P$19+'33E'!P$19</f>
        <v>4277800</v>
      </c>
    </row>
    <row r="29" spans="1:6" ht="17.25" customHeight="1" x14ac:dyDescent="0.35">
      <c r="A29" s="192">
        <v>15</v>
      </c>
      <c r="B29" s="199">
        <f>'33A'!Q$14+'33A'!Q$21+'33A'!Q$28+'33A'!Q$35+'33A'!Q$42+'33A'!Q$49+'33A'!Q$56+'33A'!Q$63+'33C'!Q$15+'33C'!Q$22+'33B'!Q$15+'33E'!Q$15</f>
        <v>4277800</v>
      </c>
      <c r="C29" s="199">
        <f>'33A'!Q$15+'33A'!Q$22+'33A'!Q$29+'33A'!Q$36+'33A'!Q$43+'33A'!Q$50+'33A'!Q$57+'33A'!Q$64+'33C'!Q$16+'33C'!Q$23+'33B'!Q$16+'33E'!Q$16</f>
        <v>2022850</v>
      </c>
      <c r="D29" s="199">
        <f>'33A'!Q$16+'33A'!Q$23+'33A'!Q$30+'33A'!Q$37+'33A'!Q$44+'33A'!Q$51+'33A'!Q$58+'33A'!Q$65+'33C'!Q$17+'33C'!Q$24+'33B'!Q$17+'33E'!Q$17</f>
        <v>278057</v>
      </c>
      <c r="E29" s="199">
        <f>'33A'!Q$17+'33A'!Q$24+'33A'!Q$31+'33A'!Q$38+'33A'!Q$45+'33A'!Q$52+'33A'!Q$59+'33A'!Q$66+'33C'!Q$18+'33C'!Q$25+'33B'!Q$18+'33E'!Q$18</f>
        <v>2300907</v>
      </c>
      <c r="F29" s="199">
        <f>'33A'!Q$18+'33A'!Q$25+'33A'!Q$32+'33A'!Q$39+'33A'!Q$46+'33A'!Q$53+'33A'!Q$60+'33A'!Q$67+'33C'!Q$19+'33C'!Q$26+'33B'!Q$19+'33E'!Q$19</f>
        <v>2254950</v>
      </c>
    </row>
    <row r="30" spans="1:6" ht="17.25" customHeight="1" x14ac:dyDescent="0.35">
      <c r="A30" s="192">
        <v>16</v>
      </c>
      <c r="B30" s="199">
        <f>'33A'!R$14+'33A'!R$21+'33A'!R$28+'33A'!R$35+'33A'!R$42+'33A'!R$49+'33A'!R$56+'33A'!R$63+'33C'!R$15+'33C'!R$22+'33B'!R$15+'33E'!R$15</f>
        <v>2254950</v>
      </c>
      <c r="C30" s="199">
        <f>'33A'!R$15+'33A'!R$22+'33A'!R$29+'33A'!R$36+'33A'!R$43+'33A'!R$50+'33A'!R$57+'33A'!R$64+'33C'!R$16+'33C'!R$23+'33B'!R$16+'33E'!R$16</f>
        <v>2022850</v>
      </c>
      <c r="D30" s="199">
        <f>'33A'!R$16+'33A'!R$23+'33A'!R$30+'33A'!R$37+'33A'!R$44+'33A'!R$51+'33A'!R$58+'33A'!R$65+'33C'!R$17+'33C'!R$24+'33B'!R$17+'33E'!R$17</f>
        <v>146571.75</v>
      </c>
      <c r="E30" s="199">
        <f>'33A'!R$17+'33A'!R$24+'33A'!R$31+'33A'!R$38+'33A'!R$45+'33A'!R$52+'33A'!R$59+'33A'!R$66+'33C'!R$18+'33C'!R$25+'33B'!R$18+'33E'!R$18</f>
        <v>2169421.75</v>
      </c>
      <c r="F30" s="199">
        <f>'33A'!R$18+'33A'!R$25+'33A'!R$32+'33A'!R$39+'33A'!R$46+'33A'!R$53+'33A'!R$60+'33A'!R$67+'33C'!R$19+'33C'!R$26+'33B'!R$19+'33E'!R$19</f>
        <v>232100</v>
      </c>
    </row>
    <row r="31" spans="1:6" ht="17.25" customHeight="1" x14ac:dyDescent="0.35">
      <c r="A31" s="192">
        <v>17</v>
      </c>
      <c r="B31" s="199">
        <f>'33A'!S$14+'33A'!S$21+'33A'!S$28+'33A'!S$35+'33A'!S$42+'33A'!S$49+'33A'!S$56+'33A'!S$63+'33C'!S$15+'33C'!S$22+'33B'!S$15+'33E'!S$15</f>
        <v>232100</v>
      </c>
      <c r="C31" s="199">
        <f>'33A'!S$15+'33A'!S$22+'33A'!S$29+'33A'!S$36+'33A'!S$43+'33A'!S$50+'33A'!S$57+'33A'!S$64+'33C'!S$16+'33C'!S$23+'33B'!S$16+'33E'!S$16</f>
        <v>232100</v>
      </c>
      <c r="D31" s="199">
        <f>'33A'!S$16+'33A'!S$23+'33A'!S$30+'33A'!S$37+'33A'!S$44+'33A'!S$51+'33A'!S$58+'33A'!S$65+'33C'!S$17+'33C'!S$24+'33B'!S$17+'33E'!S$17</f>
        <v>15086.5</v>
      </c>
      <c r="E31" s="199">
        <f>'33A'!S$17+'33A'!S$24+'33A'!S$31+'33A'!S$38+'33A'!S$45+'33A'!S$52+'33A'!S$59+'33A'!S$66+'33C'!S$18+'33C'!S$25+'33B'!S$18+'33E'!S$18</f>
        <v>247186.5</v>
      </c>
      <c r="F31" s="199">
        <f>'33A'!S$18+'33A'!S$25+'33A'!S$32+'33A'!S$39+'33A'!S$46+'33A'!S$53+'33A'!S$60+'33A'!S$67+'33C'!S$19+'33C'!S$26+'33B'!S$19+'33E'!S$19</f>
        <v>0</v>
      </c>
    </row>
    <row r="32" spans="1:6" ht="17.25" customHeight="1" x14ac:dyDescent="0.35">
      <c r="A32" s="192">
        <v>18</v>
      </c>
      <c r="B32" s="199">
        <f>'33A'!T$14+'33A'!T$21+'33A'!T$28+'33A'!T$35+'33A'!T$42+'33A'!T$49+'33A'!T$56+'33A'!T$63+'33C'!T$15+'33C'!T$22+'33B'!T$15+'33E'!T$15</f>
        <v>0</v>
      </c>
      <c r="C32" s="199">
        <f>'33A'!T$15+'33A'!T$22+'33A'!T$29+'33A'!T$36+'33A'!T$43+'33A'!T$50+'33A'!T$57+'33A'!T$64+'33C'!T$16+'33C'!T$23+'33B'!T$16+'33E'!T$16</f>
        <v>0</v>
      </c>
      <c r="D32" s="199">
        <f>'33A'!T$16+'33A'!T$23+'33A'!T$30+'33A'!T$37+'33A'!T$44+'33A'!T$51+'33A'!T$58+'33A'!T$65+'33C'!T$17+'33C'!T$24+'33B'!T$17+'33E'!T$17</f>
        <v>0</v>
      </c>
      <c r="E32" s="199">
        <f>'33A'!T$17+'33A'!T$24+'33A'!T$31+'33A'!T$38+'33A'!T$45+'33A'!T$52+'33A'!T$59+'33A'!T$66+'33C'!T$18+'33C'!T$25+'33B'!T$18+'33E'!T$18</f>
        <v>0</v>
      </c>
      <c r="F32" s="199">
        <f>'33A'!T$18+'33A'!T$25+'33A'!T$32+'33A'!T$39+'33A'!T$46+'33A'!T$53+'33A'!T$60+'33A'!T$67+'33C'!T$19+'33C'!T$26+'33B'!T$19+'33E'!T$19</f>
        <v>0</v>
      </c>
    </row>
    <row r="33" spans="1:6" ht="17.25" customHeight="1" x14ac:dyDescent="0.35">
      <c r="A33" s="192">
        <v>19</v>
      </c>
      <c r="B33" s="199">
        <f>'33A'!U$14+'33A'!U$21+'33A'!U$28+'33A'!U$35+'33A'!U$42+'33A'!U$49+'33A'!U$56+'33A'!U$63+'33C'!U$15+'33C'!U$22+'33B'!U$15+'33E'!U$15</f>
        <v>0</v>
      </c>
      <c r="C33" s="199">
        <f>'33A'!U$15+'33A'!U$22+'33A'!U$29+'33A'!U$36+'33A'!U$43+'33A'!U$50+'33A'!U$57+'33A'!U$64+'33C'!U$16+'33C'!U$23+'33B'!U$16+'33E'!U$16</f>
        <v>0</v>
      </c>
      <c r="D33" s="199">
        <f>'33A'!U$16+'33A'!U$23+'33A'!U$30+'33A'!U$37+'33A'!U$44+'33A'!U$51+'33A'!U$58+'33A'!U$65+'33C'!U$17+'33C'!U$24+'33B'!U$17+'33E'!U$17</f>
        <v>0</v>
      </c>
      <c r="E33" s="199">
        <f>'33A'!U$17+'33A'!U$24+'33A'!U$31+'33A'!U$38+'33A'!U$45+'33A'!U$52+'33A'!U$59+'33A'!U$66+'33C'!U$18+'33C'!U$25+'33B'!U$18+'33E'!U$18</f>
        <v>0</v>
      </c>
      <c r="F33" s="199">
        <f>'33A'!U$18+'33A'!U$25+'33A'!U$32+'33A'!U$39+'33A'!U$46+'33A'!U$53+'33A'!U$60+'33A'!U$67+'33C'!U$19+'33C'!U$26+'33B'!U$19+'33E'!U$19</f>
        <v>0</v>
      </c>
    </row>
    <row r="34" spans="1:6" ht="17.25" customHeight="1" x14ac:dyDescent="0.35">
      <c r="A34" s="192">
        <v>20</v>
      </c>
      <c r="B34" s="199">
        <f>'33A'!V$14+'33A'!V$21+'33A'!V$28+'33A'!V$35+'33A'!V$42+'33A'!V$49+'33A'!V$56+'33A'!V$63+'33C'!V$15+'33C'!V$22+'33B'!V$15+'33E'!V$15</f>
        <v>0</v>
      </c>
      <c r="C34" s="199">
        <f>'33A'!V$15+'33A'!V$22+'33A'!V$29+'33A'!V$36+'33A'!V$43+'33A'!V$50+'33A'!V$57+'33A'!V$64+'33C'!V$16+'33C'!V$23+'33B'!V$16+'33E'!V$16</f>
        <v>0</v>
      </c>
      <c r="D34" s="199">
        <f>'33A'!V$16+'33A'!V$23+'33A'!V$30+'33A'!V$37+'33A'!V$44+'33A'!V$51+'33A'!V$58+'33A'!V$65+'33C'!V$17+'33C'!V$24+'33B'!V$17+'33E'!V$17</f>
        <v>0</v>
      </c>
      <c r="E34" s="199">
        <f>'33A'!V$17+'33A'!V$24+'33A'!V$31+'33A'!V$38+'33A'!V$45+'33A'!V$52+'33A'!V$59+'33A'!V$66+'33C'!V$18+'33C'!V$25+'33B'!V$18+'33E'!V$18</f>
        <v>0</v>
      </c>
      <c r="F34" s="199">
        <f>'33A'!V$18+'33A'!V$25+'33A'!V$32+'33A'!V$39+'33A'!V$46+'33A'!V$53+'33A'!V$60+'33A'!V$67+'33C'!V$19+'33C'!V$26+'33B'!V$19+'33E'!V$19</f>
        <v>0</v>
      </c>
    </row>
    <row r="35" spans="1:6" x14ac:dyDescent="0.35">
      <c r="A35" s="180"/>
      <c r="B35" s="180"/>
      <c r="C35" s="180"/>
      <c r="D35" s="180"/>
      <c r="E35" s="180"/>
      <c r="F35" s="180"/>
    </row>
    <row r="36" spans="1:6" x14ac:dyDescent="0.35">
      <c r="A36" t="s">
        <v>447</v>
      </c>
    </row>
  </sheetData>
  <sheetProtection objects="1"/>
  <mergeCells count="2">
    <mergeCell ref="A8:F9"/>
    <mergeCell ref="A10:F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6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/>
  <dimension ref="A1:D24"/>
  <sheetViews>
    <sheetView view="pageBreakPreview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734</v>
      </c>
    </row>
    <row r="4" spans="1:4" ht="21.75" customHeight="1" x14ac:dyDescent="0.25">
      <c r="A4" s="385" t="s">
        <v>501</v>
      </c>
    </row>
    <row r="6" spans="1:4" s="387" customFormat="1" ht="21.75" customHeight="1" x14ac:dyDescent="0.25">
      <c r="A6" s="386" t="s">
        <v>792</v>
      </c>
    </row>
    <row r="7" spans="1:4" ht="21.75" customHeight="1" x14ac:dyDescent="0.25">
      <c r="A7" s="388"/>
    </row>
    <row r="8" spans="1:4" ht="29.2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29.25" customHeight="1" x14ac:dyDescent="0.25">
      <c r="A9" s="686"/>
      <c r="B9" s="687"/>
      <c r="C9" s="389" t="s">
        <v>503</v>
      </c>
      <c r="D9" s="389" t="s">
        <v>504</v>
      </c>
    </row>
    <row r="10" spans="1:4" ht="21.75" customHeight="1" x14ac:dyDescent="0.25">
      <c r="A10" s="390" t="s">
        <v>505</v>
      </c>
      <c r="B10" s="391"/>
      <c r="C10" s="392"/>
      <c r="D10" s="393"/>
    </row>
    <row r="11" spans="1:4" ht="21.75" customHeight="1" x14ac:dyDescent="0.25">
      <c r="A11" s="394" t="s">
        <v>509</v>
      </c>
      <c r="B11" s="391">
        <v>11683</v>
      </c>
      <c r="C11" s="392" t="s">
        <v>507</v>
      </c>
      <c r="D11" s="393" t="s">
        <v>507</v>
      </c>
    </row>
    <row r="12" spans="1:4" ht="21.75" customHeight="1" x14ac:dyDescent="0.25">
      <c r="A12" s="395" t="s">
        <v>511</v>
      </c>
      <c r="B12" s="396">
        <v>9631</v>
      </c>
      <c r="C12" s="397" t="s">
        <v>507</v>
      </c>
      <c r="D12" s="398" t="s">
        <v>507</v>
      </c>
    </row>
    <row r="13" spans="1:4" ht="21.75" customHeight="1" x14ac:dyDescent="0.25">
      <c r="A13" s="399" t="s">
        <v>512</v>
      </c>
      <c r="B13" s="400"/>
      <c r="C13" s="401"/>
      <c r="D13" s="402"/>
    </row>
    <row r="14" spans="1:4" ht="21.75" customHeight="1" x14ac:dyDescent="0.25">
      <c r="A14" s="394" t="s">
        <v>506</v>
      </c>
      <c r="B14" s="391">
        <v>13600</v>
      </c>
      <c r="C14" s="392" t="s">
        <v>507</v>
      </c>
      <c r="D14" s="393" t="s">
        <v>508</v>
      </c>
    </row>
    <row r="15" spans="1:4" ht="21.75" customHeight="1" x14ac:dyDescent="0.25">
      <c r="A15" s="394" t="s">
        <v>513</v>
      </c>
      <c r="B15" s="391">
        <v>23000</v>
      </c>
      <c r="C15" s="392" t="s">
        <v>514</v>
      </c>
      <c r="D15" s="393" t="s">
        <v>508</v>
      </c>
    </row>
    <row r="16" spans="1:4" ht="21.75" customHeight="1" x14ac:dyDescent="0.25">
      <c r="A16" s="394" t="s">
        <v>510</v>
      </c>
      <c r="B16" s="391"/>
      <c r="C16" s="392" t="s">
        <v>507</v>
      </c>
      <c r="D16" s="393" t="s">
        <v>507</v>
      </c>
    </row>
    <row r="17" spans="1:4" ht="21.75" customHeight="1" x14ac:dyDescent="0.25">
      <c r="A17" s="395" t="s">
        <v>515</v>
      </c>
      <c r="B17" s="396">
        <v>20000</v>
      </c>
      <c r="C17" s="397" t="s">
        <v>516</v>
      </c>
      <c r="D17" s="398" t="s">
        <v>517</v>
      </c>
    </row>
    <row r="18" spans="1:4" ht="21.75" customHeight="1" x14ac:dyDescent="0.25">
      <c r="A18" s="399" t="s">
        <v>793</v>
      </c>
      <c r="B18" s="400"/>
      <c r="C18" s="487"/>
      <c r="D18" s="402"/>
    </row>
    <row r="19" spans="1:4" ht="21.75" customHeight="1" x14ac:dyDescent="0.25">
      <c r="A19" s="394" t="s">
        <v>513</v>
      </c>
      <c r="B19" s="391">
        <v>23000</v>
      </c>
      <c r="C19" s="409" t="s">
        <v>507</v>
      </c>
      <c r="D19" s="393" t="s">
        <v>507</v>
      </c>
    </row>
    <row r="20" spans="1:4" ht="21.75" customHeight="1" x14ac:dyDescent="0.25">
      <c r="A20" s="395" t="s">
        <v>515</v>
      </c>
      <c r="B20" s="396">
        <v>20000</v>
      </c>
      <c r="C20" s="488" t="s">
        <v>507</v>
      </c>
      <c r="D20" s="398" t="s">
        <v>507</v>
      </c>
    </row>
    <row r="21" spans="1:4" ht="21.75" customHeight="1" x14ac:dyDescent="0.25">
      <c r="A21" s="431" t="s">
        <v>794</v>
      </c>
      <c r="B21" s="432"/>
      <c r="C21" s="433"/>
      <c r="D21" s="483">
        <v>33</v>
      </c>
    </row>
    <row r="22" spans="1:4" ht="21.75" customHeight="1" x14ac:dyDescent="0.25">
      <c r="A22" s="221" t="s">
        <v>795</v>
      </c>
    </row>
    <row r="23" spans="1:4" ht="21.75" customHeight="1" x14ac:dyDescent="0.25">
      <c r="A23" s="221" t="s">
        <v>796</v>
      </c>
    </row>
    <row r="24" spans="1:4" ht="21.75" customHeight="1" x14ac:dyDescent="0.25">
      <c r="A24" s="221" t="s">
        <v>797</v>
      </c>
    </row>
  </sheetData>
  <sheetProtection objects="1"/>
  <mergeCells count="3">
    <mergeCell ref="C8:D8"/>
    <mergeCell ref="A8:A9"/>
    <mergeCell ref="B8:B9"/>
  </mergeCells>
  <phoneticPr fontId="0" type="noConversion"/>
  <pageMargins left="0.61" right="0.52" top="0.77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4"/>
  <dimension ref="A1:D23"/>
  <sheetViews>
    <sheetView view="pageBreakPreview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735</v>
      </c>
    </row>
    <row r="4" spans="1:4" ht="21.75" customHeight="1" x14ac:dyDescent="0.25">
      <c r="A4" s="385" t="s">
        <v>518</v>
      </c>
    </row>
    <row r="6" spans="1:4" s="387" customFormat="1" ht="21.75" customHeight="1" x14ac:dyDescent="0.25">
      <c r="A6" s="386" t="s">
        <v>798</v>
      </c>
      <c r="B6" s="404"/>
      <c r="C6" s="404"/>
    </row>
    <row r="7" spans="1:4" ht="21.75" customHeight="1" x14ac:dyDescent="0.25">
      <c r="A7" s="386"/>
      <c r="B7" s="404"/>
      <c r="C7" s="404"/>
    </row>
    <row r="8" spans="1:4" ht="21.7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30.75" customHeight="1" x14ac:dyDescent="0.25">
      <c r="A9" s="686"/>
      <c r="B9" s="687"/>
      <c r="C9" s="405" t="s">
        <v>503</v>
      </c>
      <c r="D9" s="405" t="s">
        <v>504</v>
      </c>
    </row>
    <row r="10" spans="1:4" ht="21.75" customHeight="1" x14ac:dyDescent="0.25">
      <c r="A10" s="399" t="s">
        <v>519</v>
      </c>
      <c r="B10" s="406"/>
      <c r="C10" s="407"/>
      <c r="D10" s="408"/>
    </row>
    <row r="11" spans="1:4" ht="21.75" customHeight="1" x14ac:dyDescent="0.25">
      <c r="A11" s="394" t="s">
        <v>520</v>
      </c>
      <c r="B11" s="391">
        <v>1821</v>
      </c>
      <c r="C11" s="409" t="s">
        <v>507</v>
      </c>
      <c r="D11" s="392" t="s">
        <v>507</v>
      </c>
    </row>
    <row r="12" spans="1:4" ht="21.75" customHeight="1" x14ac:dyDescent="0.25">
      <c r="A12" s="410" t="s">
        <v>521</v>
      </c>
      <c r="B12" s="411">
        <v>25875</v>
      </c>
      <c r="C12" s="412" t="s">
        <v>507</v>
      </c>
      <c r="D12" s="413" t="s">
        <v>507</v>
      </c>
    </row>
    <row r="13" spans="1:4" ht="21.75" customHeight="1" x14ac:dyDescent="0.25">
      <c r="A13" s="414" t="s">
        <v>522</v>
      </c>
      <c r="B13" s="411">
        <v>4600</v>
      </c>
      <c r="C13" s="412" t="s">
        <v>507</v>
      </c>
      <c r="D13" s="413" t="s">
        <v>507</v>
      </c>
    </row>
    <row r="14" spans="1:4" ht="21.75" customHeight="1" x14ac:dyDescent="0.25">
      <c r="A14" s="390" t="s">
        <v>512</v>
      </c>
      <c r="B14" s="411"/>
      <c r="C14" s="408"/>
      <c r="D14" s="402"/>
    </row>
    <row r="15" spans="1:4" ht="21.75" customHeight="1" x14ac:dyDescent="0.25">
      <c r="A15" s="394" t="s">
        <v>523</v>
      </c>
      <c r="B15" s="391">
        <v>4000</v>
      </c>
      <c r="C15" s="392" t="s">
        <v>507</v>
      </c>
      <c r="D15" s="393" t="s">
        <v>507</v>
      </c>
    </row>
    <row r="16" spans="1:4" ht="21.75" customHeight="1" x14ac:dyDescent="0.25">
      <c r="A16" s="395" t="s">
        <v>524</v>
      </c>
      <c r="B16" s="396">
        <v>3800</v>
      </c>
      <c r="C16" s="397" t="s">
        <v>514</v>
      </c>
      <c r="D16" s="398" t="s">
        <v>508</v>
      </c>
    </row>
    <row r="17" spans="1:4" ht="21.75" customHeight="1" x14ac:dyDescent="0.25">
      <c r="A17" s="390" t="s">
        <v>793</v>
      </c>
      <c r="B17" s="411"/>
      <c r="C17" s="408"/>
      <c r="D17" s="402"/>
    </row>
    <row r="18" spans="1:4" ht="21.75" customHeight="1" x14ac:dyDescent="0.25">
      <c r="A18" s="394" t="s">
        <v>523</v>
      </c>
      <c r="B18" s="391">
        <v>4000</v>
      </c>
      <c r="C18" s="392" t="s">
        <v>507</v>
      </c>
      <c r="D18" s="393" t="s">
        <v>507</v>
      </c>
    </row>
    <row r="19" spans="1:4" ht="21.75" customHeight="1" x14ac:dyDescent="0.25">
      <c r="A19" s="395" t="s">
        <v>524</v>
      </c>
      <c r="B19" s="396">
        <v>3800</v>
      </c>
      <c r="C19" s="397" t="s">
        <v>507</v>
      </c>
      <c r="D19" s="393" t="s">
        <v>507</v>
      </c>
    </row>
    <row r="20" spans="1:4" ht="21.75" customHeight="1" x14ac:dyDescent="0.25">
      <c r="A20" s="431" t="s">
        <v>794</v>
      </c>
      <c r="B20" s="432"/>
      <c r="C20" s="433"/>
      <c r="D20" s="483">
        <v>71</v>
      </c>
    </row>
    <row r="21" spans="1:4" ht="21.75" customHeight="1" x14ac:dyDescent="0.25">
      <c r="A21" s="221" t="s">
        <v>795</v>
      </c>
    </row>
    <row r="22" spans="1:4" ht="21.75" customHeight="1" x14ac:dyDescent="0.25">
      <c r="A22" s="221" t="s">
        <v>796</v>
      </c>
    </row>
    <row r="23" spans="1:4" ht="21.75" customHeight="1" x14ac:dyDescent="0.25">
      <c r="A23" s="221" t="s">
        <v>797</v>
      </c>
    </row>
  </sheetData>
  <sheetProtection objects="1"/>
  <mergeCells count="3">
    <mergeCell ref="B8:B9"/>
    <mergeCell ref="A8:A9"/>
    <mergeCell ref="C8:D8"/>
  </mergeCells>
  <phoneticPr fontId="0" type="noConversion"/>
  <pageMargins left="0.61" right="0.52" top="0.8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5"/>
  <dimension ref="A1:D26"/>
  <sheetViews>
    <sheetView view="pageBreakPreview" topLeftCell="A10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736</v>
      </c>
    </row>
    <row r="4" spans="1:4" ht="21.75" customHeight="1" x14ac:dyDescent="0.25">
      <c r="A4" s="385" t="s">
        <v>525</v>
      </c>
    </row>
    <row r="6" spans="1:4" s="387" customFormat="1" ht="21.75" customHeight="1" x14ac:dyDescent="0.25">
      <c r="A6" s="386" t="s">
        <v>799</v>
      </c>
      <c r="B6" s="404"/>
      <c r="C6" s="404"/>
    </row>
    <row r="7" spans="1:4" ht="21.75" customHeight="1" x14ac:dyDescent="0.25">
      <c r="A7" s="403"/>
      <c r="B7" s="403"/>
      <c r="C7" s="403"/>
    </row>
    <row r="8" spans="1:4" ht="21.7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30" customHeight="1" x14ac:dyDescent="0.25">
      <c r="A9" s="686"/>
      <c r="B9" s="687"/>
      <c r="C9" s="405" t="s">
        <v>503</v>
      </c>
      <c r="D9" s="405" t="s">
        <v>504</v>
      </c>
    </row>
    <row r="10" spans="1:4" ht="21.75" customHeight="1" x14ac:dyDescent="0.25">
      <c r="A10" s="399" t="s">
        <v>519</v>
      </c>
      <c r="B10" s="406"/>
      <c r="C10" s="407"/>
      <c r="D10" s="408"/>
    </row>
    <row r="11" spans="1:4" ht="21.75" customHeight="1" x14ac:dyDescent="0.25">
      <c r="A11" s="410" t="s">
        <v>526</v>
      </c>
      <c r="B11" s="411">
        <v>8226</v>
      </c>
      <c r="C11" s="412" t="s">
        <v>507</v>
      </c>
      <c r="D11" s="413" t="s">
        <v>507</v>
      </c>
    </row>
    <row r="12" spans="1:4" ht="21.75" customHeight="1" x14ac:dyDescent="0.25">
      <c r="A12" s="410" t="s">
        <v>527</v>
      </c>
      <c r="B12" s="411">
        <v>4491</v>
      </c>
      <c r="C12" s="412" t="s">
        <v>507</v>
      </c>
      <c r="D12" s="413" t="s">
        <v>507</v>
      </c>
    </row>
    <row r="13" spans="1:4" ht="21.75" customHeight="1" x14ac:dyDescent="0.25">
      <c r="A13" s="410" t="s">
        <v>528</v>
      </c>
      <c r="B13" s="411">
        <v>14000</v>
      </c>
      <c r="C13" s="412" t="s">
        <v>507</v>
      </c>
      <c r="D13" s="413" t="s">
        <v>507</v>
      </c>
    </row>
    <row r="14" spans="1:4" ht="21.75" customHeight="1" x14ac:dyDescent="0.25">
      <c r="A14" s="414" t="s">
        <v>529</v>
      </c>
      <c r="B14" s="415">
        <v>50609</v>
      </c>
      <c r="C14" s="412" t="s">
        <v>507</v>
      </c>
      <c r="D14" s="417" t="s">
        <v>507</v>
      </c>
    </row>
    <row r="15" spans="1:4" ht="21.75" customHeight="1" x14ac:dyDescent="0.25">
      <c r="A15" s="390" t="s">
        <v>512</v>
      </c>
      <c r="B15" s="411"/>
      <c r="C15" s="408"/>
      <c r="D15" s="402"/>
    </row>
    <row r="16" spans="1:4" ht="21.75" customHeight="1" x14ac:dyDescent="0.25">
      <c r="A16" s="410" t="s">
        <v>530</v>
      </c>
      <c r="B16" s="411">
        <v>4000</v>
      </c>
      <c r="C16" s="413" t="s">
        <v>514</v>
      </c>
      <c r="D16" s="393" t="s">
        <v>508</v>
      </c>
    </row>
    <row r="17" spans="1:4" ht="21.75" customHeight="1" x14ac:dyDescent="0.25">
      <c r="A17" s="410" t="s">
        <v>531</v>
      </c>
      <c r="B17" s="411">
        <v>15000</v>
      </c>
      <c r="C17" s="413" t="s">
        <v>514</v>
      </c>
      <c r="D17" s="393" t="s">
        <v>508</v>
      </c>
    </row>
    <row r="18" spans="1:4" ht="21.75" customHeight="1" x14ac:dyDescent="0.25">
      <c r="A18" s="414" t="s">
        <v>532</v>
      </c>
      <c r="B18" s="415">
        <v>5000</v>
      </c>
      <c r="C18" s="417" t="s">
        <v>514</v>
      </c>
      <c r="D18" s="398" t="s">
        <v>508</v>
      </c>
    </row>
    <row r="19" spans="1:4" ht="21.75" customHeight="1" x14ac:dyDescent="0.25">
      <c r="A19" s="390" t="s">
        <v>793</v>
      </c>
      <c r="B19" s="411"/>
      <c r="C19" s="408"/>
      <c r="D19" s="402"/>
    </row>
    <row r="20" spans="1:4" ht="21.75" customHeight="1" x14ac:dyDescent="0.25">
      <c r="A20" s="410" t="s">
        <v>530</v>
      </c>
      <c r="B20" s="411">
        <v>4000</v>
      </c>
      <c r="C20" s="413" t="s">
        <v>507</v>
      </c>
      <c r="D20" s="393" t="s">
        <v>507</v>
      </c>
    </row>
    <row r="21" spans="1:4" ht="21.75" customHeight="1" x14ac:dyDescent="0.25">
      <c r="A21" s="410" t="s">
        <v>531</v>
      </c>
      <c r="B21" s="411">
        <v>15000</v>
      </c>
      <c r="C21" s="413" t="s">
        <v>507</v>
      </c>
      <c r="D21" s="393" t="s">
        <v>507</v>
      </c>
    </row>
    <row r="22" spans="1:4" ht="21.75" customHeight="1" x14ac:dyDescent="0.25">
      <c r="A22" s="414" t="s">
        <v>532</v>
      </c>
      <c r="B22" s="415">
        <v>5000</v>
      </c>
      <c r="C22" s="417" t="s">
        <v>507</v>
      </c>
      <c r="D22" s="398" t="s">
        <v>507</v>
      </c>
    </row>
    <row r="23" spans="1:4" ht="21.75" customHeight="1" x14ac:dyDescent="0.25">
      <c r="A23" s="431" t="s">
        <v>794</v>
      </c>
      <c r="B23" s="432"/>
      <c r="C23" s="433"/>
      <c r="D23" s="483">
        <v>34</v>
      </c>
    </row>
    <row r="24" spans="1:4" ht="21.75" customHeight="1" x14ac:dyDescent="0.25">
      <c r="A24" s="221" t="s">
        <v>795</v>
      </c>
    </row>
    <row r="25" spans="1:4" ht="21.75" customHeight="1" x14ac:dyDescent="0.25">
      <c r="A25" s="221" t="s">
        <v>796</v>
      </c>
    </row>
    <row r="26" spans="1:4" ht="21.75" customHeight="1" x14ac:dyDescent="0.25">
      <c r="A26" s="221" t="s">
        <v>797</v>
      </c>
    </row>
  </sheetData>
  <sheetProtection objects="1"/>
  <mergeCells count="3">
    <mergeCell ref="A8:A9"/>
    <mergeCell ref="B8:B9"/>
    <mergeCell ref="C8:D8"/>
  </mergeCells>
  <phoneticPr fontId="0" type="noConversion"/>
  <pageMargins left="0.57999999999999996" right="0.52" top="0.8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6"/>
  <dimension ref="A1:D13"/>
  <sheetViews>
    <sheetView view="pageBreakPreview" topLeftCell="A6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737</v>
      </c>
    </row>
    <row r="4" spans="1:4" ht="21.75" customHeight="1" x14ac:dyDescent="0.25">
      <c r="A4" s="385" t="s">
        <v>533</v>
      </c>
    </row>
    <row r="6" spans="1:4" s="387" customFormat="1" ht="21.75" customHeight="1" x14ac:dyDescent="0.25">
      <c r="A6" s="386" t="s">
        <v>800</v>
      </c>
      <c r="B6" s="404"/>
      <c r="C6" s="404"/>
    </row>
    <row r="7" spans="1:4" ht="21.75" customHeight="1" x14ac:dyDescent="0.25">
      <c r="A7" s="403"/>
      <c r="B7" s="403"/>
      <c r="C7" s="403"/>
    </row>
    <row r="8" spans="1:4" ht="21.7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21.75" customHeight="1" x14ac:dyDescent="0.25">
      <c r="A9" s="686"/>
      <c r="B9" s="687"/>
      <c r="C9" s="405" t="s">
        <v>503</v>
      </c>
      <c r="D9" s="405" t="s">
        <v>504</v>
      </c>
    </row>
    <row r="10" spans="1:4" ht="21.75" customHeight="1" x14ac:dyDescent="0.25">
      <c r="A10" s="399" t="s">
        <v>519</v>
      </c>
      <c r="B10" s="406"/>
      <c r="C10" s="407"/>
      <c r="D10" s="408"/>
    </row>
    <row r="11" spans="1:4" ht="21.75" customHeight="1" x14ac:dyDescent="0.25">
      <c r="A11" s="410" t="s">
        <v>534</v>
      </c>
      <c r="B11" s="411">
        <v>24500</v>
      </c>
      <c r="C11" s="412" t="s">
        <v>507</v>
      </c>
      <c r="D11" s="413" t="s">
        <v>507</v>
      </c>
    </row>
    <row r="12" spans="1:4" ht="21.75" customHeight="1" x14ac:dyDescent="0.25">
      <c r="A12" s="414" t="s">
        <v>535</v>
      </c>
      <c r="B12" s="415">
        <v>9020</v>
      </c>
      <c r="C12" s="416" t="s">
        <v>507</v>
      </c>
      <c r="D12" s="417" t="s">
        <v>507</v>
      </c>
    </row>
    <row r="13" spans="1:4" ht="21.75" customHeight="1" x14ac:dyDescent="0.25">
      <c r="A13" s="431" t="s">
        <v>794</v>
      </c>
      <c r="B13" s="432"/>
      <c r="C13" s="433"/>
      <c r="D13" s="483">
        <v>47</v>
      </c>
    </row>
  </sheetData>
  <sheetProtection objects="1"/>
  <mergeCells count="3">
    <mergeCell ref="A8:A9"/>
    <mergeCell ref="B8:B9"/>
    <mergeCell ref="C8:D8"/>
  </mergeCells>
  <phoneticPr fontId="0" type="noConversion"/>
  <pageMargins left="0.61" right="0.52" top="0.77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7">
    <pageSetUpPr fitToPage="1"/>
  </sheetPr>
  <dimension ref="A1:D24"/>
  <sheetViews>
    <sheetView view="pageBreakPreview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738</v>
      </c>
    </row>
    <row r="4" spans="1:4" ht="21.75" customHeight="1" x14ac:dyDescent="0.25">
      <c r="A4" s="385" t="s">
        <v>536</v>
      </c>
    </row>
    <row r="6" spans="1:4" s="387" customFormat="1" ht="21.75" customHeight="1" x14ac:dyDescent="0.25">
      <c r="A6" s="386" t="s">
        <v>801</v>
      </c>
      <c r="B6" s="404"/>
      <c r="C6" s="404"/>
    </row>
    <row r="7" spans="1:4" ht="21.75" customHeight="1" x14ac:dyDescent="0.25">
      <c r="A7" s="403"/>
      <c r="B7" s="403"/>
      <c r="C7" s="403"/>
    </row>
    <row r="8" spans="1:4" ht="21.7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21.75" customHeight="1" x14ac:dyDescent="0.25">
      <c r="A9" s="686"/>
      <c r="B9" s="687"/>
      <c r="C9" s="405" t="s">
        <v>503</v>
      </c>
      <c r="D9" s="405" t="s">
        <v>504</v>
      </c>
    </row>
    <row r="10" spans="1:4" ht="21.75" customHeight="1" x14ac:dyDescent="0.25">
      <c r="A10" s="399" t="s">
        <v>519</v>
      </c>
      <c r="B10" s="406"/>
      <c r="C10" s="407"/>
      <c r="D10" s="408"/>
    </row>
    <row r="11" spans="1:4" ht="21.75" customHeight="1" x14ac:dyDescent="0.25">
      <c r="A11" s="414" t="s">
        <v>537</v>
      </c>
      <c r="B11" s="415">
        <v>2959</v>
      </c>
      <c r="C11" s="416" t="s">
        <v>507</v>
      </c>
      <c r="D11" s="417" t="s">
        <v>507</v>
      </c>
    </row>
    <row r="12" spans="1:4" ht="21.75" customHeight="1" x14ac:dyDescent="0.25">
      <c r="A12" s="399" t="s">
        <v>505</v>
      </c>
      <c r="B12" s="418"/>
      <c r="C12" s="408"/>
      <c r="D12" s="402"/>
    </row>
    <row r="13" spans="1:4" ht="21.75" customHeight="1" x14ac:dyDescent="0.25">
      <c r="A13" s="410" t="s">
        <v>538</v>
      </c>
      <c r="B13" s="411">
        <v>18100</v>
      </c>
      <c r="C13" s="413" t="s">
        <v>507</v>
      </c>
      <c r="D13" s="393" t="s">
        <v>514</v>
      </c>
    </row>
    <row r="14" spans="1:4" ht="21.75" customHeight="1" x14ac:dyDescent="0.25">
      <c r="A14" s="414" t="s">
        <v>539</v>
      </c>
      <c r="B14" s="415">
        <v>25910</v>
      </c>
      <c r="C14" s="413" t="s">
        <v>507</v>
      </c>
      <c r="D14" s="393" t="s">
        <v>514</v>
      </c>
    </row>
    <row r="15" spans="1:4" ht="21.75" customHeight="1" x14ac:dyDescent="0.25">
      <c r="A15" s="390" t="s">
        <v>512</v>
      </c>
      <c r="B15" s="411"/>
      <c r="C15" s="408"/>
      <c r="D15" s="402"/>
    </row>
    <row r="16" spans="1:4" ht="21.75" customHeight="1" x14ac:dyDescent="0.25">
      <c r="A16" s="410" t="s">
        <v>540</v>
      </c>
      <c r="B16" s="411">
        <v>4000</v>
      </c>
      <c r="C16" s="413" t="s">
        <v>514</v>
      </c>
      <c r="D16" s="393" t="s">
        <v>508</v>
      </c>
    </row>
    <row r="17" spans="1:4" ht="21.75" customHeight="1" x14ac:dyDescent="0.25">
      <c r="A17" s="414" t="s">
        <v>541</v>
      </c>
      <c r="B17" s="415">
        <v>15000</v>
      </c>
      <c r="C17" s="417" t="s">
        <v>514</v>
      </c>
      <c r="D17" s="398" t="s">
        <v>508</v>
      </c>
    </row>
    <row r="18" spans="1:4" ht="21.75" customHeight="1" x14ac:dyDescent="0.25">
      <c r="A18" s="390" t="s">
        <v>793</v>
      </c>
      <c r="B18" s="411"/>
      <c r="C18" s="408"/>
      <c r="D18" s="402"/>
    </row>
    <row r="19" spans="1:4" ht="21.75" customHeight="1" x14ac:dyDescent="0.25">
      <c r="A19" s="410" t="s">
        <v>540</v>
      </c>
      <c r="B19" s="411">
        <v>4000</v>
      </c>
      <c r="C19" s="413" t="s">
        <v>507</v>
      </c>
      <c r="D19" s="393" t="s">
        <v>507</v>
      </c>
    </row>
    <row r="20" spans="1:4" ht="21.75" customHeight="1" x14ac:dyDescent="0.25">
      <c r="A20" s="414" t="s">
        <v>541</v>
      </c>
      <c r="B20" s="415">
        <v>15000</v>
      </c>
      <c r="C20" s="417" t="s">
        <v>507</v>
      </c>
      <c r="D20" s="398" t="s">
        <v>507</v>
      </c>
    </row>
    <row r="21" spans="1:4" ht="21.75" customHeight="1" x14ac:dyDescent="0.25">
      <c r="A21" s="431" t="s">
        <v>794</v>
      </c>
      <c r="B21" s="432"/>
      <c r="C21" s="433"/>
      <c r="D21" s="483">
        <v>30</v>
      </c>
    </row>
    <row r="22" spans="1:4" ht="21.75" customHeight="1" x14ac:dyDescent="0.25">
      <c r="A22" s="221" t="s">
        <v>795</v>
      </c>
    </row>
    <row r="23" spans="1:4" ht="21.75" customHeight="1" x14ac:dyDescent="0.25">
      <c r="A23" s="221" t="s">
        <v>796</v>
      </c>
    </row>
    <row r="24" spans="1:4" ht="21.75" customHeight="1" x14ac:dyDescent="0.25">
      <c r="A24" s="221" t="s">
        <v>797</v>
      </c>
    </row>
  </sheetData>
  <sheetProtection objects="1"/>
  <mergeCells count="3">
    <mergeCell ref="A8:A9"/>
    <mergeCell ref="B8:B9"/>
    <mergeCell ref="C8:D8"/>
  </mergeCells>
  <phoneticPr fontId="0" type="noConversion"/>
  <pageMargins left="0.61" right="0.52" top="0.77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8"/>
  <dimension ref="A1:D34"/>
  <sheetViews>
    <sheetView view="pageBreakPreview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739</v>
      </c>
    </row>
    <row r="4" spans="1:4" ht="21.75" customHeight="1" x14ac:dyDescent="0.25">
      <c r="A4" s="385" t="s">
        <v>542</v>
      </c>
    </row>
    <row r="6" spans="1:4" s="387" customFormat="1" ht="21.75" customHeight="1" x14ac:dyDescent="0.25">
      <c r="A6" s="386" t="s">
        <v>802</v>
      </c>
      <c r="B6" s="404"/>
      <c r="C6" s="404"/>
    </row>
    <row r="7" spans="1:4" ht="21.75" customHeight="1" x14ac:dyDescent="0.25">
      <c r="A7" s="403"/>
      <c r="B7" s="403"/>
      <c r="C7" s="403"/>
    </row>
    <row r="8" spans="1:4" ht="17.2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17.25" customHeight="1" x14ac:dyDescent="0.25">
      <c r="A9" s="686"/>
      <c r="B9" s="687"/>
      <c r="C9" s="389" t="s">
        <v>503</v>
      </c>
      <c r="D9" s="389" t="s">
        <v>504</v>
      </c>
    </row>
    <row r="10" spans="1:4" ht="17.25" customHeight="1" x14ac:dyDescent="0.25">
      <c r="A10" s="390" t="s">
        <v>512</v>
      </c>
      <c r="B10" s="411"/>
      <c r="C10" s="413"/>
      <c r="D10" s="393"/>
    </row>
    <row r="11" spans="1:4" ht="17.25" customHeight="1" x14ac:dyDescent="0.25">
      <c r="A11" s="410" t="s">
        <v>544</v>
      </c>
      <c r="B11" s="411">
        <v>8000</v>
      </c>
      <c r="C11" s="413" t="s">
        <v>516</v>
      </c>
      <c r="D11" s="393" t="s">
        <v>517</v>
      </c>
    </row>
    <row r="12" spans="1:4" ht="17.25" customHeight="1" x14ac:dyDescent="0.25">
      <c r="A12" s="410" t="s">
        <v>545</v>
      </c>
      <c r="B12" s="411">
        <v>3000</v>
      </c>
      <c r="C12" s="413" t="s">
        <v>507</v>
      </c>
      <c r="D12" s="413" t="s">
        <v>507</v>
      </c>
    </row>
    <row r="13" spans="1:4" ht="17.25" customHeight="1" x14ac:dyDescent="0.25">
      <c r="A13" s="410" t="s">
        <v>546</v>
      </c>
      <c r="B13" s="411">
        <v>4000</v>
      </c>
      <c r="C13" s="413" t="s">
        <v>507</v>
      </c>
      <c r="D13" s="413" t="s">
        <v>507</v>
      </c>
    </row>
    <row r="14" spans="1:4" ht="17.25" customHeight="1" x14ac:dyDescent="0.25">
      <c r="A14" s="410" t="s">
        <v>547</v>
      </c>
      <c r="B14" s="411">
        <v>4000</v>
      </c>
      <c r="C14" s="413" t="s">
        <v>514</v>
      </c>
      <c r="D14" s="393" t="s">
        <v>508</v>
      </c>
    </row>
    <row r="15" spans="1:4" ht="17.25" customHeight="1" x14ac:dyDescent="0.25">
      <c r="A15" s="410" t="s">
        <v>548</v>
      </c>
      <c r="B15" s="411">
        <v>15000</v>
      </c>
      <c r="C15" s="413" t="s">
        <v>514</v>
      </c>
      <c r="D15" s="393" t="s">
        <v>508</v>
      </c>
    </row>
    <row r="16" spans="1:4" ht="17.25" customHeight="1" x14ac:dyDescent="0.25">
      <c r="A16" s="410" t="s">
        <v>549</v>
      </c>
      <c r="B16" s="411">
        <v>29000</v>
      </c>
      <c r="C16" s="413" t="s">
        <v>516</v>
      </c>
      <c r="D16" s="393" t="s">
        <v>517</v>
      </c>
    </row>
    <row r="17" spans="1:4" ht="17.25" customHeight="1" x14ac:dyDescent="0.25">
      <c r="A17" s="410" t="s">
        <v>543</v>
      </c>
      <c r="B17" s="411">
        <v>3600</v>
      </c>
      <c r="C17" s="413" t="s">
        <v>507</v>
      </c>
      <c r="D17" s="393" t="s">
        <v>507</v>
      </c>
    </row>
    <row r="18" spans="1:4" ht="17.25" customHeight="1" x14ac:dyDescent="0.25">
      <c r="A18" s="410" t="s">
        <v>550</v>
      </c>
      <c r="B18" s="411">
        <v>20000</v>
      </c>
      <c r="C18" s="413" t="s">
        <v>516</v>
      </c>
      <c r="D18" s="393" t="s">
        <v>517</v>
      </c>
    </row>
    <row r="19" spans="1:4" ht="17.25" customHeight="1" x14ac:dyDescent="0.25">
      <c r="A19" s="410" t="s">
        <v>551</v>
      </c>
      <c r="B19" s="411">
        <v>4000</v>
      </c>
      <c r="C19" s="413" t="s">
        <v>514</v>
      </c>
      <c r="D19" s="393" t="s">
        <v>508</v>
      </c>
    </row>
    <row r="20" spans="1:4" ht="17.25" customHeight="1" x14ac:dyDescent="0.25">
      <c r="A20" s="414" t="s">
        <v>552</v>
      </c>
      <c r="B20" s="415">
        <v>5000</v>
      </c>
      <c r="C20" s="417" t="s">
        <v>514</v>
      </c>
      <c r="D20" s="398" t="s">
        <v>508</v>
      </c>
    </row>
    <row r="21" spans="1:4" ht="17.25" customHeight="1" x14ac:dyDescent="0.25">
      <c r="A21" s="390" t="s">
        <v>793</v>
      </c>
      <c r="B21" s="411"/>
      <c r="C21" s="413"/>
      <c r="D21" s="393"/>
    </row>
    <row r="22" spans="1:4" ht="17.25" customHeight="1" x14ac:dyDescent="0.25">
      <c r="A22" s="410" t="s">
        <v>544</v>
      </c>
      <c r="B22" s="411">
        <v>8000</v>
      </c>
      <c r="C22" s="413" t="s">
        <v>507</v>
      </c>
      <c r="D22" s="393" t="s">
        <v>507</v>
      </c>
    </row>
    <row r="23" spans="1:4" ht="17.25" customHeight="1" x14ac:dyDescent="0.25">
      <c r="A23" s="410" t="s">
        <v>545</v>
      </c>
      <c r="B23" s="411">
        <v>3000</v>
      </c>
      <c r="C23" s="413" t="s">
        <v>507</v>
      </c>
      <c r="D23" s="393" t="s">
        <v>507</v>
      </c>
    </row>
    <row r="24" spans="1:4" ht="17.25" customHeight="1" x14ac:dyDescent="0.25">
      <c r="A24" s="410" t="s">
        <v>546</v>
      </c>
      <c r="B24" s="411">
        <v>4000</v>
      </c>
      <c r="C24" s="413" t="s">
        <v>507</v>
      </c>
      <c r="D24" s="393" t="s">
        <v>507</v>
      </c>
    </row>
    <row r="25" spans="1:4" ht="17.25" customHeight="1" x14ac:dyDescent="0.25">
      <c r="A25" s="410" t="s">
        <v>547</v>
      </c>
      <c r="B25" s="411">
        <v>4000</v>
      </c>
      <c r="C25" s="413" t="s">
        <v>507</v>
      </c>
      <c r="D25" s="393" t="s">
        <v>507</v>
      </c>
    </row>
    <row r="26" spans="1:4" ht="17.25" customHeight="1" x14ac:dyDescent="0.25">
      <c r="A26" s="410" t="s">
        <v>548</v>
      </c>
      <c r="B26" s="411">
        <v>15000</v>
      </c>
      <c r="C26" s="413" t="s">
        <v>507</v>
      </c>
      <c r="D26" s="393" t="s">
        <v>507</v>
      </c>
    </row>
    <row r="27" spans="1:4" ht="17.25" customHeight="1" x14ac:dyDescent="0.25">
      <c r="A27" s="410" t="s">
        <v>549</v>
      </c>
      <c r="B27" s="411">
        <v>29000</v>
      </c>
      <c r="C27" s="413" t="s">
        <v>507</v>
      </c>
      <c r="D27" s="393" t="s">
        <v>507</v>
      </c>
    </row>
    <row r="28" spans="1:4" ht="17.25" customHeight="1" x14ac:dyDescent="0.25">
      <c r="A28" s="410" t="s">
        <v>550</v>
      </c>
      <c r="B28" s="411">
        <v>20000</v>
      </c>
      <c r="C28" s="413" t="s">
        <v>507</v>
      </c>
      <c r="D28" s="393" t="s">
        <v>507</v>
      </c>
    </row>
    <row r="29" spans="1:4" ht="17.25" customHeight="1" x14ac:dyDescent="0.25">
      <c r="A29" s="410" t="s">
        <v>551</v>
      </c>
      <c r="B29" s="411">
        <v>4000</v>
      </c>
      <c r="C29" s="413" t="s">
        <v>507</v>
      </c>
      <c r="D29" s="393" t="s">
        <v>507</v>
      </c>
    </row>
    <row r="30" spans="1:4" ht="17.25" customHeight="1" x14ac:dyDescent="0.25">
      <c r="A30" s="414" t="s">
        <v>552</v>
      </c>
      <c r="B30" s="415">
        <v>5000</v>
      </c>
      <c r="C30" s="417" t="s">
        <v>507</v>
      </c>
      <c r="D30" s="398" t="s">
        <v>507</v>
      </c>
    </row>
    <row r="31" spans="1:4" ht="17.25" customHeight="1" x14ac:dyDescent="0.25">
      <c r="A31" s="431" t="s">
        <v>794</v>
      </c>
      <c r="B31" s="432"/>
      <c r="C31" s="433"/>
      <c r="D31" s="483">
        <v>46</v>
      </c>
    </row>
    <row r="32" spans="1:4" ht="17.25" customHeight="1" x14ac:dyDescent="0.25">
      <c r="A32" s="221" t="s">
        <v>795</v>
      </c>
    </row>
    <row r="33" spans="1:1" ht="17.25" customHeight="1" x14ac:dyDescent="0.25">
      <c r="A33" s="221" t="s">
        <v>796</v>
      </c>
    </row>
    <row r="34" spans="1:1" ht="17.25" customHeight="1" x14ac:dyDescent="0.25">
      <c r="A34" s="221" t="s">
        <v>797</v>
      </c>
    </row>
  </sheetData>
  <sheetProtection objects="1"/>
  <mergeCells count="3">
    <mergeCell ref="A8:A9"/>
    <mergeCell ref="B8:B9"/>
    <mergeCell ref="C8:D8"/>
  </mergeCells>
  <phoneticPr fontId="0" type="noConversion"/>
  <pageMargins left="0.61" right="0.52" top="0.8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9"/>
  <dimension ref="A1:D17"/>
  <sheetViews>
    <sheetView view="pageBreakPreview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740</v>
      </c>
    </row>
    <row r="4" spans="1:4" ht="21.75" customHeight="1" x14ac:dyDescent="0.25">
      <c r="A4" s="385" t="s">
        <v>553</v>
      </c>
    </row>
    <row r="6" spans="1:4" s="387" customFormat="1" ht="21.75" customHeight="1" x14ac:dyDescent="0.25">
      <c r="A6" s="386" t="s">
        <v>803</v>
      </c>
      <c r="B6" s="404"/>
      <c r="C6" s="404"/>
    </row>
    <row r="7" spans="1:4" ht="21.75" customHeight="1" x14ac:dyDescent="0.25">
      <c r="A7" s="403"/>
      <c r="B7" s="403"/>
      <c r="C7" s="403"/>
    </row>
    <row r="8" spans="1:4" ht="21.7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21.75" customHeight="1" x14ac:dyDescent="0.25">
      <c r="A9" s="686"/>
      <c r="B9" s="687"/>
      <c r="C9" s="405" t="s">
        <v>503</v>
      </c>
      <c r="D9" s="405" t="s">
        <v>504</v>
      </c>
    </row>
    <row r="10" spans="1:4" ht="21.75" customHeight="1" x14ac:dyDescent="0.25">
      <c r="A10" s="399" t="s">
        <v>519</v>
      </c>
      <c r="B10" s="406"/>
      <c r="C10" s="407"/>
      <c r="D10" s="408"/>
    </row>
    <row r="11" spans="1:4" ht="21.75" customHeight="1" x14ac:dyDescent="0.25">
      <c r="A11" s="410" t="s">
        <v>554</v>
      </c>
      <c r="B11" s="411">
        <v>19900</v>
      </c>
      <c r="C11" s="412" t="s">
        <v>507</v>
      </c>
      <c r="D11" s="413" t="s">
        <v>507</v>
      </c>
    </row>
    <row r="12" spans="1:4" ht="21.75" customHeight="1" x14ac:dyDescent="0.25">
      <c r="A12" s="410" t="s">
        <v>555</v>
      </c>
      <c r="B12" s="411">
        <v>30000</v>
      </c>
      <c r="C12" s="412" t="s">
        <v>507</v>
      </c>
      <c r="D12" s="413" t="s">
        <v>507</v>
      </c>
    </row>
    <row r="13" spans="1:4" ht="21.75" customHeight="1" x14ac:dyDescent="0.25">
      <c r="A13" s="414" t="s">
        <v>556</v>
      </c>
      <c r="B13" s="415">
        <v>50609</v>
      </c>
      <c r="C13" s="416" t="s">
        <v>507</v>
      </c>
      <c r="D13" s="417" t="s">
        <v>507</v>
      </c>
    </row>
    <row r="14" spans="1:4" ht="21.75" customHeight="1" x14ac:dyDescent="0.25">
      <c r="A14" s="399" t="s">
        <v>505</v>
      </c>
      <c r="B14" s="418"/>
      <c r="C14" s="408"/>
      <c r="D14" s="402"/>
    </row>
    <row r="15" spans="1:4" ht="21.75" customHeight="1" x14ac:dyDescent="0.25">
      <c r="A15" s="419" t="s">
        <v>557</v>
      </c>
      <c r="B15" s="419">
        <v>20427</v>
      </c>
      <c r="C15" s="413" t="s">
        <v>507</v>
      </c>
      <c r="D15" s="393" t="s">
        <v>514</v>
      </c>
    </row>
    <row r="16" spans="1:4" ht="21.75" customHeight="1" x14ac:dyDescent="0.25">
      <c r="A16" s="420" t="s">
        <v>558</v>
      </c>
      <c r="B16" s="420">
        <v>6090</v>
      </c>
      <c r="C16" s="417" t="s">
        <v>507</v>
      </c>
      <c r="D16" s="398" t="s">
        <v>507</v>
      </c>
    </row>
    <row r="17" spans="1:4" ht="21.75" customHeight="1" x14ac:dyDescent="0.25">
      <c r="A17" s="431" t="s">
        <v>794</v>
      </c>
      <c r="B17" s="432"/>
      <c r="C17" s="433"/>
      <c r="D17" s="483">
        <v>35</v>
      </c>
    </row>
  </sheetData>
  <sheetProtection objects="1"/>
  <mergeCells count="3">
    <mergeCell ref="A8:A9"/>
    <mergeCell ref="B8:B9"/>
    <mergeCell ref="C8:D8"/>
  </mergeCells>
  <phoneticPr fontId="0" type="noConversion"/>
  <pageMargins left="0.61" right="0.52" top="0.8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8">
    <pageSetUpPr fitToPage="1"/>
  </sheetPr>
  <dimension ref="A1:V31"/>
  <sheetViews>
    <sheetView showGridLines="0" showZeros="0" view="pageBreakPreview" zoomScale="60" zoomScaleNormal="87" workbookViewId="0">
      <selection activeCell="A2" sqref="A2"/>
    </sheetView>
  </sheetViews>
  <sheetFormatPr defaultColWidth="12.54296875" defaultRowHeight="15.5" x14ac:dyDescent="0.35"/>
  <cols>
    <col min="1" max="1" width="47.7265625" style="495" customWidth="1"/>
    <col min="2" max="2" width="11.1796875" style="495" bestFit="1" customWidth="1"/>
    <col min="3" max="10" width="9.81640625" style="495" bestFit="1" customWidth="1"/>
    <col min="11" max="17" width="8.7265625" style="495" bestFit="1" customWidth="1"/>
    <col min="18" max="18" width="9.81640625" style="495" bestFit="1" customWidth="1"/>
    <col min="19" max="19" width="8.7265625" style="495" bestFit="1" customWidth="1"/>
    <col min="20" max="20" width="9.81640625" style="495" bestFit="1" customWidth="1"/>
    <col min="21" max="21" width="8.7265625" style="495" bestFit="1" customWidth="1"/>
    <col min="22" max="22" width="9.81640625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30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&amp;TECNOLOGIAS!$A$8</f>
        <v>VEÍCULO  Básico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>
        <v>784</v>
      </c>
      <c r="C16" s="44">
        <v>0</v>
      </c>
      <c r="D16" s="44">
        <v>34</v>
      </c>
      <c r="E16" s="44">
        <v>0</v>
      </c>
      <c r="F16" s="44">
        <v>30</v>
      </c>
      <c r="G16" s="44">
        <v>0</v>
      </c>
      <c r="H16" s="44">
        <v>12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4</v>
      </c>
      <c r="O16" s="44">
        <v>0</v>
      </c>
      <c r="P16" s="44">
        <v>8</v>
      </c>
      <c r="Q16" s="44">
        <v>0</v>
      </c>
      <c r="R16" s="44">
        <v>12</v>
      </c>
      <c r="S16" s="44">
        <v>0</v>
      </c>
      <c r="T16" s="44">
        <v>14</v>
      </c>
      <c r="U16" s="44">
        <v>0</v>
      </c>
      <c r="V16" s="44">
        <f>'5B'!V13</f>
        <v>0</v>
      </c>
    </row>
    <row r="17" spans="1:22" x14ac:dyDescent="0.35">
      <c r="A17" s="286" t="s">
        <v>365</v>
      </c>
      <c r="B17" s="44">
        <v>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</row>
    <row r="18" spans="1:22" x14ac:dyDescent="0.35">
      <c r="A18" s="44" t="s">
        <v>25</v>
      </c>
      <c r="B18" s="44">
        <f>0.35*'8'!$B$12</f>
        <v>35000</v>
      </c>
      <c r="C18" s="44">
        <f>'8'!$B$12</f>
        <v>100000</v>
      </c>
      <c r="D18" s="44">
        <f>'8'!$B$12</f>
        <v>100000</v>
      </c>
      <c r="E18" s="44">
        <f>'8'!$B$12</f>
        <v>100000</v>
      </c>
      <c r="F18" s="44">
        <f>'8'!$B$12</f>
        <v>100000</v>
      </c>
      <c r="G18" s="44">
        <f>'8'!$B$12</f>
        <v>100000</v>
      </c>
      <c r="H18" s="44">
        <f>'8'!$B$12</f>
        <v>100000</v>
      </c>
      <c r="I18" s="44">
        <f>'8'!$B$12</f>
        <v>100000</v>
      </c>
      <c r="J18" s="44">
        <f>'8'!$B$12</f>
        <v>100000</v>
      </c>
      <c r="K18" s="44">
        <f>'8'!$B$12</f>
        <v>100000</v>
      </c>
      <c r="L18" s="44">
        <f>'8'!$B$12</f>
        <v>100000</v>
      </c>
      <c r="M18" s="44">
        <f>'8'!$B$12</f>
        <v>100000</v>
      </c>
      <c r="N18" s="44">
        <f>'8'!$B$12</f>
        <v>100000</v>
      </c>
      <c r="O18" s="44">
        <f>'8'!$B$12</f>
        <v>100000</v>
      </c>
      <c r="P18" s="44">
        <f>'8'!$B$12</f>
        <v>100000</v>
      </c>
      <c r="Q18" s="44">
        <f>'8'!$B$12</f>
        <v>100000</v>
      </c>
      <c r="R18" s="44">
        <f>'8'!$B$12</f>
        <v>100000</v>
      </c>
      <c r="S18" s="44">
        <f>'8'!$B$12</f>
        <v>100000</v>
      </c>
      <c r="T18" s="44">
        <f>'8'!$B$12</f>
        <v>100000</v>
      </c>
      <c r="U18" s="44">
        <f>'8'!$B$12</f>
        <v>100000</v>
      </c>
      <c r="V18" s="44">
        <f>'8'!$B$12</f>
        <v>100000</v>
      </c>
    </row>
    <row r="19" spans="1:22" x14ac:dyDescent="0.35">
      <c r="A19" s="44" t="s">
        <v>26</v>
      </c>
      <c r="B19" s="45">
        <f>ROUND(+B18*B16,2)</f>
        <v>27440000</v>
      </c>
      <c r="C19" s="45">
        <f t="shared" ref="C19:L19" si="0">ROUND(+C18*C16,2)</f>
        <v>0</v>
      </c>
      <c r="D19" s="45">
        <f t="shared" si="0"/>
        <v>3400000</v>
      </c>
      <c r="E19" s="45">
        <f t="shared" si="0"/>
        <v>0</v>
      </c>
      <c r="F19" s="45">
        <f t="shared" si="0"/>
        <v>3000000</v>
      </c>
      <c r="G19" s="45">
        <f t="shared" si="0"/>
        <v>0</v>
      </c>
      <c r="H19" s="45">
        <f t="shared" si="0"/>
        <v>1200000</v>
      </c>
      <c r="I19" s="45">
        <f t="shared" si="0"/>
        <v>0</v>
      </c>
      <c r="J19" s="45">
        <f t="shared" si="0"/>
        <v>0</v>
      </c>
      <c r="K19" s="45">
        <f t="shared" si="0"/>
        <v>0</v>
      </c>
      <c r="L19" s="45">
        <f t="shared" si="0"/>
        <v>0</v>
      </c>
      <c r="M19" s="45">
        <f t="shared" ref="M19:V19" si="1">ROUND(+M18*M16,2)</f>
        <v>0</v>
      </c>
      <c r="N19" s="45">
        <f t="shared" si="1"/>
        <v>400000</v>
      </c>
      <c r="O19" s="45">
        <f t="shared" si="1"/>
        <v>0</v>
      </c>
      <c r="P19" s="45">
        <f t="shared" si="1"/>
        <v>800000</v>
      </c>
      <c r="Q19" s="45">
        <f t="shared" si="1"/>
        <v>0</v>
      </c>
      <c r="R19" s="45">
        <f t="shared" si="1"/>
        <v>1200000</v>
      </c>
      <c r="S19" s="45">
        <f t="shared" si="1"/>
        <v>0</v>
      </c>
      <c r="T19" s="45">
        <f t="shared" si="1"/>
        <v>1400000</v>
      </c>
      <c r="U19" s="45">
        <f t="shared" si="1"/>
        <v>0</v>
      </c>
      <c r="V19" s="45">
        <f t="shared" si="1"/>
        <v>0</v>
      </c>
    </row>
    <row r="20" spans="1:22" x14ac:dyDescent="0.35">
      <c r="A20" s="44" t="s">
        <v>27</v>
      </c>
      <c r="B20" s="44">
        <v>10</v>
      </c>
      <c r="C20" s="44">
        <v>10</v>
      </c>
      <c r="D20" s="44">
        <v>10</v>
      </c>
      <c r="E20" s="44">
        <v>10</v>
      </c>
      <c r="F20" s="44">
        <v>10</v>
      </c>
      <c r="G20" s="44">
        <v>10</v>
      </c>
      <c r="H20" s="44">
        <v>10</v>
      </c>
      <c r="I20" s="44">
        <v>10</v>
      </c>
      <c r="J20" s="44">
        <v>10</v>
      </c>
      <c r="K20" s="44">
        <v>10</v>
      </c>
      <c r="L20" s="44">
        <v>10</v>
      </c>
      <c r="M20" s="44">
        <v>10</v>
      </c>
      <c r="N20" s="44">
        <v>10</v>
      </c>
      <c r="O20" s="44">
        <v>10</v>
      </c>
      <c r="P20" s="44">
        <v>10</v>
      </c>
      <c r="Q20" s="44">
        <v>10</v>
      </c>
      <c r="R20" s="44">
        <v>10</v>
      </c>
      <c r="S20" s="44">
        <v>10</v>
      </c>
      <c r="T20" s="44">
        <v>10</v>
      </c>
      <c r="U20" s="44">
        <v>10</v>
      </c>
      <c r="V20" s="44">
        <v>10</v>
      </c>
    </row>
    <row r="21" spans="1:22" x14ac:dyDescent="0.35">
      <c r="A21" s="44" t="s">
        <v>228</v>
      </c>
      <c r="B21" s="166">
        <f>+B20-B17</f>
        <v>4</v>
      </c>
      <c r="C21" s="166">
        <f>+C20-C17</f>
        <v>10</v>
      </c>
      <c r="D21" s="166">
        <f>+D20-D17</f>
        <v>10</v>
      </c>
      <c r="E21" s="166">
        <f>+E20-E17</f>
        <v>10</v>
      </c>
      <c r="F21" s="166">
        <f>+F20-F17</f>
        <v>10</v>
      </c>
      <c r="G21" s="166">
        <f t="shared" ref="G21:L21" si="2">+G20-G17</f>
        <v>10</v>
      </c>
      <c r="H21" s="166">
        <f t="shared" si="2"/>
        <v>10</v>
      </c>
      <c r="I21" s="166">
        <f t="shared" si="2"/>
        <v>10</v>
      </c>
      <c r="J21" s="166">
        <f t="shared" si="2"/>
        <v>10</v>
      </c>
      <c r="K21" s="166">
        <f t="shared" si="2"/>
        <v>10</v>
      </c>
      <c r="L21" s="166">
        <f t="shared" si="2"/>
        <v>10</v>
      </c>
      <c r="M21" s="166">
        <f t="shared" ref="M21:V21" si="3">+M20-M17</f>
        <v>10</v>
      </c>
      <c r="N21" s="166">
        <f t="shared" si="3"/>
        <v>10</v>
      </c>
      <c r="O21" s="166">
        <f t="shared" si="3"/>
        <v>10</v>
      </c>
      <c r="P21" s="166">
        <f t="shared" si="3"/>
        <v>10</v>
      </c>
      <c r="Q21" s="166">
        <f t="shared" si="3"/>
        <v>10</v>
      </c>
      <c r="R21" s="166">
        <f t="shared" si="3"/>
        <v>10</v>
      </c>
      <c r="S21" s="166">
        <f t="shared" si="3"/>
        <v>10</v>
      </c>
      <c r="T21" s="166">
        <f t="shared" si="3"/>
        <v>10</v>
      </c>
      <c r="U21" s="166">
        <f t="shared" si="3"/>
        <v>10</v>
      </c>
      <c r="V21" s="166">
        <f t="shared" si="3"/>
        <v>10</v>
      </c>
    </row>
    <row r="22" spans="1:22" x14ac:dyDescent="0.35">
      <c r="A22" s="44" t="s">
        <v>229</v>
      </c>
      <c r="B22" s="566">
        <v>0.2</v>
      </c>
      <c r="C22" s="566">
        <v>0.2</v>
      </c>
      <c r="D22" s="566">
        <v>0.2</v>
      </c>
      <c r="E22" s="566">
        <v>0.2</v>
      </c>
      <c r="F22" s="566">
        <v>0.2</v>
      </c>
      <c r="G22" s="566">
        <v>0.2</v>
      </c>
      <c r="H22" s="566">
        <v>0.2</v>
      </c>
      <c r="I22" s="566">
        <v>0.2</v>
      </c>
      <c r="J22" s="566">
        <v>0.2</v>
      </c>
      <c r="K22" s="566">
        <v>0.2</v>
      </c>
      <c r="L22" s="566">
        <v>0.2</v>
      </c>
      <c r="M22" s="566">
        <v>0.2</v>
      </c>
      <c r="N22" s="566">
        <v>0.2</v>
      </c>
      <c r="O22" s="566">
        <v>0.2</v>
      </c>
      <c r="P22" s="566">
        <v>0.2</v>
      </c>
      <c r="Q22" s="566">
        <v>0.2</v>
      </c>
      <c r="R22" s="566">
        <v>0.2</v>
      </c>
      <c r="S22" s="566">
        <v>0.2</v>
      </c>
      <c r="T22" s="566">
        <v>0.2</v>
      </c>
      <c r="U22" s="566">
        <v>0.2</v>
      </c>
      <c r="V22" s="566">
        <v>0.2</v>
      </c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>
        <v>0</v>
      </c>
      <c r="C27" s="44">
        <v>88</v>
      </c>
      <c r="D27" s="44">
        <v>112</v>
      </c>
      <c r="E27" s="44">
        <v>79</v>
      </c>
      <c r="F27" s="44">
        <v>121</v>
      </c>
      <c r="G27" s="44">
        <v>91</v>
      </c>
      <c r="H27" s="44">
        <v>103</v>
      </c>
      <c r="I27" s="44">
        <v>90</v>
      </c>
      <c r="J27" s="44">
        <v>96</v>
      </c>
      <c r="K27" s="44">
        <v>0</v>
      </c>
      <c r="L27" s="44">
        <v>0</v>
      </c>
      <c r="M27" s="44">
        <v>0</v>
      </c>
      <c r="N27" s="44">
        <v>4</v>
      </c>
      <c r="O27" s="44">
        <v>0</v>
      </c>
      <c r="P27" s="44">
        <v>8</v>
      </c>
      <c r="Q27" s="44">
        <v>0</v>
      </c>
      <c r="R27" s="44">
        <v>12</v>
      </c>
      <c r="S27" s="44">
        <v>0</v>
      </c>
      <c r="T27" s="44">
        <v>14</v>
      </c>
      <c r="U27" s="44">
        <v>0</v>
      </c>
      <c r="V27" s="44">
        <v>80</v>
      </c>
    </row>
    <row r="28" spans="1:22" x14ac:dyDescent="0.35">
      <c r="A28" s="44" t="s">
        <v>231</v>
      </c>
      <c r="B28" s="44"/>
      <c r="C28" s="44">
        <f>0.2*C18</f>
        <v>20000</v>
      </c>
      <c r="D28" s="44">
        <f t="shared" ref="D28:U28" si="4">0.2*D18</f>
        <v>20000</v>
      </c>
      <c r="E28" s="44">
        <f t="shared" si="4"/>
        <v>20000</v>
      </c>
      <c r="F28" s="44">
        <f t="shared" si="4"/>
        <v>20000</v>
      </c>
      <c r="G28" s="44">
        <f t="shared" si="4"/>
        <v>20000</v>
      </c>
      <c r="H28" s="44">
        <f t="shared" si="4"/>
        <v>20000</v>
      </c>
      <c r="I28" s="44">
        <f t="shared" si="4"/>
        <v>20000</v>
      </c>
      <c r="J28" s="44">
        <f t="shared" si="4"/>
        <v>20000</v>
      </c>
      <c r="K28" s="44">
        <f t="shared" si="4"/>
        <v>20000</v>
      </c>
      <c r="L28" s="44">
        <f t="shared" si="4"/>
        <v>20000</v>
      </c>
      <c r="M28" s="44">
        <f t="shared" si="4"/>
        <v>20000</v>
      </c>
      <c r="N28" s="44">
        <f t="shared" si="4"/>
        <v>20000</v>
      </c>
      <c r="O28" s="44">
        <f t="shared" si="4"/>
        <v>20000</v>
      </c>
      <c r="P28" s="44">
        <f t="shared" si="4"/>
        <v>20000</v>
      </c>
      <c r="Q28" s="44">
        <f t="shared" si="4"/>
        <v>20000</v>
      </c>
      <c r="R28" s="44">
        <f t="shared" si="4"/>
        <v>20000</v>
      </c>
      <c r="S28" s="44">
        <f t="shared" si="4"/>
        <v>20000</v>
      </c>
      <c r="T28" s="44">
        <f t="shared" si="4"/>
        <v>20000</v>
      </c>
      <c r="U28" s="44">
        <f t="shared" si="4"/>
        <v>20000</v>
      </c>
      <c r="V28" s="44">
        <f>0.4*V18</f>
        <v>40000</v>
      </c>
    </row>
    <row r="29" spans="1:22" x14ac:dyDescent="0.35">
      <c r="A29" s="44" t="s">
        <v>232</v>
      </c>
      <c r="B29" s="45">
        <f>ROUND(B27*B28,2)</f>
        <v>0</v>
      </c>
      <c r="C29" s="45">
        <f t="shared" ref="C29:L29" si="5">ROUND(C27*C28,2)</f>
        <v>1760000</v>
      </c>
      <c r="D29" s="45">
        <f t="shared" si="5"/>
        <v>2240000</v>
      </c>
      <c r="E29" s="45">
        <f t="shared" si="5"/>
        <v>1580000</v>
      </c>
      <c r="F29" s="45">
        <f t="shared" si="5"/>
        <v>2420000</v>
      </c>
      <c r="G29" s="45">
        <f t="shared" si="5"/>
        <v>1820000</v>
      </c>
      <c r="H29" s="45">
        <f t="shared" si="5"/>
        <v>2060000</v>
      </c>
      <c r="I29" s="45">
        <f t="shared" si="5"/>
        <v>1800000</v>
      </c>
      <c r="J29" s="45">
        <f t="shared" si="5"/>
        <v>1920000</v>
      </c>
      <c r="K29" s="45">
        <f t="shared" si="5"/>
        <v>0</v>
      </c>
      <c r="L29" s="45">
        <f t="shared" si="5"/>
        <v>0</v>
      </c>
      <c r="M29" s="45">
        <f t="shared" ref="M29:V29" si="6">ROUND(M27*M28,2)</f>
        <v>0</v>
      </c>
      <c r="N29" s="45">
        <f t="shared" si="6"/>
        <v>80000</v>
      </c>
      <c r="O29" s="45">
        <f t="shared" si="6"/>
        <v>0</v>
      </c>
      <c r="P29" s="45">
        <f t="shared" si="6"/>
        <v>160000</v>
      </c>
      <c r="Q29" s="45">
        <f t="shared" si="6"/>
        <v>0</v>
      </c>
      <c r="R29" s="45">
        <f t="shared" si="6"/>
        <v>240000</v>
      </c>
      <c r="S29" s="45">
        <f t="shared" si="6"/>
        <v>0</v>
      </c>
      <c r="T29" s="45">
        <f t="shared" si="6"/>
        <v>280000</v>
      </c>
      <c r="U29" s="45">
        <f t="shared" si="6"/>
        <v>0</v>
      </c>
      <c r="V29" s="45">
        <f t="shared" si="6"/>
        <v>3200000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2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0"/>
  <dimension ref="A1:D26"/>
  <sheetViews>
    <sheetView view="pageBreakPreview" zoomScale="60" zoomScaleNormal="100" workbookViewId="0"/>
  </sheetViews>
  <sheetFormatPr defaultColWidth="9.1796875" defaultRowHeight="21.75" customHeight="1" x14ac:dyDescent="0.25"/>
  <cols>
    <col min="1" max="1" width="21.453125" style="221" customWidth="1"/>
    <col min="2" max="2" width="17.7265625" style="221" hidden="1" customWidth="1"/>
    <col min="3" max="4" width="20.1796875" style="221" customWidth="1"/>
    <col min="5" max="5" width="9.1796875" style="221"/>
    <col min="6" max="6" width="5" style="221" customWidth="1"/>
    <col min="7" max="16384" width="9.1796875" style="221"/>
  </cols>
  <sheetData>
    <row r="1" spans="1:4" ht="13.5" customHeight="1" x14ac:dyDescent="0.25">
      <c r="A1" s="221" t="str">
        <f>TECNOLOGIAS!A1</f>
        <v>Proponente: TransPolitécnica</v>
      </c>
    </row>
    <row r="2" spans="1:4" ht="13.5" customHeight="1" x14ac:dyDescent="0.25">
      <c r="A2" s="221" t="s">
        <v>741</v>
      </c>
    </row>
    <row r="4" spans="1:4" ht="21.75" customHeight="1" x14ac:dyDescent="0.25">
      <c r="A4" s="385" t="s">
        <v>559</v>
      </c>
    </row>
    <row r="6" spans="1:4" s="387" customFormat="1" ht="21.75" customHeight="1" x14ac:dyDescent="0.25">
      <c r="A6" s="386" t="s">
        <v>804</v>
      </c>
      <c r="B6" s="404"/>
      <c r="C6" s="404"/>
    </row>
    <row r="7" spans="1:4" ht="21.75" customHeight="1" x14ac:dyDescent="0.25">
      <c r="A7" s="403"/>
      <c r="B7" s="403"/>
      <c r="C7" s="403"/>
    </row>
    <row r="8" spans="1:4" ht="21.75" customHeight="1" x14ac:dyDescent="0.25">
      <c r="A8" s="685" t="s">
        <v>502</v>
      </c>
      <c r="B8" s="684" t="s">
        <v>699</v>
      </c>
      <c r="C8" s="684" t="s">
        <v>805</v>
      </c>
      <c r="D8" s="684"/>
    </row>
    <row r="9" spans="1:4" ht="21.75" customHeight="1" x14ac:dyDescent="0.25">
      <c r="A9" s="686"/>
      <c r="B9" s="687"/>
      <c r="C9" s="405" t="s">
        <v>503</v>
      </c>
      <c r="D9" s="405" t="s">
        <v>504</v>
      </c>
    </row>
    <row r="10" spans="1:4" ht="21.75" customHeight="1" x14ac:dyDescent="0.25">
      <c r="A10" s="399" t="s">
        <v>519</v>
      </c>
      <c r="B10" s="406"/>
      <c r="C10" s="407"/>
      <c r="D10" s="408"/>
    </row>
    <row r="11" spans="1:4" ht="21.75" customHeight="1" x14ac:dyDescent="0.25">
      <c r="A11" s="414" t="s">
        <v>560</v>
      </c>
      <c r="B11" s="411">
        <v>14000</v>
      </c>
      <c r="C11" s="412" t="s">
        <v>507</v>
      </c>
      <c r="D11" s="413" t="s">
        <v>507</v>
      </c>
    </row>
    <row r="12" spans="1:4" ht="21.75" customHeight="1" x14ac:dyDescent="0.25">
      <c r="A12" s="390" t="s">
        <v>512</v>
      </c>
      <c r="B12" s="411"/>
      <c r="C12" s="408"/>
      <c r="D12" s="402"/>
    </row>
    <row r="13" spans="1:4" ht="21.75" customHeight="1" x14ac:dyDescent="0.25">
      <c r="A13" s="394" t="s">
        <v>561</v>
      </c>
      <c r="B13" s="391">
        <v>10000</v>
      </c>
      <c r="C13" s="392" t="s">
        <v>514</v>
      </c>
      <c r="D13" s="393" t="s">
        <v>508</v>
      </c>
    </row>
    <row r="14" spans="1:4" ht="21.75" customHeight="1" x14ac:dyDescent="0.25">
      <c r="A14" s="421" t="s">
        <v>562</v>
      </c>
      <c r="B14" s="422">
        <v>10000</v>
      </c>
      <c r="C14" s="392" t="s">
        <v>517</v>
      </c>
      <c r="D14" s="393" t="s">
        <v>507</v>
      </c>
    </row>
    <row r="15" spans="1:4" ht="21.75" customHeight="1" x14ac:dyDescent="0.25">
      <c r="A15" s="394" t="s">
        <v>563</v>
      </c>
      <c r="B15" s="391">
        <v>13000</v>
      </c>
      <c r="C15" s="392" t="s">
        <v>514</v>
      </c>
      <c r="D15" s="393" t="s">
        <v>508</v>
      </c>
    </row>
    <row r="16" spans="1:4" ht="21.75" customHeight="1" x14ac:dyDescent="0.25">
      <c r="A16" s="394" t="s">
        <v>564</v>
      </c>
      <c r="B16" s="391">
        <v>3500</v>
      </c>
      <c r="C16" s="392" t="s">
        <v>514</v>
      </c>
      <c r="D16" s="393" t="s">
        <v>508</v>
      </c>
    </row>
    <row r="17" spans="1:4" ht="21.75" customHeight="1" x14ac:dyDescent="0.25">
      <c r="A17" s="395" t="s">
        <v>565</v>
      </c>
      <c r="B17" s="396">
        <v>9000</v>
      </c>
      <c r="C17" s="397" t="s">
        <v>514</v>
      </c>
      <c r="D17" s="398" t="s">
        <v>508</v>
      </c>
    </row>
    <row r="18" spans="1:4" ht="21.75" customHeight="1" x14ac:dyDescent="0.25">
      <c r="A18" s="390" t="s">
        <v>793</v>
      </c>
      <c r="B18" s="411"/>
      <c r="C18" s="408"/>
      <c r="D18" s="402"/>
    </row>
    <row r="19" spans="1:4" ht="21.75" customHeight="1" x14ac:dyDescent="0.25">
      <c r="A19" s="394" t="s">
        <v>561</v>
      </c>
      <c r="B19" s="391">
        <v>10000</v>
      </c>
      <c r="C19" s="392" t="s">
        <v>507</v>
      </c>
      <c r="D19" s="393" t="s">
        <v>507</v>
      </c>
    </row>
    <row r="20" spans="1:4" ht="21.75" customHeight="1" x14ac:dyDescent="0.25">
      <c r="A20" s="394" t="s">
        <v>563</v>
      </c>
      <c r="B20" s="391">
        <v>13000</v>
      </c>
      <c r="C20" s="392" t="s">
        <v>507</v>
      </c>
      <c r="D20" s="393" t="s">
        <v>507</v>
      </c>
    </row>
    <row r="21" spans="1:4" ht="21.75" customHeight="1" x14ac:dyDescent="0.25">
      <c r="A21" s="394" t="s">
        <v>564</v>
      </c>
      <c r="B21" s="391">
        <v>3500</v>
      </c>
      <c r="C21" s="392" t="s">
        <v>507</v>
      </c>
      <c r="D21" s="393" t="s">
        <v>507</v>
      </c>
    </row>
    <row r="22" spans="1:4" ht="21.75" customHeight="1" x14ac:dyDescent="0.25">
      <c r="A22" s="395" t="s">
        <v>565</v>
      </c>
      <c r="B22" s="396">
        <v>9000</v>
      </c>
      <c r="C22" s="397" t="s">
        <v>507</v>
      </c>
      <c r="D22" s="398" t="s">
        <v>507</v>
      </c>
    </row>
    <row r="23" spans="1:4" ht="21.75" customHeight="1" x14ac:dyDescent="0.25">
      <c r="A23" s="431" t="s">
        <v>794</v>
      </c>
      <c r="B23" s="432"/>
      <c r="C23" s="433"/>
      <c r="D23" s="483">
        <v>49</v>
      </c>
    </row>
    <row r="24" spans="1:4" ht="21.75" customHeight="1" x14ac:dyDescent="0.25">
      <c r="A24" s="221" t="s">
        <v>795</v>
      </c>
    </row>
    <row r="25" spans="1:4" ht="21.75" customHeight="1" x14ac:dyDescent="0.25">
      <c r="A25" s="221" t="s">
        <v>796</v>
      </c>
    </row>
    <row r="26" spans="1:4" ht="21.75" customHeight="1" x14ac:dyDescent="0.25">
      <c r="A26" s="221" t="s">
        <v>797</v>
      </c>
    </row>
  </sheetData>
  <sheetProtection objects="1"/>
  <mergeCells count="3">
    <mergeCell ref="A8:A9"/>
    <mergeCell ref="B8:B9"/>
    <mergeCell ref="C8:D8"/>
  </mergeCells>
  <phoneticPr fontId="0" type="noConversion"/>
  <pageMargins left="0.61" right="0.52" top="0.77" bottom="0.62" header="0.49212598499999999" footer="0.49212598499999999"/>
  <pageSetup paperSize="9" scale="98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1">
    <pageSetUpPr fitToPage="1"/>
  </sheetPr>
  <dimension ref="A1:U30"/>
  <sheetViews>
    <sheetView view="pageBreakPreview" zoomScaleNormal="100" workbookViewId="0">
      <selection activeCell="A12" sqref="A12"/>
    </sheetView>
  </sheetViews>
  <sheetFormatPr defaultColWidth="23.81640625" defaultRowHeight="19.5" customHeight="1" x14ac:dyDescent="0.25"/>
  <cols>
    <col min="1" max="1" width="40.7265625" style="403" customWidth="1"/>
    <col min="2" max="21" width="10" style="403" bestFit="1" customWidth="1"/>
    <col min="22" max="38" width="4.7265625" style="403" customWidth="1"/>
    <col min="39" max="16384" width="23.81640625" style="403"/>
  </cols>
  <sheetData>
    <row r="1" spans="1:21" ht="13.5" customHeight="1" x14ac:dyDescent="0.25">
      <c r="A1" s="403" t="str">
        <f>TECNOLOGIAS!A1</f>
        <v>Proponente: TransPolitécnica</v>
      </c>
    </row>
    <row r="2" spans="1:21" ht="13.5" customHeight="1" x14ac:dyDescent="0.25">
      <c r="A2" s="403" t="str">
        <f>TECNOLOGIAS!A2</f>
        <v>Área de Concessão: 5 (Cinco)</v>
      </c>
    </row>
    <row r="4" spans="1:21" ht="19.5" customHeight="1" x14ac:dyDescent="0.25">
      <c r="A4" s="423" t="s">
        <v>566</v>
      </c>
      <c r="B4" s="424"/>
    </row>
    <row r="5" spans="1:21" ht="19.5" customHeight="1" x14ac:dyDescent="0.25">
      <c r="A5" s="425"/>
    </row>
    <row r="6" spans="1:21" s="404" customFormat="1" ht="19.5" customHeight="1" x14ac:dyDescent="0.25">
      <c r="A6" s="426" t="s">
        <v>567</v>
      </c>
    </row>
    <row r="7" spans="1:21" ht="19.5" customHeight="1" x14ac:dyDescent="0.25">
      <c r="A7" s="403" t="s">
        <v>568</v>
      </c>
    </row>
    <row r="8" spans="1:21" ht="19.5" customHeight="1" x14ac:dyDescent="0.25">
      <c r="A8" s="427"/>
      <c r="U8" s="428"/>
    </row>
    <row r="9" spans="1:21" ht="19.5" customHeight="1" x14ac:dyDescent="0.25">
      <c r="A9" s="689" t="s">
        <v>569</v>
      </c>
      <c r="B9" s="688" t="s">
        <v>570</v>
      </c>
      <c r="C9" s="688"/>
      <c r="D9" s="688" t="s">
        <v>571</v>
      </c>
      <c r="E9" s="688"/>
      <c r="F9" s="688" t="s">
        <v>572</v>
      </c>
      <c r="G9" s="688"/>
      <c r="H9" s="688" t="s">
        <v>573</v>
      </c>
      <c r="I9" s="688"/>
      <c r="J9" s="688" t="s">
        <v>574</v>
      </c>
      <c r="K9" s="688"/>
      <c r="L9" s="688" t="s">
        <v>575</v>
      </c>
      <c r="M9" s="688"/>
      <c r="N9" s="688" t="s">
        <v>576</v>
      </c>
      <c r="O9" s="688"/>
      <c r="P9" s="688" t="s">
        <v>577</v>
      </c>
      <c r="Q9" s="688"/>
      <c r="R9" s="688" t="s">
        <v>578</v>
      </c>
      <c r="S9" s="688"/>
      <c r="T9" s="688" t="s">
        <v>579</v>
      </c>
      <c r="U9" s="688"/>
    </row>
    <row r="10" spans="1:21" ht="19.5" customHeight="1" x14ac:dyDescent="0.25">
      <c r="A10" s="690"/>
      <c r="B10" s="430" t="s">
        <v>580</v>
      </c>
      <c r="C10" s="430" t="s">
        <v>581</v>
      </c>
      <c r="D10" s="430" t="s">
        <v>582</v>
      </c>
      <c r="E10" s="430" t="s">
        <v>583</v>
      </c>
      <c r="F10" s="430" t="s">
        <v>584</v>
      </c>
      <c r="G10" s="430" t="s">
        <v>585</v>
      </c>
      <c r="H10" s="430" t="s">
        <v>586</v>
      </c>
      <c r="I10" s="430" t="s">
        <v>587</v>
      </c>
      <c r="J10" s="430" t="s">
        <v>588</v>
      </c>
      <c r="K10" s="430" t="s">
        <v>589</v>
      </c>
      <c r="L10" s="430" t="s">
        <v>590</v>
      </c>
      <c r="M10" s="430" t="s">
        <v>591</v>
      </c>
      <c r="N10" s="430" t="s">
        <v>592</v>
      </c>
      <c r="O10" s="430" t="s">
        <v>593</v>
      </c>
      <c r="P10" s="430" t="s">
        <v>594</v>
      </c>
      <c r="Q10" s="430" t="s">
        <v>595</v>
      </c>
      <c r="R10" s="430" t="s">
        <v>596</v>
      </c>
      <c r="S10" s="430" t="s">
        <v>597</v>
      </c>
      <c r="T10" s="430" t="s">
        <v>598</v>
      </c>
      <c r="U10" s="430" t="s">
        <v>599</v>
      </c>
    </row>
    <row r="11" spans="1:21" ht="19.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19.5" customHeight="1" x14ac:dyDescent="0.25">
      <c r="A12" s="414" t="s">
        <v>601</v>
      </c>
      <c r="B12" s="414">
        <v>8356</v>
      </c>
      <c r="C12" s="414">
        <v>8356</v>
      </c>
      <c r="D12" s="414">
        <v>8356</v>
      </c>
      <c r="E12" s="414">
        <v>8356</v>
      </c>
      <c r="F12" s="414">
        <v>8356</v>
      </c>
      <c r="G12" s="414">
        <v>8356</v>
      </c>
      <c r="H12" s="414">
        <v>8356</v>
      </c>
      <c r="I12" s="414">
        <v>8356</v>
      </c>
      <c r="J12" s="414">
        <v>8356</v>
      </c>
      <c r="K12" s="414">
        <v>8356</v>
      </c>
      <c r="L12" s="414">
        <v>8356</v>
      </c>
      <c r="M12" s="414">
        <v>8356</v>
      </c>
      <c r="N12" s="414">
        <v>8356</v>
      </c>
      <c r="O12" s="414">
        <v>8356</v>
      </c>
      <c r="P12" s="414">
        <v>8356</v>
      </c>
      <c r="Q12" s="414">
        <v>8356</v>
      </c>
      <c r="R12" s="414">
        <v>8356</v>
      </c>
      <c r="S12" s="414">
        <v>8356</v>
      </c>
      <c r="T12" s="414">
        <v>8356</v>
      </c>
      <c r="U12" s="414">
        <v>8356</v>
      </c>
    </row>
    <row r="13" spans="1:21" ht="19.5" customHeight="1" x14ac:dyDescent="0.25">
      <c r="A13" s="434" t="s">
        <v>602</v>
      </c>
      <c r="B13" s="434">
        <v>4634.1099999999997</v>
      </c>
      <c r="C13" s="434">
        <f>3*4634.11</f>
        <v>13902.329999999998</v>
      </c>
      <c r="D13" s="434">
        <f t="shared" ref="D13:U13" si="0">3*4634.11</f>
        <v>13902.329999999998</v>
      </c>
      <c r="E13" s="434">
        <f t="shared" si="0"/>
        <v>13902.329999999998</v>
      </c>
      <c r="F13" s="434">
        <f t="shared" si="0"/>
        <v>13902.329999999998</v>
      </c>
      <c r="G13" s="434">
        <f t="shared" si="0"/>
        <v>13902.329999999998</v>
      </c>
      <c r="H13" s="434">
        <f t="shared" si="0"/>
        <v>13902.329999999998</v>
      </c>
      <c r="I13" s="434">
        <f t="shared" si="0"/>
        <v>13902.329999999998</v>
      </c>
      <c r="J13" s="434">
        <f t="shared" si="0"/>
        <v>13902.329999999998</v>
      </c>
      <c r="K13" s="434">
        <f t="shared" si="0"/>
        <v>13902.329999999998</v>
      </c>
      <c r="L13" s="434">
        <f t="shared" si="0"/>
        <v>13902.329999999998</v>
      </c>
      <c r="M13" s="434">
        <f t="shared" si="0"/>
        <v>13902.329999999998</v>
      </c>
      <c r="N13" s="434">
        <f t="shared" si="0"/>
        <v>13902.329999999998</v>
      </c>
      <c r="O13" s="434">
        <f t="shared" si="0"/>
        <v>13902.329999999998</v>
      </c>
      <c r="P13" s="434">
        <f t="shared" si="0"/>
        <v>13902.329999999998</v>
      </c>
      <c r="Q13" s="434">
        <f t="shared" si="0"/>
        <v>13902.329999999998</v>
      </c>
      <c r="R13" s="434">
        <f t="shared" si="0"/>
        <v>13902.329999999998</v>
      </c>
      <c r="S13" s="434">
        <f t="shared" si="0"/>
        <v>13902.329999999998</v>
      </c>
      <c r="T13" s="434">
        <f t="shared" si="0"/>
        <v>13902.329999999998</v>
      </c>
      <c r="U13" s="434">
        <f t="shared" si="0"/>
        <v>13902.329999999998</v>
      </c>
    </row>
    <row r="14" spans="1:21" ht="19.5" customHeight="1" x14ac:dyDescent="0.25">
      <c r="A14" s="434" t="s">
        <v>603</v>
      </c>
      <c r="B14" s="434">
        <f>5*2202.04</f>
        <v>11010.2</v>
      </c>
      <c r="C14" s="434">
        <f>21*2202.04</f>
        <v>46242.84</v>
      </c>
      <c r="D14" s="434">
        <f t="shared" ref="D14:Q14" si="1">21*2202.04</f>
        <v>46242.84</v>
      </c>
      <c r="E14" s="434">
        <f t="shared" si="1"/>
        <v>46242.84</v>
      </c>
      <c r="F14" s="434">
        <f t="shared" si="1"/>
        <v>46242.84</v>
      </c>
      <c r="G14" s="434">
        <f t="shared" si="1"/>
        <v>46242.84</v>
      </c>
      <c r="H14" s="434">
        <f t="shared" si="1"/>
        <v>46242.84</v>
      </c>
      <c r="I14" s="434">
        <f t="shared" si="1"/>
        <v>46242.84</v>
      </c>
      <c r="J14" s="434">
        <f t="shared" si="1"/>
        <v>46242.84</v>
      </c>
      <c r="K14" s="434">
        <f t="shared" si="1"/>
        <v>46242.84</v>
      </c>
      <c r="L14" s="434">
        <f t="shared" si="1"/>
        <v>46242.84</v>
      </c>
      <c r="M14" s="434">
        <f t="shared" si="1"/>
        <v>46242.84</v>
      </c>
      <c r="N14" s="434">
        <f t="shared" si="1"/>
        <v>46242.84</v>
      </c>
      <c r="O14" s="434">
        <f t="shared" si="1"/>
        <v>46242.84</v>
      </c>
      <c r="P14" s="434">
        <f t="shared" si="1"/>
        <v>46242.84</v>
      </c>
      <c r="Q14" s="434">
        <f t="shared" si="1"/>
        <v>46242.84</v>
      </c>
      <c r="R14" s="434">
        <f>23*2202.04</f>
        <v>50646.92</v>
      </c>
      <c r="S14" s="434">
        <f>23*2202.04</f>
        <v>50646.92</v>
      </c>
      <c r="T14" s="434">
        <f>23*2202.04</f>
        <v>50646.92</v>
      </c>
      <c r="U14" s="434">
        <f>23*2202.04</f>
        <v>50646.92</v>
      </c>
    </row>
    <row r="15" spans="1:21" ht="19.5" customHeight="1" x14ac:dyDescent="0.25">
      <c r="A15" s="434" t="s">
        <v>604</v>
      </c>
      <c r="B15" s="434">
        <v>2529.5500000000002</v>
      </c>
      <c r="C15" s="434">
        <v>2529.5500000000002</v>
      </c>
      <c r="D15" s="434">
        <v>2529.5500000000002</v>
      </c>
      <c r="E15" s="434">
        <v>2529.5500000000002</v>
      </c>
      <c r="F15" s="434">
        <v>2529.5500000000002</v>
      </c>
      <c r="G15" s="434">
        <v>2529.5500000000002</v>
      </c>
      <c r="H15" s="434">
        <v>2529.5500000000002</v>
      </c>
      <c r="I15" s="434">
        <v>2529.5500000000002</v>
      </c>
      <c r="J15" s="434">
        <v>2529.5500000000002</v>
      </c>
      <c r="K15" s="434">
        <v>2529.5500000000002</v>
      </c>
      <c r="L15" s="434">
        <v>2529.5500000000002</v>
      </c>
      <c r="M15" s="434">
        <v>2529.5500000000002</v>
      </c>
      <c r="N15" s="434">
        <v>2529.5500000000002</v>
      </c>
      <c r="O15" s="434">
        <v>2529.5500000000002</v>
      </c>
      <c r="P15" s="434">
        <v>2529.5500000000002</v>
      </c>
      <c r="Q15" s="434">
        <v>2529.5500000000002</v>
      </c>
      <c r="R15" s="434">
        <v>2529.5500000000002</v>
      </c>
      <c r="S15" s="434">
        <v>2529.5500000000002</v>
      </c>
      <c r="T15" s="434">
        <v>2529.5500000000002</v>
      </c>
      <c r="U15" s="434">
        <v>2529.5500000000002</v>
      </c>
    </row>
    <row r="16" spans="1:21" ht="19.5" customHeight="1" x14ac:dyDescent="0.25">
      <c r="A16" s="435" t="s">
        <v>605</v>
      </c>
      <c r="B16" s="434">
        <v>2529.5500000000002</v>
      </c>
      <c r="C16" s="434">
        <v>2529.5500000000002</v>
      </c>
      <c r="D16" s="434">
        <v>2529.5500000000002</v>
      </c>
      <c r="E16" s="434">
        <v>2529.5500000000002</v>
      </c>
      <c r="F16" s="434">
        <v>2529.5500000000002</v>
      </c>
      <c r="G16" s="434">
        <v>2529.5500000000002</v>
      </c>
      <c r="H16" s="434">
        <v>2529.5500000000002</v>
      </c>
      <c r="I16" s="434">
        <v>2529.5500000000002</v>
      </c>
      <c r="J16" s="434">
        <v>2529.5500000000002</v>
      </c>
      <c r="K16" s="434">
        <v>2529.5500000000002</v>
      </c>
      <c r="L16" s="434">
        <v>2529.5500000000002</v>
      </c>
      <c r="M16" s="434">
        <v>2529.5500000000002</v>
      </c>
      <c r="N16" s="434">
        <v>2529.5500000000002</v>
      </c>
      <c r="O16" s="434">
        <v>2529.5500000000002</v>
      </c>
      <c r="P16" s="434">
        <v>2529.5500000000002</v>
      </c>
      <c r="Q16" s="434">
        <v>2529.5500000000002</v>
      </c>
      <c r="R16" s="434">
        <v>2529.5500000000002</v>
      </c>
      <c r="S16" s="434">
        <v>2529.5500000000002</v>
      </c>
      <c r="T16" s="434">
        <v>2529.5500000000002</v>
      </c>
      <c r="U16" s="434">
        <v>2529.5500000000002</v>
      </c>
    </row>
    <row r="17" spans="1:21" ht="19.5" customHeight="1" x14ac:dyDescent="0.25">
      <c r="A17" s="434" t="s">
        <v>606</v>
      </c>
      <c r="B17" s="434">
        <v>2530.84</v>
      </c>
      <c r="C17" s="434">
        <v>2530.84</v>
      </c>
      <c r="D17" s="434">
        <v>2530.84</v>
      </c>
      <c r="E17" s="434">
        <v>2530.84</v>
      </c>
      <c r="F17" s="434">
        <v>2530.84</v>
      </c>
      <c r="G17" s="434">
        <v>2530.84</v>
      </c>
      <c r="H17" s="434">
        <v>2530.84</v>
      </c>
      <c r="I17" s="434">
        <v>2530.84</v>
      </c>
      <c r="J17" s="434">
        <v>2530.84</v>
      </c>
      <c r="K17" s="434">
        <v>2530.84</v>
      </c>
      <c r="L17" s="434">
        <v>2530.84</v>
      </c>
      <c r="M17" s="434">
        <v>2530.84</v>
      </c>
      <c r="N17" s="434">
        <v>2530.84</v>
      </c>
      <c r="O17" s="434">
        <v>2530.84</v>
      </c>
      <c r="P17" s="434">
        <v>2530.84</v>
      </c>
      <c r="Q17" s="434">
        <v>2530.84</v>
      </c>
      <c r="R17" s="434">
        <v>2530.84</v>
      </c>
      <c r="S17" s="434">
        <v>2530.84</v>
      </c>
      <c r="T17" s="434">
        <v>2530.84</v>
      </c>
      <c r="U17" s="434">
        <v>2530.84</v>
      </c>
    </row>
    <row r="18" spans="1:21" ht="19.5" customHeight="1" x14ac:dyDescent="0.25">
      <c r="A18" s="434" t="s">
        <v>607</v>
      </c>
      <c r="B18" s="434">
        <v>2530.84</v>
      </c>
      <c r="C18" s="434">
        <v>2530.84</v>
      </c>
      <c r="D18" s="434">
        <v>2530.84</v>
      </c>
      <c r="E18" s="434">
        <v>2530.84</v>
      </c>
      <c r="F18" s="434">
        <v>2530.84</v>
      </c>
      <c r="G18" s="434">
        <v>2530.84</v>
      </c>
      <c r="H18" s="434">
        <v>2530.84</v>
      </c>
      <c r="I18" s="434">
        <v>2530.84</v>
      </c>
      <c r="J18" s="434">
        <v>2530.84</v>
      </c>
      <c r="K18" s="434">
        <v>2530.84</v>
      </c>
      <c r="L18" s="434">
        <v>2530.84</v>
      </c>
      <c r="M18" s="434">
        <v>2530.84</v>
      </c>
      <c r="N18" s="434">
        <v>2530.84</v>
      </c>
      <c r="O18" s="434">
        <v>2530.84</v>
      </c>
      <c r="P18" s="434">
        <v>2530.84</v>
      </c>
      <c r="Q18" s="434">
        <v>2530.84</v>
      </c>
      <c r="R18" s="434">
        <v>2530.84</v>
      </c>
      <c r="S18" s="434">
        <v>2530.84</v>
      </c>
      <c r="T18" s="434">
        <v>2530.84</v>
      </c>
      <c r="U18" s="434">
        <v>2530.84</v>
      </c>
    </row>
    <row r="19" spans="1:21" ht="19.5" customHeight="1" x14ac:dyDescent="0.25">
      <c r="A19" s="434" t="s">
        <v>608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</row>
    <row r="20" spans="1:21" ht="19.5" customHeight="1" x14ac:dyDescent="0.25">
      <c r="A20" s="431" t="s">
        <v>609</v>
      </c>
      <c r="B20" s="432"/>
      <c r="C20" s="432"/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3"/>
    </row>
    <row r="21" spans="1:21" ht="19.5" customHeight="1" x14ac:dyDescent="0.25">
      <c r="A21" s="435" t="s">
        <v>610</v>
      </c>
      <c r="B21" s="434">
        <f>4500000*0.05</f>
        <v>225000</v>
      </c>
      <c r="C21" s="434">
        <f t="shared" ref="C21:U21" si="2">4500000*0.05</f>
        <v>225000</v>
      </c>
      <c r="D21" s="434">
        <f t="shared" si="2"/>
        <v>225000</v>
      </c>
      <c r="E21" s="434">
        <f t="shared" si="2"/>
        <v>225000</v>
      </c>
      <c r="F21" s="434">
        <f t="shared" si="2"/>
        <v>225000</v>
      </c>
      <c r="G21" s="434">
        <f t="shared" si="2"/>
        <v>225000</v>
      </c>
      <c r="H21" s="434">
        <f t="shared" si="2"/>
        <v>225000</v>
      </c>
      <c r="I21" s="434">
        <f t="shared" si="2"/>
        <v>225000</v>
      </c>
      <c r="J21" s="434">
        <f t="shared" si="2"/>
        <v>225000</v>
      </c>
      <c r="K21" s="434">
        <f t="shared" si="2"/>
        <v>225000</v>
      </c>
      <c r="L21" s="434">
        <f t="shared" si="2"/>
        <v>225000</v>
      </c>
      <c r="M21" s="434">
        <f t="shared" si="2"/>
        <v>225000</v>
      </c>
      <c r="N21" s="434">
        <f t="shared" si="2"/>
        <v>225000</v>
      </c>
      <c r="O21" s="434">
        <f t="shared" si="2"/>
        <v>225000</v>
      </c>
      <c r="P21" s="434">
        <f t="shared" si="2"/>
        <v>225000</v>
      </c>
      <c r="Q21" s="434">
        <f t="shared" si="2"/>
        <v>225000</v>
      </c>
      <c r="R21" s="434">
        <f t="shared" si="2"/>
        <v>225000</v>
      </c>
      <c r="S21" s="434">
        <f t="shared" si="2"/>
        <v>225000</v>
      </c>
      <c r="T21" s="434">
        <f t="shared" si="2"/>
        <v>225000</v>
      </c>
      <c r="U21" s="434">
        <f t="shared" si="2"/>
        <v>225000</v>
      </c>
    </row>
    <row r="22" spans="1:21" ht="19.5" customHeight="1" x14ac:dyDescent="0.25">
      <c r="A22" s="434" t="s">
        <v>608</v>
      </c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</row>
    <row r="23" spans="1:21" ht="19.5" customHeight="1" x14ac:dyDescent="0.25">
      <c r="A23" s="431" t="s">
        <v>611</v>
      </c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3"/>
    </row>
    <row r="24" spans="1:21" ht="19.5" customHeight="1" x14ac:dyDescent="0.25">
      <c r="A24" s="434" t="s">
        <v>612</v>
      </c>
      <c r="B24" s="434">
        <v>1200</v>
      </c>
      <c r="C24" s="434">
        <v>1200</v>
      </c>
      <c r="D24" s="434">
        <v>1200</v>
      </c>
      <c r="E24" s="434">
        <v>1200</v>
      </c>
      <c r="F24" s="434">
        <v>1200</v>
      </c>
      <c r="G24" s="434">
        <v>1200</v>
      </c>
      <c r="H24" s="434">
        <v>1200</v>
      </c>
      <c r="I24" s="434">
        <v>1200</v>
      </c>
      <c r="J24" s="434">
        <v>1200</v>
      </c>
      <c r="K24" s="434">
        <v>1200</v>
      </c>
      <c r="L24" s="434">
        <v>1200</v>
      </c>
      <c r="M24" s="434">
        <v>1200</v>
      </c>
      <c r="N24" s="434">
        <v>1200</v>
      </c>
      <c r="O24" s="434">
        <v>1200</v>
      </c>
      <c r="P24" s="434">
        <v>1200</v>
      </c>
      <c r="Q24" s="434">
        <v>1200</v>
      </c>
      <c r="R24" s="434">
        <v>1200</v>
      </c>
      <c r="S24" s="434">
        <v>1200</v>
      </c>
      <c r="T24" s="434">
        <v>1200</v>
      </c>
      <c r="U24" s="434">
        <v>1200</v>
      </c>
    </row>
    <row r="25" spans="1:21" ht="19.5" customHeight="1" x14ac:dyDescent="0.25">
      <c r="A25" s="434" t="s">
        <v>613</v>
      </c>
      <c r="B25" s="434">
        <v>2500</v>
      </c>
      <c r="C25" s="434">
        <v>2500</v>
      </c>
      <c r="D25" s="434">
        <v>2500</v>
      </c>
      <c r="E25" s="434">
        <v>2500</v>
      </c>
      <c r="F25" s="434">
        <v>2500</v>
      </c>
      <c r="G25" s="434">
        <v>2500</v>
      </c>
      <c r="H25" s="434">
        <v>2500</v>
      </c>
      <c r="I25" s="434">
        <v>2500</v>
      </c>
      <c r="J25" s="434">
        <v>2500</v>
      </c>
      <c r="K25" s="434">
        <v>2500</v>
      </c>
      <c r="L25" s="434">
        <v>2500</v>
      </c>
      <c r="M25" s="434">
        <v>2500</v>
      </c>
      <c r="N25" s="434">
        <v>2500</v>
      </c>
      <c r="O25" s="434">
        <v>2500</v>
      </c>
      <c r="P25" s="434">
        <v>2500</v>
      </c>
      <c r="Q25" s="434">
        <v>2500</v>
      </c>
      <c r="R25" s="434">
        <v>2500</v>
      </c>
      <c r="S25" s="434">
        <v>2500</v>
      </c>
      <c r="T25" s="434">
        <v>2500</v>
      </c>
      <c r="U25" s="434">
        <v>2500</v>
      </c>
    </row>
    <row r="26" spans="1:21" ht="19.5" customHeight="1" x14ac:dyDescent="0.25">
      <c r="A26" s="434" t="s">
        <v>608</v>
      </c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  <c r="N26" s="434"/>
      <c r="O26" s="434"/>
      <c r="P26" s="434"/>
      <c r="Q26" s="434"/>
      <c r="R26" s="434"/>
      <c r="S26" s="434"/>
      <c r="T26" s="434"/>
      <c r="U26" s="434"/>
    </row>
    <row r="27" spans="1:21" ht="19.5" customHeight="1" x14ac:dyDescent="0.25">
      <c r="A27" s="436" t="s">
        <v>614</v>
      </c>
      <c r="B27" s="437">
        <f>SUM(B24:B26)+SUM(B21:B22)+SUM(B12:B19)</f>
        <v>262821.08999999997</v>
      </c>
      <c r="C27" s="437">
        <f t="shared" ref="C27:U27" si="3">SUM(C24:C26)+SUM(C21:C22)+SUM(C12:C19)</f>
        <v>307321.95</v>
      </c>
      <c r="D27" s="437">
        <f t="shared" si="3"/>
        <v>307321.95</v>
      </c>
      <c r="E27" s="437">
        <f t="shared" si="3"/>
        <v>307321.95</v>
      </c>
      <c r="F27" s="437">
        <f t="shared" si="3"/>
        <v>307321.95</v>
      </c>
      <c r="G27" s="437">
        <f t="shared" si="3"/>
        <v>307321.95</v>
      </c>
      <c r="H27" s="437">
        <f t="shared" si="3"/>
        <v>307321.95</v>
      </c>
      <c r="I27" s="437">
        <f t="shared" si="3"/>
        <v>307321.95</v>
      </c>
      <c r="J27" s="437">
        <f t="shared" si="3"/>
        <v>307321.95</v>
      </c>
      <c r="K27" s="437">
        <f t="shared" si="3"/>
        <v>307321.95</v>
      </c>
      <c r="L27" s="437">
        <f t="shared" si="3"/>
        <v>307321.95</v>
      </c>
      <c r="M27" s="437">
        <f t="shared" si="3"/>
        <v>307321.95</v>
      </c>
      <c r="N27" s="437">
        <f t="shared" si="3"/>
        <v>307321.95</v>
      </c>
      <c r="O27" s="437">
        <f t="shared" si="3"/>
        <v>307321.95</v>
      </c>
      <c r="P27" s="437">
        <f t="shared" si="3"/>
        <v>307321.95</v>
      </c>
      <c r="Q27" s="437">
        <f t="shared" si="3"/>
        <v>307321.95</v>
      </c>
      <c r="R27" s="437">
        <f t="shared" si="3"/>
        <v>311726.03000000003</v>
      </c>
      <c r="S27" s="437">
        <f t="shared" si="3"/>
        <v>311726.03000000003</v>
      </c>
      <c r="T27" s="437">
        <f t="shared" si="3"/>
        <v>311726.03000000003</v>
      </c>
      <c r="U27" s="437">
        <f t="shared" si="3"/>
        <v>311726.03000000003</v>
      </c>
    </row>
    <row r="28" spans="1:21" ht="19.5" customHeight="1" x14ac:dyDescent="0.25">
      <c r="A28" s="403" t="s">
        <v>615</v>
      </c>
    </row>
    <row r="30" spans="1:21" ht="19.5" customHeight="1" x14ac:dyDescent="0.25">
      <c r="A30" t="s">
        <v>447</v>
      </c>
    </row>
  </sheetData>
  <sheetProtection objects="1"/>
  <mergeCells count="11">
    <mergeCell ref="A9:A10"/>
    <mergeCell ref="B9:C9"/>
    <mergeCell ref="D9:E9"/>
    <mergeCell ref="F9:G9"/>
    <mergeCell ref="N9:O9"/>
    <mergeCell ref="P9:Q9"/>
    <mergeCell ref="R9:S9"/>
    <mergeCell ref="T9:U9"/>
    <mergeCell ref="H9:I9"/>
    <mergeCell ref="J9:K9"/>
    <mergeCell ref="L9:M9"/>
  </mergeCells>
  <phoneticPr fontId="0" type="noConversion"/>
  <pageMargins left="0.23" right="0.59" top="0.33" bottom="0.13" header="0.49212598499999999" footer="0.35"/>
  <pageSetup paperSize="9" scale="58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2">
    <pageSetUpPr fitToPage="1"/>
  </sheetPr>
  <dimension ref="A1:U24"/>
  <sheetViews>
    <sheetView view="pageBreakPreview" zoomScale="60" zoomScaleNormal="100" workbookViewId="0">
      <selection activeCell="A12" sqref="A12"/>
    </sheetView>
  </sheetViews>
  <sheetFormatPr defaultColWidth="23.81640625" defaultRowHeight="19.5" customHeight="1" x14ac:dyDescent="0.25"/>
  <cols>
    <col min="1" max="1" width="40.7265625" style="403" customWidth="1"/>
    <col min="2" max="2" width="11.1796875" style="403" bestFit="1" customWidth="1"/>
    <col min="3" max="21" width="12.26953125" style="403" bestFit="1" customWidth="1"/>
    <col min="22" max="38" width="4.7265625" style="403" customWidth="1"/>
    <col min="39" max="16384" width="23.81640625" style="403"/>
  </cols>
  <sheetData>
    <row r="1" spans="1:21" ht="13.5" customHeight="1" x14ac:dyDescent="0.25">
      <c r="A1" s="403" t="str">
        <f>TECNOLOGIAS!A1</f>
        <v>Proponente: TransPolitécnica</v>
      </c>
    </row>
    <row r="2" spans="1:21" ht="13.5" customHeight="1" x14ac:dyDescent="0.25">
      <c r="A2" s="403" t="str">
        <f>TECNOLOGIAS!A2</f>
        <v>Área de Concessão: 5 (Cinco)</v>
      </c>
    </row>
    <row r="4" spans="1:21" ht="19.5" customHeight="1" x14ac:dyDescent="0.25">
      <c r="A4" s="423" t="s">
        <v>616</v>
      </c>
      <c r="B4" s="424"/>
    </row>
    <row r="5" spans="1:21" ht="19.5" customHeight="1" x14ac:dyDescent="0.25">
      <c r="A5" s="425"/>
    </row>
    <row r="6" spans="1:21" s="404" customFormat="1" ht="19.5" customHeight="1" x14ac:dyDescent="0.25">
      <c r="A6" s="426" t="s">
        <v>819</v>
      </c>
    </row>
    <row r="7" spans="1:21" ht="19.5" customHeight="1" x14ac:dyDescent="0.25">
      <c r="A7" s="403" t="s">
        <v>568</v>
      </c>
    </row>
    <row r="8" spans="1:21" ht="19.5" customHeight="1" x14ac:dyDescent="0.25">
      <c r="A8" s="426"/>
      <c r="B8" s="404"/>
      <c r="C8" s="404"/>
      <c r="D8" s="404"/>
      <c r="E8" s="404"/>
      <c r="F8" s="404"/>
      <c r="G8" s="404"/>
      <c r="H8" s="404"/>
      <c r="U8" s="428"/>
    </row>
    <row r="9" spans="1:21" ht="19.5" customHeight="1" x14ac:dyDescent="0.25">
      <c r="A9" s="689" t="s">
        <v>569</v>
      </c>
      <c r="B9" s="688" t="s">
        <v>570</v>
      </c>
      <c r="C9" s="688"/>
      <c r="D9" s="688" t="s">
        <v>571</v>
      </c>
      <c r="E9" s="688"/>
      <c r="F9" s="688" t="s">
        <v>572</v>
      </c>
      <c r="G9" s="688"/>
      <c r="H9" s="688" t="s">
        <v>573</v>
      </c>
      <c r="I9" s="688"/>
      <c r="J9" s="688" t="s">
        <v>574</v>
      </c>
      <c r="K9" s="688"/>
      <c r="L9" s="688" t="s">
        <v>575</v>
      </c>
      <c r="M9" s="688"/>
      <c r="N9" s="688" t="s">
        <v>576</v>
      </c>
      <c r="O9" s="688"/>
      <c r="P9" s="688" t="s">
        <v>577</v>
      </c>
      <c r="Q9" s="688"/>
      <c r="R9" s="688" t="s">
        <v>578</v>
      </c>
      <c r="S9" s="688"/>
      <c r="T9" s="688" t="s">
        <v>579</v>
      </c>
      <c r="U9" s="688"/>
    </row>
    <row r="10" spans="1:21" ht="19.5" customHeight="1" x14ac:dyDescent="0.25">
      <c r="A10" s="689"/>
      <c r="B10" s="429" t="s">
        <v>580</v>
      </c>
      <c r="C10" s="429" t="s">
        <v>581</v>
      </c>
      <c r="D10" s="429" t="s">
        <v>582</v>
      </c>
      <c r="E10" s="429" t="s">
        <v>583</v>
      </c>
      <c r="F10" s="429" t="s">
        <v>584</v>
      </c>
      <c r="G10" s="429" t="s">
        <v>585</v>
      </c>
      <c r="H10" s="429" t="s">
        <v>586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591</v>
      </c>
      <c r="N10" s="429" t="s">
        <v>592</v>
      </c>
      <c r="O10" s="429" t="s">
        <v>593</v>
      </c>
      <c r="P10" s="429" t="s">
        <v>594</v>
      </c>
      <c r="Q10" s="429" t="s">
        <v>595</v>
      </c>
      <c r="R10" s="429" t="s">
        <v>596</v>
      </c>
      <c r="S10" s="429" t="s">
        <v>597</v>
      </c>
      <c r="T10" s="429" t="s">
        <v>598</v>
      </c>
      <c r="U10" s="429" t="s">
        <v>599</v>
      </c>
    </row>
    <row r="11" spans="1:21" ht="19.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19.5" customHeight="1" x14ac:dyDescent="0.25">
      <c r="A12" s="434" t="s">
        <v>617</v>
      </c>
      <c r="B12" s="434">
        <v>3398.14</v>
      </c>
      <c r="C12" s="434">
        <f t="shared" ref="C12:I12" si="0">5*3398.14</f>
        <v>16990.7</v>
      </c>
      <c r="D12" s="434">
        <f t="shared" si="0"/>
        <v>16990.7</v>
      </c>
      <c r="E12" s="434">
        <f t="shared" si="0"/>
        <v>16990.7</v>
      </c>
      <c r="F12" s="434">
        <f t="shared" si="0"/>
        <v>16990.7</v>
      </c>
      <c r="G12" s="434">
        <f t="shared" si="0"/>
        <v>16990.7</v>
      </c>
      <c r="H12" s="434">
        <f t="shared" si="0"/>
        <v>16990.7</v>
      </c>
      <c r="I12" s="434">
        <f t="shared" si="0"/>
        <v>16990.7</v>
      </c>
      <c r="J12" s="434">
        <f>7*3398.14</f>
        <v>23786.98</v>
      </c>
      <c r="K12" s="434">
        <f t="shared" ref="K12:U12" si="1">7*3398.14</f>
        <v>23786.98</v>
      </c>
      <c r="L12" s="434">
        <f t="shared" si="1"/>
        <v>23786.98</v>
      </c>
      <c r="M12" s="434">
        <f t="shared" si="1"/>
        <v>23786.98</v>
      </c>
      <c r="N12" s="434">
        <f t="shared" si="1"/>
        <v>23786.98</v>
      </c>
      <c r="O12" s="434">
        <f t="shared" si="1"/>
        <v>23786.98</v>
      </c>
      <c r="P12" s="434">
        <f t="shared" si="1"/>
        <v>23786.98</v>
      </c>
      <c r="Q12" s="434">
        <f t="shared" si="1"/>
        <v>23786.98</v>
      </c>
      <c r="R12" s="434">
        <f t="shared" si="1"/>
        <v>23786.98</v>
      </c>
      <c r="S12" s="434">
        <f t="shared" si="1"/>
        <v>23786.98</v>
      </c>
      <c r="T12" s="434">
        <f t="shared" si="1"/>
        <v>23786.98</v>
      </c>
      <c r="U12" s="434">
        <f t="shared" si="1"/>
        <v>23786.98</v>
      </c>
    </row>
    <row r="13" spans="1:21" ht="19.5" customHeight="1" x14ac:dyDescent="0.25">
      <c r="A13" s="434" t="s">
        <v>618</v>
      </c>
      <c r="B13" s="434">
        <v>4634.1099999999997</v>
      </c>
      <c r="C13" s="434">
        <f>3*4634.11</f>
        <v>13902.329999999998</v>
      </c>
      <c r="D13" s="434">
        <f t="shared" ref="D13:I13" si="2">3*4634.11</f>
        <v>13902.329999999998</v>
      </c>
      <c r="E13" s="434">
        <f t="shared" si="2"/>
        <v>13902.329999999998</v>
      </c>
      <c r="F13" s="434">
        <f t="shared" si="2"/>
        <v>13902.329999999998</v>
      </c>
      <c r="G13" s="434">
        <f t="shared" si="2"/>
        <v>13902.329999999998</v>
      </c>
      <c r="H13" s="434">
        <f t="shared" si="2"/>
        <v>13902.329999999998</v>
      </c>
      <c r="I13" s="434">
        <f t="shared" si="2"/>
        <v>13902.329999999998</v>
      </c>
      <c r="J13" s="434">
        <f>3*4634.11</f>
        <v>13902.329999999998</v>
      </c>
      <c r="K13" s="434">
        <f t="shared" ref="K13:U13" si="3">3*4634.11</f>
        <v>13902.329999999998</v>
      </c>
      <c r="L13" s="434">
        <f t="shared" si="3"/>
        <v>13902.329999999998</v>
      </c>
      <c r="M13" s="434">
        <f t="shared" si="3"/>
        <v>13902.329999999998</v>
      </c>
      <c r="N13" s="434">
        <f t="shared" si="3"/>
        <v>13902.329999999998</v>
      </c>
      <c r="O13" s="434">
        <f t="shared" si="3"/>
        <v>13902.329999999998</v>
      </c>
      <c r="P13" s="434">
        <f t="shared" si="3"/>
        <v>13902.329999999998</v>
      </c>
      <c r="Q13" s="434">
        <f t="shared" si="3"/>
        <v>13902.329999999998</v>
      </c>
      <c r="R13" s="434">
        <f t="shared" si="3"/>
        <v>13902.329999999998</v>
      </c>
      <c r="S13" s="434">
        <f t="shared" si="3"/>
        <v>13902.329999999998</v>
      </c>
      <c r="T13" s="434">
        <f t="shared" si="3"/>
        <v>13902.329999999998</v>
      </c>
      <c r="U13" s="434">
        <f t="shared" si="3"/>
        <v>13902.329999999998</v>
      </c>
    </row>
    <row r="14" spans="1:21" ht="19.5" customHeight="1" x14ac:dyDescent="0.25">
      <c r="A14" s="434" t="s">
        <v>619</v>
      </c>
      <c r="B14" s="434">
        <f>4*2202.04</f>
        <v>8808.16</v>
      </c>
      <c r="C14" s="434">
        <f>25*2202.04</f>
        <v>55051</v>
      </c>
      <c r="D14" s="434">
        <f t="shared" ref="D14:I14" si="4">25*2202.04</f>
        <v>55051</v>
      </c>
      <c r="E14" s="434">
        <f t="shared" si="4"/>
        <v>55051</v>
      </c>
      <c r="F14" s="434">
        <f t="shared" si="4"/>
        <v>55051</v>
      </c>
      <c r="G14" s="434">
        <f t="shared" si="4"/>
        <v>55051</v>
      </c>
      <c r="H14" s="434">
        <f t="shared" si="4"/>
        <v>55051</v>
      </c>
      <c r="I14" s="434">
        <f t="shared" si="4"/>
        <v>55051</v>
      </c>
      <c r="J14" s="434">
        <f>41*2202.04</f>
        <v>90283.64</v>
      </c>
      <c r="K14" s="434">
        <f t="shared" ref="K14:U14" si="5">41*2202.04</f>
        <v>90283.64</v>
      </c>
      <c r="L14" s="434">
        <f t="shared" si="5"/>
        <v>90283.64</v>
      </c>
      <c r="M14" s="434">
        <f t="shared" si="5"/>
        <v>90283.64</v>
      </c>
      <c r="N14" s="434">
        <f t="shared" si="5"/>
        <v>90283.64</v>
      </c>
      <c r="O14" s="434">
        <f t="shared" si="5"/>
        <v>90283.64</v>
      </c>
      <c r="P14" s="434">
        <f t="shared" si="5"/>
        <v>90283.64</v>
      </c>
      <c r="Q14" s="434">
        <f t="shared" si="5"/>
        <v>90283.64</v>
      </c>
      <c r="R14" s="434">
        <f t="shared" si="5"/>
        <v>90283.64</v>
      </c>
      <c r="S14" s="434">
        <f t="shared" si="5"/>
        <v>90283.64</v>
      </c>
      <c r="T14" s="434">
        <f t="shared" si="5"/>
        <v>90283.64</v>
      </c>
      <c r="U14" s="434">
        <f t="shared" si="5"/>
        <v>90283.64</v>
      </c>
    </row>
    <row r="15" spans="1:21" ht="19.5" customHeight="1" x14ac:dyDescent="0.25">
      <c r="A15" s="434" t="s">
        <v>620</v>
      </c>
      <c r="B15" s="434">
        <f>8*2202.04</f>
        <v>17616.32</v>
      </c>
      <c r="C15" s="434">
        <f>10*2202.04</f>
        <v>22020.400000000001</v>
      </c>
      <c r="D15" s="434">
        <f t="shared" ref="D15:I15" si="6">10*2202.04</f>
        <v>22020.400000000001</v>
      </c>
      <c r="E15" s="434">
        <f t="shared" si="6"/>
        <v>22020.400000000001</v>
      </c>
      <c r="F15" s="434">
        <f t="shared" si="6"/>
        <v>22020.400000000001</v>
      </c>
      <c r="G15" s="434">
        <f t="shared" si="6"/>
        <v>22020.400000000001</v>
      </c>
      <c r="H15" s="434">
        <f t="shared" si="6"/>
        <v>22020.400000000001</v>
      </c>
      <c r="I15" s="434">
        <f t="shared" si="6"/>
        <v>22020.400000000001</v>
      </c>
      <c r="J15" s="434">
        <f>14*2202.04</f>
        <v>30828.559999999998</v>
      </c>
      <c r="K15" s="434">
        <f t="shared" ref="K15:U15" si="7">14*2202.04</f>
        <v>30828.559999999998</v>
      </c>
      <c r="L15" s="434">
        <f t="shared" si="7"/>
        <v>30828.559999999998</v>
      </c>
      <c r="M15" s="434">
        <f t="shared" si="7"/>
        <v>30828.559999999998</v>
      </c>
      <c r="N15" s="434">
        <f t="shared" si="7"/>
        <v>30828.559999999998</v>
      </c>
      <c r="O15" s="434">
        <f t="shared" si="7"/>
        <v>30828.559999999998</v>
      </c>
      <c r="P15" s="434">
        <f t="shared" si="7"/>
        <v>30828.559999999998</v>
      </c>
      <c r="Q15" s="434">
        <f t="shared" si="7"/>
        <v>30828.559999999998</v>
      </c>
      <c r="R15" s="434">
        <f t="shared" si="7"/>
        <v>30828.559999999998</v>
      </c>
      <c r="S15" s="434">
        <f t="shared" si="7"/>
        <v>30828.559999999998</v>
      </c>
      <c r="T15" s="434">
        <f t="shared" si="7"/>
        <v>30828.559999999998</v>
      </c>
      <c r="U15" s="434">
        <f t="shared" si="7"/>
        <v>30828.559999999998</v>
      </c>
    </row>
    <row r="16" spans="1:21" ht="19.5" customHeight="1" x14ac:dyDescent="0.25">
      <c r="A16" s="434" t="s">
        <v>608</v>
      </c>
      <c r="B16" s="434"/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434"/>
      <c r="Q16" s="434"/>
      <c r="R16" s="434"/>
      <c r="S16" s="434"/>
      <c r="T16" s="434"/>
      <c r="U16" s="434"/>
    </row>
    <row r="17" spans="1:21" ht="19.5" customHeight="1" x14ac:dyDescent="0.25">
      <c r="A17" s="431" t="s">
        <v>621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3"/>
    </row>
    <row r="18" spans="1:21" ht="19.5" customHeight="1" x14ac:dyDescent="0.25">
      <c r="A18" s="435" t="s">
        <v>622</v>
      </c>
      <c r="B18" s="434">
        <v>15000</v>
      </c>
      <c r="C18" s="434">
        <v>15000</v>
      </c>
      <c r="D18" s="434">
        <v>15000</v>
      </c>
      <c r="E18" s="434">
        <v>15000</v>
      </c>
      <c r="F18" s="434">
        <v>15000</v>
      </c>
      <c r="G18" s="434">
        <v>15000</v>
      </c>
      <c r="H18" s="434">
        <v>15000</v>
      </c>
      <c r="I18" s="434">
        <v>15000</v>
      </c>
      <c r="J18" s="434">
        <v>15000</v>
      </c>
      <c r="K18" s="434">
        <v>15000</v>
      </c>
      <c r="L18" s="434">
        <v>15000</v>
      </c>
      <c r="M18" s="434">
        <v>15000</v>
      </c>
      <c r="N18" s="434">
        <v>15000</v>
      </c>
      <c r="O18" s="434">
        <v>15000</v>
      </c>
      <c r="P18" s="434">
        <v>15000</v>
      </c>
      <c r="Q18" s="434">
        <v>15000</v>
      </c>
      <c r="R18" s="434">
        <v>15000</v>
      </c>
      <c r="S18" s="434">
        <v>15000</v>
      </c>
      <c r="T18" s="434">
        <v>15000</v>
      </c>
      <c r="U18" s="434">
        <v>15000</v>
      </c>
    </row>
    <row r="19" spans="1:21" ht="19.5" customHeight="1" x14ac:dyDescent="0.25">
      <c r="A19" s="434" t="s">
        <v>623</v>
      </c>
      <c r="B19" s="434">
        <v>6000</v>
      </c>
      <c r="C19" s="434">
        <v>6000</v>
      </c>
      <c r="D19" s="434">
        <v>6000</v>
      </c>
      <c r="E19" s="434">
        <v>6000</v>
      </c>
      <c r="F19" s="434">
        <v>6000</v>
      </c>
      <c r="G19" s="434">
        <v>6000</v>
      </c>
      <c r="H19" s="434">
        <v>6000</v>
      </c>
      <c r="I19" s="434">
        <v>6000</v>
      </c>
      <c r="J19" s="434">
        <v>6000</v>
      </c>
      <c r="K19" s="434">
        <v>6000</v>
      </c>
      <c r="L19" s="434">
        <v>6000</v>
      </c>
      <c r="M19" s="434">
        <v>6000</v>
      </c>
      <c r="N19" s="434">
        <v>6000</v>
      </c>
      <c r="O19" s="434">
        <v>6000</v>
      </c>
      <c r="P19" s="434">
        <v>6000</v>
      </c>
      <c r="Q19" s="434">
        <v>6000</v>
      </c>
      <c r="R19" s="434">
        <v>6000</v>
      </c>
      <c r="S19" s="434">
        <v>6000</v>
      </c>
      <c r="T19" s="434">
        <v>6000</v>
      </c>
      <c r="U19" s="434">
        <v>6000</v>
      </c>
    </row>
    <row r="20" spans="1:21" ht="19.5" customHeight="1" x14ac:dyDescent="0.25">
      <c r="A20" s="434" t="s">
        <v>608</v>
      </c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434"/>
      <c r="T20" s="434"/>
      <c r="U20" s="434"/>
    </row>
    <row r="21" spans="1:21" ht="19.5" customHeight="1" x14ac:dyDescent="0.25">
      <c r="A21" s="436" t="s">
        <v>614</v>
      </c>
      <c r="B21" s="437">
        <f>SUM(B18:B20)+SUM(B12:B16)</f>
        <v>55456.729999999996</v>
      </c>
      <c r="C21" s="437">
        <f t="shared" ref="C21:U21" si="8">SUM(C18:C20)+SUM(C12:C16)</f>
        <v>128964.43</v>
      </c>
      <c r="D21" s="437">
        <f t="shared" si="8"/>
        <v>128964.43</v>
      </c>
      <c r="E21" s="437">
        <f t="shared" si="8"/>
        <v>128964.43</v>
      </c>
      <c r="F21" s="437">
        <f t="shared" si="8"/>
        <v>128964.43</v>
      </c>
      <c r="G21" s="437">
        <f t="shared" si="8"/>
        <v>128964.43</v>
      </c>
      <c r="H21" s="437">
        <f t="shared" si="8"/>
        <v>128964.43</v>
      </c>
      <c r="I21" s="437">
        <f t="shared" si="8"/>
        <v>128964.43</v>
      </c>
      <c r="J21" s="437">
        <f t="shared" si="8"/>
        <v>179801.51</v>
      </c>
      <c r="K21" s="437">
        <f t="shared" si="8"/>
        <v>179801.51</v>
      </c>
      <c r="L21" s="437">
        <f t="shared" si="8"/>
        <v>179801.51</v>
      </c>
      <c r="M21" s="437">
        <f t="shared" si="8"/>
        <v>179801.51</v>
      </c>
      <c r="N21" s="437">
        <f t="shared" si="8"/>
        <v>179801.51</v>
      </c>
      <c r="O21" s="437">
        <f t="shared" si="8"/>
        <v>179801.51</v>
      </c>
      <c r="P21" s="437">
        <f t="shared" si="8"/>
        <v>179801.51</v>
      </c>
      <c r="Q21" s="437">
        <f t="shared" si="8"/>
        <v>179801.51</v>
      </c>
      <c r="R21" s="437">
        <f t="shared" si="8"/>
        <v>179801.51</v>
      </c>
      <c r="S21" s="437">
        <f t="shared" si="8"/>
        <v>179801.51</v>
      </c>
      <c r="T21" s="437">
        <f t="shared" si="8"/>
        <v>179801.51</v>
      </c>
      <c r="U21" s="437">
        <f t="shared" si="8"/>
        <v>179801.51</v>
      </c>
    </row>
    <row r="22" spans="1:21" ht="19.5" customHeight="1" x14ac:dyDescent="0.25">
      <c r="A22" s="403" t="s">
        <v>615</v>
      </c>
    </row>
    <row r="24" spans="1:21" ht="19.5" customHeight="1" x14ac:dyDescent="0.25">
      <c r="A24" t="s">
        <v>447</v>
      </c>
    </row>
  </sheetData>
  <sheetProtection objects="1"/>
  <mergeCells count="11">
    <mergeCell ref="H9:I9"/>
    <mergeCell ref="R9:S9"/>
    <mergeCell ref="T9:U9"/>
    <mergeCell ref="P9:Q9"/>
    <mergeCell ref="A9:A10"/>
    <mergeCell ref="J9:K9"/>
    <mergeCell ref="L9:M9"/>
    <mergeCell ref="N9:O9"/>
    <mergeCell ref="B9:C9"/>
    <mergeCell ref="D9:E9"/>
    <mergeCell ref="F9:G9"/>
  </mergeCells>
  <phoneticPr fontId="0" type="noConversion"/>
  <pageMargins left="0.23" right="0.59" top="0.33" bottom="0.13" header="0.49212598499999999" footer="0.35"/>
  <pageSetup paperSize="9" scale="4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3">
    <pageSetUpPr fitToPage="1"/>
  </sheetPr>
  <dimension ref="A1:U24"/>
  <sheetViews>
    <sheetView view="pageBreakPreview" topLeftCell="A2" zoomScale="60" zoomScaleNormal="100" workbookViewId="0">
      <selection activeCell="A2" sqref="A2"/>
    </sheetView>
  </sheetViews>
  <sheetFormatPr defaultColWidth="23.81640625" defaultRowHeight="19.5" customHeight="1" x14ac:dyDescent="0.25"/>
  <cols>
    <col min="1" max="1" width="40.7265625" style="403" customWidth="1"/>
    <col min="2" max="21" width="11.1796875" style="403" bestFit="1" customWidth="1"/>
    <col min="22" max="38" width="4.7265625" style="403" customWidth="1"/>
    <col min="39" max="16384" width="23.81640625" style="403"/>
  </cols>
  <sheetData>
    <row r="1" spans="1:21" ht="13.5" customHeight="1" x14ac:dyDescent="0.25">
      <c r="A1" s="403" t="str">
        <f>TECNOLOGIAS!A1</f>
        <v>Proponente: TransPolitécnica</v>
      </c>
    </row>
    <row r="2" spans="1:21" ht="13.5" customHeight="1" x14ac:dyDescent="0.25">
      <c r="A2" s="403" t="str">
        <f>TECNOLOGIAS!A2</f>
        <v>Área de Concessão: 5 (Cinco)</v>
      </c>
    </row>
    <row r="4" spans="1:21" ht="19.5" customHeight="1" x14ac:dyDescent="0.25">
      <c r="A4" s="423" t="s">
        <v>624</v>
      </c>
      <c r="B4" s="424"/>
    </row>
    <row r="5" spans="1:21" ht="19.5" customHeight="1" x14ac:dyDescent="0.25">
      <c r="A5" s="425"/>
    </row>
    <row r="6" spans="1:21" s="404" customFormat="1" ht="19.5" customHeight="1" x14ac:dyDescent="0.25">
      <c r="A6" s="426" t="s">
        <v>820</v>
      </c>
    </row>
    <row r="7" spans="1:21" ht="19.5" customHeight="1" x14ac:dyDescent="0.25">
      <c r="A7" s="403" t="s">
        <v>568</v>
      </c>
    </row>
    <row r="8" spans="1:21" ht="19.5" customHeight="1" x14ac:dyDescent="0.25">
      <c r="A8" s="426"/>
      <c r="B8" s="404"/>
      <c r="C8" s="404"/>
      <c r="D8" s="404"/>
      <c r="E8" s="404"/>
      <c r="F8" s="404"/>
      <c r="G8" s="404"/>
      <c r="H8" s="404"/>
      <c r="U8" s="428"/>
    </row>
    <row r="9" spans="1:21" ht="19.5" customHeight="1" x14ac:dyDescent="0.25">
      <c r="A9" s="689" t="s">
        <v>569</v>
      </c>
      <c r="B9" s="688" t="s">
        <v>570</v>
      </c>
      <c r="C9" s="688"/>
      <c r="D9" s="688" t="s">
        <v>571</v>
      </c>
      <c r="E9" s="688"/>
      <c r="F9" s="688" t="s">
        <v>572</v>
      </c>
      <c r="G9" s="688"/>
      <c r="H9" s="688" t="s">
        <v>573</v>
      </c>
      <c r="I9" s="688"/>
      <c r="J9" s="688" t="s">
        <v>574</v>
      </c>
      <c r="K9" s="688"/>
      <c r="L9" s="688" t="s">
        <v>575</v>
      </c>
      <c r="M9" s="688"/>
      <c r="N9" s="688" t="s">
        <v>576</v>
      </c>
      <c r="O9" s="688"/>
      <c r="P9" s="688" t="s">
        <v>577</v>
      </c>
      <c r="Q9" s="688"/>
      <c r="R9" s="688" t="s">
        <v>578</v>
      </c>
      <c r="S9" s="688"/>
      <c r="T9" s="688" t="s">
        <v>579</v>
      </c>
      <c r="U9" s="688"/>
    </row>
    <row r="10" spans="1:21" ht="19.5" customHeight="1" x14ac:dyDescent="0.25">
      <c r="A10" s="689"/>
      <c r="B10" s="429" t="s">
        <v>580</v>
      </c>
      <c r="C10" s="429" t="s">
        <v>581</v>
      </c>
      <c r="D10" s="429" t="s">
        <v>582</v>
      </c>
      <c r="E10" s="429" t="s">
        <v>583</v>
      </c>
      <c r="F10" s="429" t="s">
        <v>584</v>
      </c>
      <c r="G10" s="429" t="s">
        <v>585</v>
      </c>
      <c r="H10" s="429" t="s">
        <v>586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591</v>
      </c>
      <c r="N10" s="429" t="s">
        <v>592</v>
      </c>
      <c r="O10" s="429" t="s">
        <v>593</v>
      </c>
      <c r="P10" s="429" t="s">
        <v>594</v>
      </c>
      <c r="Q10" s="429" t="s">
        <v>595</v>
      </c>
      <c r="R10" s="429" t="s">
        <v>596</v>
      </c>
      <c r="S10" s="429" t="s">
        <v>597</v>
      </c>
      <c r="T10" s="429" t="s">
        <v>598</v>
      </c>
      <c r="U10" s="429" t="s">
        <v>599</v>
      </c>
    </row>
    <row r="11" spans="1:21" ht="19.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19.5" customHeight="1" x14ac:dyDescent="0.25">
      <c r="A12" s="434" t="s">
        <v>625</v>
      </c>
      <c r="B12" s="434">
        <v>5327.56</v>
      </c>
      <c r="C12" s="434">
        <v>5327.56</v>
      </c>
      <c r="D12" s="434">
        <v>5327.56</v>
      </c>
      <c r="E12" s="434">
        <v>5327.56</v>
      </c>
      <c r="F12" s="434">
        <v>5327.56</v>
      </c>
      <c r="G12" s="434">
        <v>5327.56</v>
      </c>
      <c r="H12" s="434">
        <v>5327.56</v>
      </c>
      <c r="I12" s="434">
        <v>5327.56</v>
      </c>
      <c r="J12" s="434">
        <v>5327.56</v>
      </c>
      <c r="K12" s="434">
        <v>5327.56</v>
      </c>
      <c r="L12" s="434">
        <v>5327.56</v>
      </c>
      <c r="M12" s="434">
        <v>5327.56</v>
      </c>
      <c r="N12" s="434">
        <v>5327.56</v>
      </c>
      <c r="O12" s="434">
        <v>5327.56</v>
      </c>
      <c r="P12" s="434">
        <v>5327.56</v>
      </c>
      <c r="Q12" s="434">
        <v>5327.56</v>
      </c>
      <c r="R12" s="434">
        <v>5327.56</v>
      </c>
      <c r="S12" s="434">
        <v>5327.56</v>
      </c>
      <c r="T12" s="434">
        <v>5327.56</v>
      </c>
      <c r="U12" s="434">
        <v>5327.56</v>
      </c>
    </row>
    <row r="13" spans="1:21" ht="19.5" customHeight="1" x14ac:dyDescent="0.25">
      <c r="A13" s="434" t="s">
        <v>626</v>
      </c>
      <c r="B13" s="434">
        <v>550.29</v>
      </c>
      <c r="C13" s="434">
        <v>550.29</v>
      </c>
      <c r="D13" s="434">
        <v>550.29</v>
      </c>
      <c r="E13" s="434">
        <v>550.29</v>
      </c>
      <c r="F13" s="434">
        <v>550.29</v>
      </c>
      <c r="G13" s="434">
        <v>550.29</v>
      </c>
      <c r="H13" s="434">
        <v>550.29</v>
      </c>
      <c r="I13" s="434">
        <v>550.29</v>
      </c>
      <c r="J13" s="434">
        <v>550.29</v>
      </c>
      <c r="K13" s="434">
        <v>550.29</v>
      </c>
      <c r="L13" s="434">
        <v>550.29</v>
      </c>
      <c r="M13" s="434">
        <v>550.29</v>
      </c>
      <c r="N13" s="434">
        <v>550.29</v>
      </c>
      <c r="O13" s="434">
        <v>550.29</v>
      </c>
      <c r="P13" s="434">
        <v>550.29</v>
      </c>
      <c r="Q13" s="434">
        <v>550.29</v>
      </c>
      <c r="R13" s="434">
        <v>550.29</v>
      </c>
      <c r="S13" s="434">
        <v>550.29</v>
      </c>
      <c r="T13" s="434">
        <v>550.29</v>
      </c>
      <c r="U13" s="434">
        <v>550.29</v>
      </c>
    </row>
    <row r="14" spans="1:21" ht="19.5" customHeight="1" x14ac:dyDescent="0.25">
      <c r="A14" s="434" t="s">
        <v>627</v>
      </c>
      <c r="B14" s="434">
        <v>3398.14</v>
      </c>
      <c r="C14" s="434">
        <v>3398.14</v>
      </c>
      <c r="D14" s="434">
        <v>3398.14</v>
      </c>
      <c r="E14" s="434">
        <v>3398.14</v>
      </c>
      <c r="F14" s="434">
        <v>3398.14</v>
      </c>
      <c r="G14" s="434">
        <v>3398.14</v>
      </c>
      <c r="H14" s="434">
        <v>3398.14</v>
      </c>
      <c r="I14" s="434">
        <v>3398.14</v>
      </c>
      <c r="J14" s="434">
        <v>3398.14</v>
      </c>
      <c r="K14" s="434">
        <v>3398.14</v>
      </c>
      <c r="L14" s="434">
        <v>3398.14</v>
      </c>
      <c r="M14" s="434">
        <v>3398.14</v>
      </c>
      <c r="N14" s="434">
        <v>3398.14</v>
      </c>
      <c r="O14" s="434">
        <v>3398.14</v>
      </c>
      <c r="P14" s="434">
        <v>3398.14</v>
      </c>
      <c r="Q14" s="434">
        <v>3398.14</v>
      </c>
      <c r="R14" s="434">
        <v>3398.14</v>
      </c>
      <c r="S14" s="434">
        <v>3398.14</v>
      </c>
      <c r="T14" s="434">
        <v>3398.14</v>
      </c>
      <c r="U14" s="434">
        <v>3398.14</v>
      </c>
    </row>
    <row r="15" spans="1:21" ht="19.5" customHeight="1" x14ac:dyDescent="0.25">
      <c r="A15" s="434" t="s">
        <v>628</v>
      </c>
      <c r="B15" s="434">
        <v>2202.04</v>
      </c>
      <c r="C15" s="434">
        <v>2202.04</v>
      </c>
      <c r="D15" s="434">
        <v>2202.04</v>
      </c>
      <c r="E15" s="434">
        <v>2202.04</v>
      </c>
      <c r="F15" s="434">
        <v>2202.04</v>
      </c>
      <c r="G15" s="434">
        <v>2202.04</v>
      </c>
      <c r="H15" s="434">
        <v>2202.04</v>
      </c>
      <c r="I15" s="434">
        <v>2202.04</v>
      </c>
      <c r="J15" s="434">
        <v>2202.04</v>
      </c>
      <c r="K15" s="434">
        <v>2202.04</v>
      </c>
      <c r="L15" s="434">
        <v>2202.04</v>
      </c>
      <c r="M15" s="434">
        <v>2202.04</v>
      </c>
      <c r="N15" s="434">
        <v>2202.04</v>
      </c>
      <c r="O15" s="434">
        <v>2202.04</v>
      </c>
      <c r="P15" s="434">
        <v>2202.04</v>
      </c>
      <c r="Q15" s="434">
        <v>2202.04</v>
      </c>
      <c r="R15" s="434">
        <v>2202.04</v>
      </c>
      <c r="S15" s="434">
        <v>2202.04</v>
      </c>
      <c r="T15" s="434">
        <v>2202.04</v>
      </c>
      <c r="U15" s="434">
        <v>2202.04</v>
      </c>
    </row>
    <row r="16" spans="1:21" ht="19.5" customHeight="1" x14ac:dyDescent="0.25">
      <c r="A16" s="434" t="s">
        <v>629</v>
      </c>
      <c r="B16" s="434">
        <f>2*1558.43</f>
        <v>3116.86</v>
      </c>
      <c r="C16" s="434">
        <f t="shared" ref="C16:U16" si="0">2*1558.43</f>
        <v>3116.86</v>
      </c>
      <c r="D16" s="434">
        <f t="shared" si="0"/>
        <v>3116.86</v>
      </c>
      <c r="E16" s="434">
        <f t="shared" si="0"/>
        <v>3116.86</v>
      </c>
      <c r="F16" s="434">
        <f t="shared" si="0"/>
        <v>3116.86</v>
      </c>
      <c r="G16" s="434">
        <f t="shared" si="0"/>
        <v>3116.86</v>
      </c>
      <c r="H16" s="434">
        <f t="shared" si="0"/>
        <v>3116.86</v>
      </c>
      <c r="I16" s="434">
        <f t="shared" si="0"/>
        <v>3116.86</v>
      </c>
      <c r="J16" s="434">
        <f t="shared" si="0"/>
        <v>3116.86</v>
      </c>
      <c r="K16" s="434">
        <f t="shared" si="0"/>
        <v>3116.86</v>
      </c>
      <c r="L16" s="434">
        <f t="shared" si="0"/>
        <v>3116.86</v>
      </c>
      <c r="M16" s="434">
        <f t="shared" si="0"/>
        <v>3116.86</v>
      </c>
      <c r="N16" s="434">
        <f t="shared" si="0"/>
        <v>3116.86</v>
      </c>
      <c r="O16" s="434">
        <f t="shared" si="0"/>
        <v>3116.86</v>
      </c>
      <c r="P16" s="434">
        <f t="shared" si="0"/>
        <v>3116.86</v>
      </c>
      <c r="Q16" s="434">
        <f t="shared" si="0"/>
        <v>3116.86</v>
      </c>
      <c r="R16" s="434">
        <f t="shared" si="0"/>
        <v>3116.86</v>
      </c>
      <c r="S16" s="434">
        <f t="shared" si="0"/>
        <v>3116.86</v>
      </c>
      <c r="T16" s="434">
        <f t="shared" si="0"/>
        <v>3116.86</v>
      </c>
      <c r="U16" s="434">
        <f t="shared" si="0"/>
        <v>3116.86</v>
      </c>
    </row>
    <row r="17" spans="1:21" ht="19.5" customHeight="1" x14ac:dyDescent="0.25">
      <c r="A17" s="434" t="s">
        <v>608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  <c r="T17" s="434"/>
      <c r="U17" s="434"/>
    </row>
    <row r="18" spans="1:21" ht="19.5" customHeight="1" x14ac:dyDescent="0.25">
      <c r="A18" s="431" t="s">
        <v>630</v>
      </c>
      <c r="B18" s="432"/>
      <c r="C18" s="432"/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/>
      <c r="P18" s="432"/>
      <c r="Q18" s="432"/>
      <c r="R18" s="432"/>
      <c r="S18" s="432"/>
      <c r="T18" s="432"/>
      <c r="U18" s="433"/>
    </row>
    <row r="19" spans="1:21" ht="19.5" customHeight="1" x14ac:dyDescent="0.25">
      <c r="A19" s="434" t="s">
        <v>631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</row>
    <row r="20" spans="1:21" ht="19.5" customHeight="1" x14ac:dyDescent="0.25">
      <c r="A20" s="434" t="s">
        <v>608</v>
      </c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434"/>
      <c r="T20" s="434"/>
      <c r="U20" s="434"/>
    </row>
    <row r="21" spans="1:21" ht="19.5" customHeight="1" x14ac:dyDescent="0.25">
      <c r="A21" s="436" t="s">
        <v>614</v>
      </c>
      <c r="B21" s="437">
        <f>SUM(B19:B20)+SUM(B12:B17)</f>
        <v>14594.89</v>
      </c>
      <c r="C21" s="437">
        <f t="shared" ref="C21:U21" si="1">SUM(C19:C20)+SUM(C12:C17)</f>
        <v>14594.89</v>
      </c>
      <c r="D21" s="437">
        <f t="shared" si="1"/>
        <v>14594.89</v>
      </c>
      <c r="E21" s="437">
        <f t="shared" si="1"/>
        <v>14594.89</v>
      </c>
      <c r="F21" s="437">
        <f t="shared" si="1"/>
        <v>14594.89</v>
      </c>
      <c r="G21" s="437">
        <f t="shared" si="1"/>
        <v>14594.89</v>
      </c>
      <c r="H21" s="437">
        <f t="shared" si="1"/>
        <v>14594.89</v>
      </c>
      <c r="I21" s="437">
        <f t="shared" si="1"/>
        <v>14594.89</v>
      </c>
      <c r="J21" s="437">
        <f t="shared" si="1"/>
        <v>14594.89</v>
      </c>
      <c r="K21" s="437">
        <f t="shared" si="1"/>
        <v>14594.89</v>
      </c>
      <c r="L21" s="437">
        <f t="shared" si="1"/>
        <v>14594.89</v>
      </c>
      <c r="M21" s="437">
        <f t="shared" si="1"/>
        <v>14594.89</v>
      </c>
      <c r="N21" s="437">
        <f t="shared" si="1"/>
        <v>14594.89</v>
      </c>
      <c r="O21" s="437">
        <f t="shared" si="1"/>
        <v>14594.89</v>
      </c>
      <c r="P21" s="437">
        <f t="shared" si="1"/>
        <v>14594.89</v>
      </c>
      <c r="Q21" s="437">
        <f t="shared" si="1"/>
        <v>14594.89</v>
      </c>
      <c r="R21" s="437">
        <f t="shared" si="1"/>
        <v>14594.89</v>
      </c>
      <c r="S21" s="437">
        <f t="shared" si="1"/>
        <v>14594.89</v>
      </c>
      <c r="T21" s="437">
        <f t="shared" si="1"/>
        <v>14594.89</v>
      </c>
      <c r="U21" s="437">
        <f t="shared" si="1"/>
        <v>14594.89</v>
      </c>
    </row>
    <row r="22" spans="1:21" ht="19.5" customHeight="1" x14ac:dyDescent="0.25">
      <c r="A22" s="403" t="s">
        <v>615</v>
      </c>
    </row>
    <row r="24" spans="1:21" ht="19.5" customHeight="1" x14ac:dyDescent="0.25">
      <c r="A24" t="s">
        <v>447</v>
      </c>
    </row>
  </sheetData>
  <sheetProtection objects="1"/>
  <mergeCells count="11">
    <mergeCell ref="T9:U9"/>
    <mergeCell ref="H9:I9"/>
    <mergeCell ref="J9:K9"/>
    <mergeCell ref="L9:M9"/>
    <mergeCell ref="N9:O9"/>
    <mergeCell ref="A9:A10"/>
    <mergeCell ref="B9:C9"/>
    <mergeCell ref="D9:E9"/>
    <mergeCell ref="F9:G9"/>
    <mergeCell ref="P9:Q9"/>
    <mergeCell ref="R9:S9"/>
  </mergeCells>
  <phoneticPr fontId="0" type="noConversion"/>
  <pageMargins left="0.23" right="0.59" top="0.33" bottom="0.13" header="0.49212598499999999" footer="0.35"/>
  <pageSetup paperSize="9" scale="53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4">
    <pageSetUpPr fitToPage="1"/>
  </sheetPr>
  <dimension ref="A1:U22"/>
  <sheetViews>
    <sheetView view="pageBreakPreview" zoomScale="60" zoomScaleNormal="100" workbookViewId="0"/>
  </sheetViews>
  <sheetFormatPr defaultColWidth="23.81640625" defaultRowHeight="19.5" customHeight="1" x14ac:dyDescent="0.25"/>
  <cols>
    <col min="1" max="1" width="40.7265625" style="403" customWidth="1"/>
    <col min="2" max="21" width="9.81640625" style="403" bestFit="1" customWidth="1"/>
    <col min="22" max="38" width="4.7265625" style="403" customWidth="1"/>
    <col min="39" max="16384" width="23.81640625" style="403"/>
  </cols>
  <sheetData>
    <row r="1" spans="1:21" ht="13.5" customHeight="1" x14ac:dyDescent="0.25">
      <c r="A1" s="403" t="str">
        <f>TECNOLOGIAS!A1</f>
        <v>Proponente: TransPolitécnica</v>
      </c>
    </row>
    <row r="2" spans="1:21" ht="13.5" customHeight="1" x14ac:dyDescent="0.25">
      <c r="A2" s="403" t="str">
        <f>TECNOLOGIAS!A2</f>
        <v>Área de Concessão: 5 (Cinco)</v>
      </c>
    </row>
    <row r="4" spans="1:21" ht="19.5" customHeight="1" x14ac:dyDescent="0.25">
      <c r="A4" s="423" t="s">
        <v>632</v>
      </c>
      <c r="B4" s="424"/>
    </row>
    <row r="5" spans="1:21" ht="19.5" customHeight="1" x14ac:dyDescent="0.25">
      <c r="A5" s="425"/>
    </row>
    <row r="6" spans="1:21" s="404" customFormat="1" ht="19.5" customHeight="1" x14ac:dyDescent="0.25">
      <c r="A6" s="426" t="s">
        <v>821</v>
      </c>
    </row>
    <row r="7" spans="1:21" ht="19.5" customHeight="1" x14ac:dyDescent="0.25">
      <c r="A7" s="403" t="s">
        <v>568</v>
      </c>
    </row>
    <row r="8" spans="1:21" ht="19.5" customHeight="1" x14ac:dyDescent="0.25">
      <c r="A8" s="427"/>
      <c r="U8" s="428"/>
    </row>
    <row r="9" spans="1:21" ht="19.5" customHeight="1" x14ac:dyDescent="0.25">
      <c r="A9" s="689" t="s">
        <v>569</v>
      </c>
      <c r="B9" s="688" t="s">
        <v>570</v>
      </c>
      <c r="C9" s="688"/>
      <c r="D9" s="688" t="s">
        <v>571</v>
      </c>
      <c r="E9" s="688"/>
      <c r="F9" s="688" t="s">
        <v>572</v>
      </c>
      <c r="G9" s="688"/>
      <c r="H9" s="688" t="s">
        <v>573</v>
      </c>
      <c r="I9" s="688"/>
      <c r="J9" s="688" t="s">
        <v>574</v>
      </c>
      <c r="K9" s="688"/>
      <c r="L9" s="688" t="s">
        <v>575</v>
      </c>
      <c r="M9" s="688"/>
      <c r="N9" s="688" t="s">
        <v>576</v>
      </c>
      <c r="O9" s="688"/>
      <c r="P9" s="688" t="s">
        <v>577</v>
      </c>
      <c r="Q9" s="688"/>
      <c r="R9" s="688" t="s">
        <v>578</v>
      </c>
      <c r="S9" s="688"/>
      <c r="T9" s="688" t="s">
        <v>579</v>
      </c>
      <c r="U9" s="688"/>
    </row>
    <row r="10" spans="1:21" ht="19.5" customHeight="1" x14ac:dyDescent="0.25">
      <c r="A10" s="689"/>
      <c r="B10" s="429" t="s">
        <v>580</v>
      </c>
      <c r="C10" s="429" t="s">
        <v>581</v>
      </c>
      <c r="D10" s="429" t="s">
        <v>582</v>
      </c>
      <c r="E10" s="429" t="s">
        <v>583</v>
      </c>
      <c r="F10" s="429" t="s">
        <v>584</v>
      </c>
      <c r="G10" s="429" t="s">
        <v>585</v>
      </c>
      <c r="H10" s="429" t="s">
        <v>586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591</v>
      </c>
      <c r="N10" s="429" t="s">
        <v>592</v>
      </c>
      <c r="O10" s="429" t="s">
        <v>593</v>
      </c>
      <c r="P10" s="429" t="s">
        <v>594</v>
      </c>
      <c r="Q10" s="429" t="s">
        <v>595</v>
      </c>
      <c r="R10" s="429" t="s">
        <v>596</v>
      </c>
      <c r="S10" s="429" t="s">
        <v>597</v>
      </c>
      <c r="T10" s="429" t="s">
        <v>598</v>
      </c>
      <c r="U10" s="429" t="s">
        <v>599</v>
      </c>
    </row>
    <row r="11" spans="1:21" ht="19.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19.5" customHeight="1" x14ac:dyDescent="0.25">
      <c r="A12" s="434" t="s">
        <v>633</v>
      </c>
      <c r="B12" s="434">
        <f>30*1883.08</f>
        <v>56492.399999999994</v>
      </c>
      <c r="C12" s="434">
        <f t="shared" ref="C12:U12" si="0">30*1883.08</f>
        <v>56492.399999999994</v>
      </c>
      <c r="D12" s="434">
        <f t="shared" si="0"/>
        <v>56492.399999999994</v>
      </c>
      <c r="E12" s="434">
        <f t="shared" si="0"/>
        <v>56492.399999999994</v>
      </c>
      <c r="F12" s="434">
        <f t="shared" si="0"/>
        <v>56492.399999999994</v>
      </c>
      <c r="G12" s="434">
        <f t="shared" si="0"/>
        <v>56492.399999999994</v>
      </c>
      <c r="H12" s="434">
        <f t="shared" si="0"/>
        <v>56492.399999999994</v>
      </c>
      <c r="I12" s="434">
        <f t="shared" si="0"/>
        <v>56492.399999999994</v>
      </c>
      <c r="J12" s="434">
        <f t="shared" si="0"/>
        <v>56492.399999999994</v>
      </c>
      <c r="K12" s="434">
        <f t="shared" si="0"/>
        <v>56492.399999999994</v>
      </c>
      <c r="L12" s="434">
        <f t="shared" si="0"/>
        <v>56492.399999999994</v>
      </c>
      <c r="M12" s="434">
        <f t="shared" si="0"/>
        <v>56492.399999999994</v>
      </c>
      <c r="N12" s="434">
        <f t="shared" si="0"/>
        <v>56492.399999999994</v>
      </c>
      <c r="O12" s="434">
        <f t="shared" si="0"/>
        <v>56492.399999999994</v>
      </c>
      <c r="P12" s="434">
        <f t="shared" si="0"/>
        <v>56492.399999999994</v>
      </c>
      <c r="Q12" s="434">
        <f t="shared" si="0"/>
        <v>56492.399999999994</v>
      </c>
      <c r="R12" s="434">
        <f t="shared" si="0"/>
        <v>56492.399999999994</v>
      </c>
      <c r="S12" s="434">
        <f t="shared" si="0"/>
        <v>56492.399999999994</v>
      </c>
      <c r="T12" s="434">
        <f t="shared" si="0"/>
        <v>56492.399999999994</v>
      </c>
      <c r="U12" s="434">
        <f t="shared" si="0"/>
        <v>56492.399999999994</v>
      </c>
    </row>
    <row r="13" spans="1:21" ht="19.5" customHeight="1" x14ac:dyDescent="0.25">
      <c r="A13" s="434" t="s">
        <v>634</v>
      </c>
      <c r="B13" s="434">
        <f>10*1883.08</f>
        <v>18830.8</v>
      </c>
      <c r="C13" s="434">
        <f t="shared" ref="C13:U13" si="1">10*1883.08</f>
        <v>18830.8</v>
      </c>
      <c r="D13" s="434">
        <f t="shared" si="1"/>
        <v>18830.8</v>
      </c>
      <c r="E13" s="434">
        <f t="shared" si="1"/>
        <v>18830.8</v>
      </c>
      <c r="F13" s="434">
        <f t="shared" si="1"/>
        <v>18830.8</v>
      </c>
      <c r="G13" s="434">
        <f t="shared" si="1"/>
        <v>18830.8</v>
      </c>
      <c r="H13" s="434">
        <f t="shared" si="1"/>
        <v>18830.8</v>
      </c>
      <c r="I13" s="434">
        <f t="shared" si="1"/>
        <v>18830.8</v>
      </c>
      <c r="J13" s="434">
        <f t="shared" si="1"/>
        <v>18830.8</v>
      </c>
      <c r="K13" s="434">
        <f t="shared" si="1"/>
        <v>18830.8</v>
      </c>
      <c r="L13" s="434">
        <f t="shared" si="1"/>
        <v>18830.8</v>
      </c>
      <c r="M13" s="434">
        <f t="shared" si="1"/>
        <v>18830.8</v>
      </c>
      <c r="N13" s="434">
        <f t="shared" si="1"/>
        <v>18830.8</v>
      </c>
      <c r="O13" s="434">
        <f t="shared" si="1"/>
        <v>18830.8</v>
      </c>
      <c r="P13" s="434">
        <f t="shared" si="1"/>
        <v>18830.8</v>
      </c>
      <c r="Q13" s="434">
        <f t="shared" si="1"/>
        <v>18830.8</v>
      </c>
      <c r="R13" s="434">
        <f t="shared" si="1"/>
        <v>18830.8</v>
      </c>
      <c r="S13" s="434">
        <f t="shared" si="1"/>
        <v>18830.8</v>
      </c>
      <c r="T13" s="434">
        <f t="shared" si="1"/>
        <v>18830.8</v>
      </c>
      <c r="U13" s="434">
        <f t="shared" si="1"/>
        <v>18830.8</v>
      </c>
    </row>
    <row r="14" spans="1:21" ht="19.5" customHeight="1" x14ac:dyDescent="0.25">
      <c r="A14" s="434" t="s">
        <v>608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434"/>
      <c r="U14" s="434"/>
    </row>
    <row r="15" spans="1:21" ht="19.5" customHeight="1" x14ac:dyDescent="0.25">
      <c r="A15" s="431" t="s">
        <v>635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3"/>
    </row>
    <row r="16" spans="1:21" ht="19.5" customHeight="1" x14ac:dyDescent="0.25">
      <c r="A16" s="435" t="s">
        <v>636</v>
      </c>
      <c r="B16" s="434">
        <v>15000</v>
      </c>
      <c r="C16" s="434">
        <v>15000</v>
      </c>
      <c r="D16" s="434">
        <v>15000</v>
      </c>
      <c r="E16" s="434">
        <v>15000</v>
      </c>
      <c r="F16" s="434">
        <v>15000</v>
      </c>
      <c r="G16" s="434">
        <v>15000</v>
      </c>
      <c r="H16" s="434">
        <v>15000</v>
      </c>
      <c r="I16" s="434">
        <v>15000</v>
      </c>
      <c r="J16" s="434">
        <v>15000</v>
      </c>
      <c r="K16" s="434">
        <v>15000</v>
      </c>
      <c r="L16" s="434">
        <v>15000</v>
      </c>
      <c r="M16" s="434">
        <v>15000</v>
      </c>
      <c r="N16" s="434">
        <v>15000</v>
      </c>
      <c r="O16" s="434">
        <v>15000</v>
      </c>
      <c r="P16" s="434">
        <v>15000</v>
      </c>
      <c r="Q16" s="434">
        <v>15000</v>
      </c>
      <c r="R16" s="434">
        <v>15000</v>
      </c>
      <c r="S16" s="434">
        <v>15000</v>
      </c>
      <c r="T16" s="434">
        <v>15000</v>
      </c>
      <c r="U16" s="434">
        <v>15000</v>
      </c>
    </row>
    <row r="17" spans="1:21" ht="19.5" customHeight="1" x14ac:dyDescent="0.25">
      <c r="A17" s="434" t="s">
        <v>637</v>
      </c>
      <c r="B17" s="434">
        <v>6000</v>
      </c>
      <c r="C17" s="434">
        <v>6000</v>
      </c>
      <c r="D17" s="434">
        <v>6000</v>
      </c>
      <c r="E17" s="434">
        <v>6000</v>
      </c>
      <c r="F17" s="434">
        <v>6000</v>
      </c>
      <c r="G17" s="434">
        <v>6000</v>
      </c>
      <c r="H17" s="434">
        <v>6000</v>
      </c>
      <c r="I17" s="434">
        <v>6000</v>
      </c>
      <c r="J17" s="434">
        <v>6000</v>
      </c>
      <c r="K17" s="434">
        <v>6000</v>
      </c>
      <c r="L17" s="434">
        <v>6000</v>
      </c>
      <c r="M17" s="434">
        <v>6000</v>
      </c>
      <c r="N17" s="434">
        <v>6000</v>
      </c>
      <c r="O17" s="434">
        <v>6000</v>
      </c>
      <c r="P17" s="434">
        <v>6000</v>
      </c>
      <c r="Q17" s="434">
        <v>6000</v>
      </c>
      <c r="R17" s="434">
        <v>6000</v>
      </c>
      <c r="S17" s="434">
        <v>6000</v>
      </c>
      <c r="T17" s="434">
        <v>6000</v>
      </c>
      <c r="U17" s="434">
        <v>6000</v>
      </c>
    </row>
    <row r="18" spans="1:21" ht="19.5" customHeight="1" x14ac:dyDescent="0.25">
      <c r="A18" s="434" t="s">
        <v>638</v>
      </c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4"/>
      <c r="R18" s="434"/>
      <c r="S18" s="434"/>
      <c r="T18" s="434"/>
      <c r="U18" s="434"/>
    </row>
    <row r="19" spans="1:21" ht="19.5" customHeight="1" x14ac:dyDescent="0.25">
      <c r="A19" s="436" t="s">
        <v>614</v>
      </c>
      <c r="B19" s="437">
        <f>SUM(B16:B18)+SUM(B12:B14)</f>
        <v>96323.199999999997</v>
      </c>
      <c r="C19" s="437">
        <f t="shared" ref="C19:U19" si="2">SUM(C16:C18)+SUM(C12:C14)</f>
        <v>96323.199999999997</v>
      </c>
      <c r="D19" s="437">
        <f t="shared" si="2"/>
        <v>96323.199999999997</v>
      </c>
      <c r="E19" s="437">
        <f t="shared" si="2"/>
        <v>96323.199999999997</v>
      </c>
      <c r="F19" s="437">
        <f t="shared" si="2"/>
        <v>96323.199999999997</v>
      </c>
      <c r="G19" s="437">
        <f t="shared" si="2"/>
        <v>96323.199999999997</v>
      </c>
      <c r="H19" s="437">
        <f t="shared" si="2"/>
        <v>96323.199999999997</v>
      </c>
      <c r="I19" s="437">
        <f t="shared" si="2"/>
        <v>96323.199999999997</v>
      </c>
      <c r="J19" s="437">
        <f t="shared" si="2"/>
        <v>96323.199999999997</v>
      </c>
      <c r="K19" s="437">
        <f t="shared" si="2"/>
        <v>96323.199999999997</v>
      </c>
      <c r="L19" s="437">
        <f t="shared" si="2"/>
        <v>96323.199999999997</v>
      </c>
      <c r="M19" s="437">
        <f t="shared" si="2"/>
        <v>96323.199999999997</v>
      </c>
      <c r="N19" s="437">
        <f t="shared" si="2"/>
        <v>96323.199999999997</v>
      </c>
      <c r="O19" s="437">
        <f t="shared" si="2"/>
        <v>96323.199999999997</v>
      </c>
      <c r="P19" s="437">
        <f t="shared" si="2"/>
        <v>96323.199999999997</v>
      </c>
      <c r="Q19" s="437">
        <f t="shared" si="2"/>
        <v>96323.199999999997</v>
      </c>
      <c r="R19" s="437">
        <f t="shared" si="2"/>
        <v>96323.199999999997</v>
      </c>
      <c r="S19" s="437">
        <f t="shared" si="2"/>
        <v>96323.199999999997</v>
      </c>
      <c r="T19" s="437">
        <f t="shared" si="2"/>
        <v>96323.199999999997</v>
      </c>
      <c r="U19" s="437">
        <f t="shared" si="2"/>
        <v>96323.199999999997</v>
      </c>
    </row>
    <row r="20" spans="1:21" ht="19.5" customHeight="1" x14ac:dyDescent="0.25">
      <c r="A20" s="403" t="s">
        <v>615</v>
      </c>
    </row>
    <row r="22" spans="1:21" ht="19.5" customHeight="1" x14ac:dyDescent="0.25">
      <c r="A22" t="s">
        <v>447</v>
      </c>
    </row>
  </sheetData>
  <sheetProtection objects="1"/>
  <mergeCells count="11">
    <mergeCell ref="T9:U9"/>
    <mergeCell ref="H9:I9"/>
    <mergeCell ref="J9:K9"/>
    <mergeCell ref="L9:M9"/>
    <mergeCell ref="N9:O9"/>
    <mergeCell ref="A9:A10"/>
    <mergeCell ref="B9:C9"/>
    <mergeCell ref="D9:E9"/>
    <mergeCell ref="F9:G9"/>
    <mergeCell ref="P9:Q9"/>
    <mergeCell ref="R9:S9"/>
  </mergeCells>
  <phoneticPr fontId="0" type="noConversion"/>
  <pageMargins left="0.23" right="0.59" top="0.33" bottom="0.13" header="0.49212598499999999" footer="0.35"/>
  <pageSetup paperSize="9" scale="5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5">
    <pageSetUpPr fitToPage="1"/>
  </sheetPr>
  <dimension ref="A1:U21"/>
  <sheetViews>
    <sheetView view="pageBreakPreview" zoomScale="60" zoomScaleNormal="100" workbookViewId="0">
      <selection activeCell="B1" sqref="B1:U65536"/>
    </sheetView>
  </sheetViews>
  <sheetFormatPr defaultColWidth="23.81640625" defaultRowHeight="19.5" customHeight="1" x14ac:dyDescent="0.25"/>
  <cols>
    <col min="1" max="1" width="40.7265625" style="403" customWidth="1"/>
    <col min="2" max="21" width="11.1796875" style="403" bestFit="1" customWidth="1"/>
    <col min="22" max="38" width="4.7265625" style="403" customWidth="1"/>
    <col min="39" max="16384" width="23.81640625" style="403"/>
  </cols>
  <sheetData>
    <row r="1" spans="1:21" ht="13.5" customHeight="1" x14ac:dyDescent="0.25">
      <c r="A1" s="403" t="str">
        <f>TECNOLOGIAS!A1</f>
        <v>Proponente: TransPolitécnica</v>
      </c>
    </row>
    <row r="2" spans="1:21" ht="13.5" customHeight="1" x14ac:dyDescent="0.25">
      <c r="A2" s="403" t="str">
        <f>TECNOLOGIAS!A2</f>
        <v>Área de Concessão: 5 (Cinco)</v>
      </c>
    </row>
    <row r="4" spans="1:21" ht="19.5" customHeight="1" x14ac:dyDescent="0.25">
      <c r="A4" s="423" t="s">
        <v>639</v>
      </c>
      <c r="B4" s="424"/>
    </row>
    <row r="5" spans="1:21" ht="19.5" customHeight="1" x14ac:dyDescent="0.25">
      <c r="A5" s="425"/>
    </row>
    <row r="6" spans="1:21" s="404" customFormat="1" ht="19.5" customHeight="1" x14ac:dyDescent="0.25">
      <c r="A6" s="426" t="s">
        <v>822</v>
      </c>
    </row>
    <row r="7" spans="1:21" ht="19.5" customHeight="1" x14ac:dyDescent="0.25">
      <c r="A7" s="403" t="s">
        <v>568</v>
      </c>
    </row>
    <row r="8" spans="1:21" ht="19.5" customHeight="1" x14ac:dyDescent="0.25">
      <c r="A8" s="427"/>
      <c r="U8" s="428"/>
    </row>
    <row r="9" spans="1:21" ht="19.5" customHeight="1" x14ac:dyDescent="0.25">
      <c r="A9" s="689" t="s">
        <v>569</v>
      </c>
      <c r="B9" s="688" t="s">
        <v>570</v>
      </c>
      <c r="C9" s="688"/>
      <c r="D9" s="688" t="s">
        <v>571</v>
      </c>
      <c r="E9" s="688"/>
      <c r="F9" s="688" t="s">
        <v>572</v>
      </c>
      <c r="G9" s="688"/>
      <c r="H9" s="688" t="s">
        <v>573</v>
      </c>
      <c r="I9" s="688"/>
      <c r="J9" s="688" t="s">
        <v>574</v>
      </c>
      <c r="K9" s="688"/>
      <c r="L9" s="688" t="s">
        <v>575</v>
      </c>
      <c r="M9" s="688"/>
      <c r="N9" s="688" t="s">
        <v>576</v>
      </c>
      <c r="O9" s="688"/>
      <c r="P9" s="688" t="s">
        <v>577</v>
      </c>
      <c r="Q9" s="688"/>
      <c r="R9" s="688" t="s">
        <v>578</v>
      </c>
      <c r="S9" s="688"/>
      <c r="T9" s="688" t="s">
        <v>579</v>
      </c>
      <c r="U9" s="688"/>
    </row>
    <row r="10" spans="1:21" ht="19.5" customHeight="1" x14ac:dyDescent="0.25">
      <c r="A10" s="689"/>
      <c r="B10" s="429" t="s">
        <v>580</v>
      </c>
      <c r="C10" s="429" t="s">
        <v>581</v>
      </c>
      <c r="D10" s="429" t="s">
        <v>582</v>
      </c>
      <c r="E10" s="429" t="s">
        <v>583</v>
      </c>
      <c r="F10" s="429" t="s">
        <v>584</v>
      </c>
      <c r="G10" s="429" t="s">
        <v>585</v>
      </c>
      <c r="H10" s="429" t="s">
        <v>586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591</v>
      </c>
      <c r="N10" s="429" t="s">
        <v>592</v>
      </c>
      <c r="O10" s="429" t="s">
        <v>593</v>
      </c>
      <c r="P10" s="429" t="s">
        <v>594</v>
      </c>
      <c r="Q10" s="429" t="s">
        <v>595</v>
      </c>
      <c r="R10" s="429" t="s">
        <v>596</v>
      </c>
      <c r="S10" s="429" t="s">
        <v>597</v>
      </c>
      <c r="T10" s="429" t="s">
        <v>598</v>
      </c>
      <c r="U10" s="429" t="s">
        <v>599</v>
      </c>
    </row>
    <row r="11" spans="1:21" ht="19.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19.5" customHeight="1" x14ac:dyDescent="0.25">
      <c r="A12" s="434" t="s">
        <v>640</v>
      </c>
      <c r="B12" s="434">
        <f>2543.78</f>
        <v>2543.7800000000002</v>
      </c>
      <c r="C12" s="434">
        <f t="shared" ref="C12:U12" si="0">2543.78</f>
        <v>2543.7800000000002</v>
      </c>
      <c r="D12" s="434">
        <f t="shared" si="0"/>
        <v>2543.7800000000002</v>
      </c>
      <c r="E12" s="434">
        <f t="shared" si="0"/>
        <v>2543.7800000000002</v>
      </c>
      <c r="F12" s="434">
        <f t="shared" si="0"/>
        <v>2543.7800000000002</v>
      </c>
      <c r="G12" s="434">
        <f t="shared" si="0"/>
        <v>2543.7800000000002</v>
      </c>
      <c r="H12" s="434">
        <f t="shared" si="0"/>
        <v>2543.7800000000002</v>
      </c>
      <c r="I12" s="434">
        <f t="shared" si="0"/>
        <v>2543.7800000000002</v>
      </c>
      <c r="J12" s="434">
        <f t="shared" si="0"/>
        <v>2543.7800000000002</v>
      </c>
      <c r="K12" s="434">
        <f t="shared" si="0"/>
        <v>2543.7800000000002</v>
      </c>
      <c r="L12" s="434">
        <f t="shared" si="0"/>
        <v>2543.7800000000002</v>
      </c>
      <c r="M12" s="434">
        <f t="shared" si="0"/>
        <v>2543.7800000000002</v>
      </c>
      <c r="N12" s="434">
        <f t="shared" si="0"/>
        <v>2543.7800000000002</v>
      </c>
      <c r="O12" s="434">
        <f t="shared" si="0"/>
        <v>2543.7800000000002</v>
      </c>
      <c r="P12" s="434">
        <f t="shared" si="0"/>
        <v>2543.7800000000002</v>
      </c>
      <c r="Q12" s="434">
        <f t="shared" si="0"/>
        <v>2543.7800000000002</v>
      </c>
      <c r="R12" s="434">
        <f t="shared" si="0"/>
        <v>2543.7800000000002</v>
      </c>
      <c r="S12" s="434">
        <f t="shared" si="0"/>
        <v>2543.7800000000002</v>
      </c>
      <c r="T12" s="434">
        <f t="shared" si="0"/>
        <v>2543.7800000000002</v>
      </c>
      <c r="U12" s="434">
        <f t="shared" si="0"/>
        <v>2543.7800000000002</v>
      </c>
    </row>
    <row r="13" spans="1:21" ht="19.5" customHeight="1" x14ac:dyDescent="0.25">
      <c r="A13" s="434" t="s">
        <v>641</v>
      </c>
      <c r="B13" s="434">
        <f>24*1233.77</f>
        <v>29610.48</v>
      </c>
      <c r="C13" s="434">
        <f t="shared" ref="C13:U13" si="1">24*1233.77</f>
        <v>29610.48</v>
      </c>
      <c r="D13" s="434">
        <f t="shared" si="1"/>
        <v>29610.48</v>
      </c>
      <c r="E13" s="434">
        <f t="shared" si="1"/>
        <v>29610.48</v>
      </c>
      <c r="F13" s="434">
        <f t="shared" si="1"/>
        <v>29610.48</v>
      </c>
      <c r="G13" s="434">
        <f t="shared" si="1"/>
        <v>29610.48</v>
      </c>
      <c r="H13" s="434">
        <f t="shared" si="1"/>
        <v>29610.48</v>
      </c>
      <c r="I13" s="434">
        <f t="shared" si="1"/>
        <v>29610.48</v>
      </c>
      <c r="J13" s="434">
        <f t="shared" si="1"/>
        <v>29610.48</v>
      </c>
      <c r="K13" s="434">
        <f t="shared" si="1"/>
        <v>29610.48</v>
      </c>
      <c r="L13" s="434">
        <f t="shared" si="1"/>
        <v>29610.48</v>
      </c>
      <c r="M13" s="434">
        <f t="shared" si="1"/>
        <v>29610.48</v>
      </c>
      <c r="N13" s="434">
        <f t="shared" si="1"/>
        <v>29610.48</v>
      </c>
      <c r="O13" s="434">
        <f t="shared" si="1"/>
        <v>29610.48</v>
      </c>
      <c r="P13" s="434">
        <f t="shared" si="1"/>
        <v>29610.48</v>
      </c>
      <c r="Q13" s="434">
        <f t="shared" si="1"/>
        <v>29610.48</v>
      </c>
      <c r="R13" s="434">
        <f t="shared" si="1"/>
        <v>29610.48</v>
      </c>
      <c r="S13" s="434">
        <f t="shared" si="1"/>
        <v>29610.48</v>
      </c>
      <c r="T13" s="434">
        <f t="shared" si="1"/>
        <v>29610.48</v>
      </c>
      <c r="U13" s="434">
        <f t="shared" si="1"/>
        <v>29610.48</v>
      </c>
    </row>
    <row r="14" spans="1:21" ht="19.5" customHeight="1" x14ac:dyDescent="0.25">
      <c r="A14" s="434" t="s">
        <v>608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434"/>
      <c r="U14" s="434"/>
    </row>
    <row r="15" spans="1:21" ht="19.5" customHeight="1" x14ac:dyDescent="0.25">
      <c r="A15" s="431" t="s">
        <v>635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3"/>
    </row>
    <row r="16" spans="1:21" ht="19.5" customHeight="1" x14ac:dyDescent="0.25">
      <c r="A16" s="434" t="s">
        <v>637</v>
      </c>
      <c r="B16" s="434">
        <v>30000</v>
      </c>
      <c r="C16" s="434">
        <v>30000</v>
      </c>
      <c r="D16" s="434">
        <v>30000</v>
      </c>
      <c r="E16" s="434">
        <v>30000</v>
      </c>
      <c r="F16" s="434">
        <v>30000</v>
      </c>
      <c r="G16" s="434">
        <v>30000</v>
      </c>
      <c r="H16" s="434">
        <v>30000</v>
      </c>
      <c r="I16" s="434">
        <v>30000</v>
      </c>
      <c r="J16" s="434">
        <v>30000</v>
      </c>
      <c r="K16" s="434">
        <v>30000</v>
      </c>
      <c r="L16" s="434">
        <v>30000</v>
      </c>
      <c r="M16" s="434">
        <v>30000</v>
      </c>
      <c r="N16" s="434">
        <v>30000</v>
      </c>
      <c r="O16" s="434">
        <v>30000</v>
      </c>
      <c r="P16" s="434">
        <v>30000</v>
      </c>
      <c r="Q16" s="434">
        <v>30000</v>
      </c>
      <c r="R16" s="434">
        <v>30000</v>
      </c>
      <c r="S16" s="434">
        <v>30000</v>
      </c>
      <c r="T16" s="434">
        <v>30000</v>
      </c>
      <c r="U16" s="434">
        <v>30000</v>
      </c>
    </row>
    <row r="17" spans="1:21" ht="19.5" customHeight="1" x14ac:dyDescent="0.25">
      <c r="A17" s="434" t="s">
        <v>638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  <c r="T17" s="434"/>
      <c r="U17" s="434"/>
    </row>
    <row r="18" spans="1:21" ht="19.5" customHeight="1" x14ac:dyDescent="0.25">
      <c r="A18" s="436" t="s">
        <v>614</v>
      </c>
      <c r="B18" s="437">
        <f>SUM(B16:B17)+SUM(B12:B14)</f>
        <v>62154.259999999995</v>
      </c>
      <c r="C18" s="437">
        <f t="shared" ref="C18:U18" si="2">SUM(C16:C17)+SUM(C12:C14)</f>
        <v>62154.259999999995</v>
      </c>
      <c r="D18" s="437">
        <f t="shared" si="2"/>
        <v>62154.259999999995</v>
      </c>
      <c r="E18" s="437">
        <f t="shared" si="2"/>
        <v>62154.259999999995</v>
      </c>
      <c r="F18" s="437">
        <f t="shared" si="2"/>
        <v>62154.259999999995</v>
      </c>
      <c r="G18" s="437">
        <f t="shared" si="2"/>
        <v>62154.259999999995</v>
      </c>
      <c r="H18" s="437">
        <f t="shared" si="2"/>
        <v>62154.259999999995</v>
      </c>
      <c r="I18" s="437">
        <f t="shared" si="2"/>
        <v>62154.259999999995</v>
      </c>
      <c r="J18" s="437">
        <f t="shared" si="2"/>
        <v>62154.259999999995</v>
      </c>
      <c r="K18" s="437">
        <f t="shared" si="2"/>
        <v>62154.259999999995</v>
      </c>
      <c r="L18" s="437">
        <f t="shared" si="2"/>
        <v>62154.259999999995</v>
      </c>
      <c r="M18" s="437">
        <f t="shared" si="2"/>
        <v>62154.259999999995</v>
      </c>
      <c r="N18" s="437">
        <f t="shared" si="2"/>
        <v>62154.259999999995</v>
      </c>
      <c r="O18" s="437">
        <f t="shared" si="2"/>
        <v>62154.259999999995</v>
      </c>
      <c r="P18" s="437">
        <f t="shared" si="2"/>
        <v>62154.259999999995</v>
      </c>
      <c r="Q18" s="437">
        <f t="shared" si="2"/>
        <v>62154.259999999995</v>
      </c>
      <c r="R18" s="437">
        <f t="shared" si="2"/>
        <v>62154.259999999995</v>
      </c>
      <c r="S18" s="437">
        <f t="shared" si="2"/>
        <v>62154.259999999995</v>
      </c>
      <c r="T18" s="437">
        <f t="shared" si="2"/>
        <v>62154.259999999995</v>
      </c>
      <c r="U18" s="437">
        <f t="shared" si="2"/>
        <v>62154.259999999995</v>
      </c>
    </row>
    <row r="19" spans="1:21" ht="19.5" customHeight="1" x14ac:dyDescent="0.25">
      <c r="A19" s="403" t="s">
        <v>615</v>
      </c>
    </row>
    <row r="21" spans="1:21" ht="19.5" customHeight="1" x14ac:dyDescent="0.25">
      <c r="A21" t="s">
        <v>447</v>
      </c>
    </row>
  </sheetData>
  <sheetProtection objects="1"/>
  <mergeCells count="11">
    <mergeCell ref="A9:A10"/>
    <mergeCell ref="B9:C9"/>
    <mergeCell ref="D9:E9"/>
    <mergeCell ref="F9:G9"/>
    <mergeCell ref="N9:O9"/>
    <mergeCell ref="P9:Q9"/>
    <mergeCell ref="R9:S9"/>
    <mergeCell ref="T9:U9"/>
    <mergeCell ref="H9:I9"/>
    <mergeCell ref="J9:K9"/>
    <mergeCell ref="L9:M9"/>
  </mergeCells>
  <phoneticPr fontId="0" type="noConversion"/>
  <pageMargins left="0.23" right="0.59" top="0.33" bottom="0.13" header="0.49212598499999999" footer="0.35"/>
  <pageSetup paperSize="9" scale="53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6">
    <pageSetUpPr fitToPage="1"/>
  </sheetPr>
  <dimension ref="A1:U20"/>
  <sheetViews>
    <sheetView view="pageBreakPreview" zoomScale="60" zoomScaleNormal="100" workbookViewId="0"/>
  </sheetViews>
  <sheetFormatPr defaultColWidth="23.81640625" defaultRowHeight="19.5" customHeight="1" x14ac:dyDescent="0.25"/>
  <cols>
    <col min="1" max="1" width="40.7265625" style="403" customWidth="1"/>
    <col min="2" max="21" width="11.1796875" style="403" bestFit="1" customWidth="1"/>
    <col min="22" max="38" width="4.7265625" style="403" customWidth="1"/>
    <col min="39" max="16384" width="23.81640625" style="403"/>
  </cols>
  <sheetData>
    <row r="1" spans="1:21" ht="13.5" customHeight="1" x14ac:dyDescent="0.25">
      <c r="A1" s="403" t="str">
        <f>TECNOLOGIAS!A1</f>
        <v>Proponente: TransPolitécnica</v>
      </c>
    </row>
    <row r="2" spans="1:21" ht="13.5" customHeight="1" x14ac:dyDescent="0.25">
      <c r="A2" s="403" t="str">
        <f>TECNOLOGIAS!A2</f>
        <v>Área de Concessão: 5 (Cinco)</v>
      </c>
    </row>
    <row r="4" spans="1:21" ht="19.5" customHeight="1" x14ac:dyDescent="0.25">
      <c r="A4" s="423" t="s">
        <v>642</v>
      </c>
      <c r="B4" s="424"/>
    </row>
    <row r="5" spans="1:21" ht="19.5" customHeight="1" x14ac:dyDescent="0.25">
      <c r="A5" s="425"/>
    </row>
    <row r="6" spans="1:21" s="404" customFormat="1" ht="19.5" customHeight="1" x14ac:dyDescent="0.25">
      <c r="A6" s="426" t="s">
        <v>823</v>
      </c>
    </row>
    <row r="7" spans="1:21" ht="19.5" customHeight="1" x14ac:dyDescent="0.25">
      <c r="A7" s="403" t="s">
        <v>568</v>
      </c>
    </row>
    <row r="8" spans="1:21" ht="19.5" customHeight="1" x14ac:dyDescent="0.25">
      <c r="A8" s="427"/>
      <c r="U8" s="428"/>
    </row>
    <row r="9" spans="1:21" ht="19.5" customHeight="1" x14ac:dyDescent="0.25">
      <c r="A9" s="689" t="s">
        <v>569</v>
      </c>
      <c r="B9" s="688" t="s">
        <v>570</v>
      </c>
      <c r="C9" s="688"/>
      <c r="D9" s="688" t="s">
        <v>571</v>
      </c>
      <c r="E9" s="688"/>
      <c r="F9" s="688" t="s">
        <v>572</v>
      </c>
      <c r="G9" s="688"/>
      <c r="H9" s="688" t="s">
        <v>573</v>
      </c>
      <c r="I9" s="688"/>
      <c r="J9" s="688" t="s">
        <v>574</v>
      </c>
      <c r="K9" s="688"/>
      <c r="L9" s="688" t="s">
        <v>575</v>
      </c>
      <c r="M9" s="688"/>
      <c r="N9" s="688" t="s">
        <v>576</v>
      </c>
      <c r="O9" s="688"/>
      <c r="P9" s="688" t="s">
        <v>577</v>
      </c>
      <c r="Q9" s="688"/>
      <c r="R9" s="688" t="s">
        <v>578</v>
      </c>
      <c r="S9" s="688"/>
      <c r="T9" s="688" t="s">
        <v>579</v>
      </c>
      <c r="U9" s="688"/>
    </row>
    <row r="10" spans="1:21" ht="19.5" customHeight="1" x14ac:dyDescent="0.25">
      <c r="A10" s="689"/>
      <c r="B10" s="429" t="s">
        <v>580</v>
      </c>
      <c r="C10" s="429" t="s">
        <v>581</v>
      </c>
      <c r="D10" s="429" t="s">
        <v>582</v>
      </c>
      <c r="E10" s="429" t="s">
        <v>583</v>
      </c>
      <c r="F10" s="429" t="s">
        <v>584</v>
      </c>
      <c r="G10" s="429" t="s">
        <v>585</v>
      </c>
      <c r="H10" s="429" t="s">
        <v>586</v>
      </c>
      <c r="I10" s="429" t="s">
        <v>587</v>
      </c>
      <c r="J10" s="429" t="s">
        <v>588</v>
      </c>
      <c r="K10" s="429" t="s">
        <v>589</v>
      </c>
      <c r="L10" s="429" t="s">
        <v>590</v>
      </c>
      <c r="M10" s="429" t="s">
        <v>591</v>
      </c>
      <c r="N10" s="429" t="s">
        <v>592</v>
      </c>
      <c r="O10" s="429" t="s">
        <v>593</v>
      </c>
      <c r="P10" s="429" t="s">
        <v>594</v>
      </c>
      <c r="Q10" s="429" t="s">
        <v>595</v>
      </c>
      <c r="R10" s="429" t="s">
        <v>596</v>
      </c>
      <c r="S10" s="429" t="s">
        <v>597</v>
      </c>
      <c r="T10" s="429" t="s">
        <v>598</v>
      </c>
      <c r="U10" s="429" t="s">
        <v>599</v>
      </c>
    </row>
    <row r="11" spans="1:21" ht="19.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19.5" customHeight="1" x14ac:dyDescent="0.25">
      <c r="A12" s="434" t="s">
        <v>643</v>
      </c>
      <c r="B12" s="434">
        <f>1396.88</f>
        <v>1396.88</v>
      </c>
      <c r="C12" s="434">
        <f>2*1396.88</f>
        <v>2793.76</v>
      </c>
      <c r="D12" s="434">
        <f t="shared" ref="D12:I12" si="0">2*1396.88</f>
        <v>2793.76</v>
      </c>
      <c r="E12" s="434">
        <f t="shared" si="0"/>
        <v>2793.76</v>
      </c>
      <c r="F12" s="434">
        <f t="shared" si="0"/>
        <v>2793.76</v>
      </c>
      <c r="G12" s="434">
        <f t="shared" si="0"/>
        <v>2793.76</v>
      </c>
      <c r="H12" s="434">
        <f t="shared" si="0"/>
        <v>2793.76</v>
      </c>
      <c r="I12" s="434">
        <f t="shared" si="0"/>
        <v>2793.76</v>
      </c>
      <c r="J12" s="434">
        <f>4*1396.88</f>
        <v>5587.52</v>
      </c>
      <c r="K12" s="434">
        <f t="shared" ref="K12:U12" si="1">4*1396.88</f>
        <v>5587.52</v>
      </c>
      <c r="L12" s="434">
        <f t="shared" si="1"/>
        <v>5587.52</v>
      </c>
      <c r="M12" s="434">
        <f t="shared" si="1"/>
        <v>5587.52</v>
      </c>
      <c r="N12" s="434">
        <f t="shared" si="1"/>
        <v>5587.52</v>
      </c>
      <c r="O12" s="434">
        <f t="shared" si="1"/>
        <v>5587.52</v>
      </c>
      <c r="P12" s="434">
        <f t="shared" si="1"/>
        <v>5587.52</v>
      </c>
      <c r="Q12" s="434">
        <f t="shared" si="1"/>
        <v>5587.52</v>
      </c>
      <c r="R12" s="434">
        <f t="shared" si="1"/>
        <v>5587.52</v>
      </c>
      <c r="S12" s="434">
        <f t="shared" si="1"/>
        <v>5587.52</v>
      </c>
      <c r="T12" s="434">
        <f t="shared" si="1"/>
        <v>5587.52</v>
      </c>
      <c r="U12" s="434">
        <f t="shared" si="1"/>
        <v>5587.52</v>
      </c>
    </row>
    <row r="13" spans="1:21" ht="19.5" customHeight="1" x14ac:dyDescent="0.25">
      <c r="A13" s="434" t="s">
        <v>608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</row>
    <row r="14" spans="1:21" ht="19.5" customHeight="1" x14ac:dyDescent="0.25">
      <c r="A14" s="431" t="s">
        <v>635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3"/>
    </row>
    <row r="15" spans="1:21" ht="19.5" customHeight="1" x14ac:dyDescent="0.25">
      <c r="A15" s="434" t="s">
        <v>644</v>
      </c>
      <c r="B15" s="434">
        <v>40000</v>
      </c>
      <c r="C15" s="434">
        <v>40000</v>
      </c>
      <c r="D15" s="434">
        <v>40000</v>
      </c>
      <c r="E15" s="434">
        <v>40000</v>
      </c>
      <c r="F15" s="434">
        <v>40000</v>
      </c>
      <c r="G15" s="434">
        <v>40000</v>
      </c>
      <c r="H15" s="434">
        <v>40000</v>
      </c>
      <c r="I15" s="434">
        <v>40000</v>
      </c>
      <c r="J15" s="434">
        <v>60000</v>
      </c>
      <c r="K15" s="434">
        <v>60000</v>
      </c>
      <c r="L15" s="434">
        <v>60000</v>
      </c>
      <c r="M15" s="434">
        <v>60000</v>
      </c>
      <c r="N15" s="434">
        <v>60000</v>
      </c>
      <c r="O15" s="434">
        <v>60000</v>
      </c>
      <c r="P15" s="434">
        <v>60000</v>
      </c>
      <c r="Q15" s="434">
        <v>60000</v>
      </c>
      <c r="R15" s="434">
        <v>60000</v>
      </c>
      <c r="S15" s="434">
        <v>60000</v>
      </c>
      <c r="T15" s="434">
        <v>60000</v>
      </c>
      <c r="U15" s="434">
        <v>60000</v>
      </c>
    </row>
    <row r="16" spans="1:21" ht="19.5" customHeight="1" x14ac:dyDescent="0.25">
      <c r="A16" s="434" t="s">
        <v>638</v>
      </c>
      <c r="B16" s="434"/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434"/>
      <c r="Q16" s="434"/>
      <c r="R16" s="434"/>
      <c r="S16" s="434"/>
      <c r="T16" s="434"/>
      <c r="U16" s="434"/>
    </row>
    <row r="17" spans="1:21" ht="19.5" customHeight="1" x14ac:dyDescent="0.25">
      <c r="A17" s="436" t="s">
        <v>614</v>
      </c>
      <c r="B17" s="437">
        <f>SUM(B15:B16)+SUM(B12:B13)</f>
        <v>41396.879999999997</v>
      </c>
      <c r="C17" s="437">
        <f t="shared" ref="C17:U17" si="2">SUM(C15:C16)+SUM(C12:C13)</f>
        <v>42793.760000000002</v>
      </c>
      <c r="D17" s="437">
        <f t="shared" si="2"/>
        <v>42793.760000000002</v>
      </c>
      <c r="E17" s="437">
        <f t="shared" si="2"/>
        <v>42793.760000000002</v>
      </c>
      <c r="F17" s="437">
        <f t="shared" si="2"/>
        <v>42793.760000000002</v>
      </c>
      <c r="G17" s="437">
        <f t="shared" si="2"/>
        <v>42793.760000000002</v>
      </c>
      <c r="H17" s="437">
        <f t="shared" si="2"/>
        <v>42793.760000000002</v>
      </c>
      <c r="I17" s="437">
        <f t="shared" si="2"/>
        <v>42793.760000000002</v>
      </c>
      <c r="J17" s="437">
        <f t="shared" si="2"/>
        <v>65587.520000000004</v>
      </c>
      <c r="K17" s="437">
        <f t="shared" si="2"/>
        <v>65587.520000000004</v>
      </c>
      <c r="L17" s="437">
        <f t="shared" si="2"/>
        <v>65587.520000000004</v>
      </c>
      <c r="M17" s="437">
        <f t="shared" si="2"/>
        <v>65587.520000000004</v>
      </c>
      <c r="N17" s="437">
        <f t="shared" si="2"/>
        <v>65587.520000000004</v>
      </c>
      <c r="O17" s="437">
        <f t="shared" si="2"/>
        <v>65587.520000000004</v>
      </c>
      <c r="P17" s="437">
        <f t="shared" si="2"/>
        <v>65587.520000000004</v>
      </c>
      <c r="Q17" s="437">
        <f t="shared" si="2"/>
        <v>65587.520000000004</v>
      </c>
      <c r="R17" s="437">
        <f t="shared" si="2"/>
        <v>65587.520000000004</v>
      </c>
      <c r="S17" s="437">
        <f t="shared" si="2"/>
        <v>65587.520000000004</v>
      </c>
      <c r="T17" s="437">
        <f t="shared" si="2"/>
        <v>65587.520000000004</v>
      </c>
      <c r="U17" s="437">
        <f t="shared" si="2"/>
        <v>65587.520000000004</v>
      </c>
    </row>
    <row r="18" spans="1:21" ht="19.5" customHeight="1" x14ac:dyDescent="0.25">
      <c r="A18" s="403" t="s">
        <v>615</v>
      </c>
    </row>
    <row r="20" spans="1:21" ht="19.5" customHeight="1" x14ac:dyDescent="0.25">
      <c r="A20" t="s">
        <v>447</v>
      </c>
    </row>
  </sheetData>
  <sheetProtection objects="1"/>
  <mergeCells count="11">
    <mergeCell ref="T9:U9"/>
    <mergeCell ref="H9:I9"/>
    <mergeCell ref="J9:K9"/>
    <mergeCell ref="L9:M9"/>
    <mergeCell ref="N9:O9"/>
    <mergeCell ref="A9:A10"/>
    <mergeCell ref="B9:C9"/>
    <mergeCell ref="D9:E9"/>
    <mergeCell ref="F9:G9"/>
    <mergeCell ref="P9:Q9"/>
    <mergeCell ref="R9:S9"/>
  </mergeCells>
  <phoneticPr fontId="0" type="noConversion"/>
  <pageMargins left="0.23" right="0.59" top="0.33" bottom="0.13" header="0.49212598499999999" footer="0.35"/>
  <pageSetup paperSize="9" scale="53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7">
    <pageSetUpPr fitToPage="1"/>
  </sheetPr>
  <dimension ref="A1:AA29"/>
  <sheetViews>
    <sheetView view="pageBreakPreview" zoomScale="60" zoomScaleNormal="100" workbookViewId="0"/>
  </sheetViews>
  <sheetFormatPr defaultColWidth="23.81640625" defaultRowHeight="20.25" customHeight="1" x14ac:dyDescent="0.25"/>
  <cols>
    <col min="1" max="1" width="40.7265625" customWidth="1"/>
    <col min="2" max="21" width="11.1796875" bestFit="1" customWidth="1"/>
    <col min="22" max="34" width="5" customWidth="1"/>
  </cols>
  <sheetData>
    <row r="1" spans="1:27" ht="13.5" customHeight="1" x14ac:dyDescent="0.25">
      <c r="A1" t="str">
        <f>TECNOLOGIAS!A1</f>
        <v>Proponente: TransPolitécnica</v>
      </c>
    </row>
    <row r="2" spans="1:27" ht="13.5" customHeight="1" x14ac:dyDescent="0.25">
      <c r="A2" t="str">
        <f>TECNOLOGIAS!A2</f>
        <v>Área de Concessão: 5 (Cinco)</v>
      </c>
    </row>
    <row r="4" spans="1:27" ht="20.25" customHeight="1" x14ac:dyDescent="0.3">
      <c r="A4" s="438" t="s">
        <v>645</v>
      </c>
      <c r="B4" s="439"/>
    </row>
    <row r="6" spans="1:27" ht="20.25" customHeight="1" x14ac:dyDescent="0.3">
      <c r="A6" s="450" t="s">
        <v>646</v>
      </c>
      <c r="B6" s="449"/>
      <c r="C6" s="449"/>
      <c r="D6" s="449"/>
      <c r="E6" s="449"/>
      <c r="F6" s="449"/>
      <c r="G6" s="449"/>
      <c r="H6" s="44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20.25" customHeight="1" x14ac:dyDescent="0.25">
      <c r="A7" s="317" t="s">
        <v>568</v>
      </c>
      <c r="B7" s="317"/>
      <c r="C7" s="317"/>
      <c r="D7" s="317"/>
      <c r="E7" s="317"/>
      <c r="F7" s="317"/>
      <c r="G7" s="317"/>
      <c r="H7" s="317"/>
    </row>
    <row r="8" spans="1:27" ht="20.25" customHeight="1" x14ac:dyDescent="0.3">
      <c r="A8" s="440"/>
      <c r="B8" s="317"/>
      <c r="C8" s="317"/>
      <c r="D8" s="317"/>
      <c r="E8" s="317"/>
      <c r="F8" s="317"/>
      <c r="G8" s="317"/>
      <c r="H8" s="317"/>
      <c r="U8" s="441"/>
    </row>
    <row r="9" spans="1:27" ht="20.25" customHeight="1" x14ac:dyDescent="0.25">
      <c r="A9" s="689" t="s">
        <v>569</v>
      </c>
      <c r="B9" s="691" t="s">
        <v>570</v>
      </c>
      <c r="C9" s="691"/>
      <c r="D9" s="691" t="s">
        <v>571</v>
      </c>
      <c r="E9" s="691"/>
      <c r="F9" s="691" t="s">
        <v>572</v>
      </c>
      <c r="G9" s="691"/>
      <c r="H9" s="691" t="s">
        <v>573</v>
      </c>
      <c r="I9" s="691"/>
      <c r="J9" s="691" t="s">
        <v>574</v>
      </c>
      <c r="K9" s="691"/>
      <c r="L9" s="691" t="s">
        <v>575</v>
      </c>
      <c r="M9" s="691"/>
      <c r="N9" s="691" t="s">
        <v>576</v>
      </c>
      <c r="O9" s="691"/>
      <c r="P9" s="691" t="s">
        <v>577</v>
      </c>
      <c r="Q9" s="691"/>
      <c r="R9" s="691" t="s">
        <v>578</v>
      </c>
      <c r="S9" s="691"/>
      <c r="T9" s="691" t="s">
        <v>579</v>
      </c>
      <c r="U9" s="691"/>
    </row>
    <row r="10" spans="1:27" ht="20.25" customHeight="1" x14ac:dyDescent="0.25">
      <c r="A10" s="689"/>
      <c r="B10" s="442" t="s">
        <v>580</v>
      </c>
      <c r="C10" s="442" t="s">
        <v>581</v>
      </c>
      <c r="D10" s="442" t="s">
        <v>582</v>
      </c>
      <c r="E10" s="442" t="s">
        <v>583</v>
      </c>
      <c r="F10" s="442" t="s">
        <v>584</v>
      </c>
      <c r="G10" s="442" t="s">
        <v>585</v>
      </c>
      <c r="H10" s="442" t="s">
        <v>586</v>
      </c>
      <c r="I10" s="442" t="s">
        <v>587</v>
      </c>
      <c r="J10" s="442" t="s">
        <v>588</v>
      </c>
      <c r="K10" s="442" t="s">
        <v>589</v>
      </c>
      <c r="L10" s="442" t="s">
        <v>590</v>
      </c>
      <c r="M10" s="442" t="s">
        <v>591</v>
      </c>
      <c r="N10" s="442" t="s">
        <v>592</v>
      </c>
      <c r="O10" s="442" t="s">
        <v>593</v>
      </c>
      <c r="P10" s="442" t="s">
        <v>594</v>
      </c>
      <c r="Q10" s="442" t="s">
        <v>595</v>
      </c>
      <c r="R10" s="442" t="s">
        <v>596</v>
      </c>
      <c r="S10" s="442" t="s">
        <v>597</v>
      </c>
      <c r="T10" s="442" t="s">
        <v>598</v>
      </c>
      <c r="U10" s="442" t="s">
        <v>599</v>
      </c>
    </row>
    <row r="11" spans="1:27" ht="20.2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7" ht="20.25" customHeight="1" x14ac:dyDescent="0.25">
      <c r="A12" s="443" t="s">
        <v>647</v>
      </c>
      <c r="B12" s="444">
        <v>5927.56</v>
      </c>
      <c r="C12" s="444">
        <v>5927.56</v>
      </c>
      <c r="D12" s="444">
        <v>5927.56</v>
      </c>
      <c r="E12" s="444">
        <v>5927.56</v>
      </c>
      <c r="F12" s="444">
        <v>5927.56</v>
      </c>
      <c r="G12" s="444">
        <v>5927.56</v>
      </c>
      <c r="H12" s="444">
        <v>5927.56</v>
      </c>
      <c r="I12" s="444">
        <v>5927.56</v>
      </c>
      <c r="J12" s="444">
        <v>5927.56</v>
      </c>
      <c r="K12" s="444">
        <v>5927.56</v>
      </c>
      <c r="L12" s="444">
        <v>5927.56</v>
      </c>
      <c r="M12" s="444">
        <v>5927.56</v>
      </c>
      <c r="N12" s="444">
        <v>5927.56</v>
      </c>
      <c r="O12" s="444">
        <v>5927.56</v>
      </c>
      <c r="P12" s="444">
        <v>5927.56</v>
      </c>
      <c r="Q12" s="444">
        <v>5927.56</v>
      </c>
      <c r="R12" s="444">
        <v>5927.56</v>
      </c>
      <c r="S12" s="444">
        <v>5927.56</v>
      </c>
      <c r="T12" s="444">
        <v>5927.56</v>
      </c>
      <c r="U12" s="444">
        <v>5927.56</v>
      </c>
    </row>
    <row r="13" spans="1:27" ht="20.25" customHeight="1" x14ac:dyDescent="0.25">
      <c r="A13" s="444" t="s">
        <v>648</v>
      </c>
      <c r="B13" s="444">
        <v>2529.5500000000002</v>
      </c>
      <c r="C13" s="444">
        <v>2529.5500000000002</v>
      </c>
      <c r="D13" s="444">
        <v>2529.5500000000002</v>
      </c>
      <c r="E13" s="444">
        <v>2529.5500000000002</v>
      </c>
      <c r="F13" s="444">
        <f>2*2529.55</f>
        <v>5059.1000000000004</v>
      </c>
      <c r="G13" s="444">
        <f t="shared" ref="G13:U13" si="0">2*2529.55</f>
        <v>5059.1000000000004</v>
      </c>
      <c r="H13" s="444">
        <f t="shared" si="0"/>
        <v>5059.1000000000004</v>
      </c>
      <c r="I13" s="444">
        <f t="shared" si="0"/>
        <v>5059.1000000000004</v>
      </c>
      <c r="J13" s="444">
        <f t="shared" si="0"/>
        <v>5059.1000000000004</v>
      </c>
      <c r="K13" s="444">
        <f t="shared" si="0"/>
        <v>5059.1000000000004</v>
      </c>
      <c r="L13" s="444">
        <f t="shared" si="0"/>
        <v>5059.1000000000004</v>
      </c>
      <c r="M13" s="444">
        <f t="shared" si="0"/>
        <v>5059.1000000000004</v>
      </c>
      <c r="N13" s="444">
        <f t="shared" si="0"/>
        <v>5059.1000000000004</v>
      </c>
      <c r="O13" s="444">
        <f t="shared" si="0"/>
        <v>5059.1000000000004</v>
      </c>
      <c r="P13" s="444">
        <f t="shared" si="0"/>
        <v>5059.1000000000004</v>
      </c>
      <c r="Q13" s="444">
        <f t="shared" si="0"/>
        <v>5059.1000000000004</v>
      </c>
      <c r="R13" s="444">
        <f t="shared" si="0"/>
        <v>5059.1000000000004</v>
      </c>
      <c r="S13" s="444">
        <f t="shared" si="0"/>
        <v>5059.1000000000004</v>
      </c>
      <c r="T13" s="444">
        <f t="shared" si="0"/>
        <v>5059.1000000000004</v>
      </c>
      <c r="U13" s="444">
        <f t="shared" si="0"/>
        <v>5059.1000000000004</v>
      </c>
    </row>
    <row r="14" spans="1:27" ht="20.25" customHeight="1" x14ac:dyDescent="0.25">
      <c r="A14" s="444" t="s">
        <v>627</v>
      </c>
      <c r="B14" s="444">
        <f>2*2202.04</f>
        <v>4404.08</v>
      </c>
      <c r="C14" s="444">
        <f>3*2202.04</f>
        <v>6606.12</v>
      </c>
      <c r="D14" s="444">
        <f>3*2202.04</f>
        <v>6606.12</v>
      </c>
      <c r="E14" s="444">
        <f>3*2202.04</f>
        <v>6606.12</v>
      </c>
      <c r="F14" s="444">
        <f>4*2202.04</f>
        <v>8808.16</v>
      </c>
      <c r="G14" s="444">
        <f t="shared" ref="G14:U14" si="1">4*2202.04</f>
        <v>8808.16</v>
      </c>
      <c r="H14" s="444">
        <f t="shared" si="1"/>
        <v>8808.16</v>
      </c>
      <c r="I14" s="444">
        <f t="shared" si="1"/>
        <v>8808.16</v>
      </c>
      <c r="J14" s="444">
        <f t="shared" si="1"/>
        <v>8808.16</v>
      </c>
      <c r="K14" s="444">
        <f t="shared" si="1"/>
        <v>8808.16</v>
      </c>
      <c r="L14" s="444">
        <f t="shared" si="1"/>
        <v>8808.16</v>
      </c>
      <c r="M14" s="444">
        <f t="shared" si="1"/>
        <v>8808.16</v>
      </c>
      <c r="N14" s="444">
        <f t="shared" si="1"/>
        <v>8808.16</v>
      </c>
      <c r="O14" s="444">
        <f t="shared" si="1"/>
        <v>8808.16</v>
      </c>
      <c r="P14" s="444">
        <f t="shared" si="1"/>
        <v>8808.16</v>
      </c>
      <c r="Q14" s="444">
        <f t="shared" si="1"/>
        <v>8808.16</v>
      </c>
      <c r="R14" s="444">
        <f t="shared" si="1"/>
        <v>8808.16</v>
      </c>
      <c r="S14" s="444">
        <f t="shared" si="1"/>
        <v>8808.16</v>
      </c>
      <c r="T14" s="444">
        <f t="shared" si="1"/>
        <v>8808.16</v>
      </c>
      <c r="U14" s="444">
        <f t="shared" si="1"/>
        <v>8808.16</v>
      </c>
    </row>
    <row r="15" spans="1:27" ht="20.25" customHeight="1" x14ac:dyDescent="0.25">
      <c r="A15" s="444" t="s">
        <v>608</v>
      </c>
      <c r="B15" s="444"/>
      <c r="C15" s="444"/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444"/>
      <c r="U15" s="444"/>
    </row>
    <row r="16" spans="1:27" ht="20.25" customHeight="1" x14ac:dyDescent="0.25">
      <c r="A16" s="431" t="s">
        <v>649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3"/>
    </row>
    <row r="17" spans="1:21" ht="20.25" customHeight="1" x14ac:dyDescent="0.25">
      <c r="A17" s="443" t="s">
        <v>650</v>
      </c>
      <c r="B17" s="444">
        <v>6000</v>
      </c>
      <c r="C17" s="444">
        <v>12000</v>
      </c>
      <c r="D17" s="444">
        <v>18000</v>
      </c>
      <c r="E17" s="444">
        <v>24000</v>
      </c>
      <c r="F17" s="444">
        <v>30000</v>
      </c>
      <c r="G17" s="444">
        <v>32000</v>
      </c>
      <c r="H17" s="444">
        <v>34000</v>
      </c>
      <c r="I17" s="444">
        <v>35000</v>
      </c>
      <c r="J17" s="444">
        <v>35000</v>
      </c>
      <c r="K17" s="444">
        <v>35000</v>
      </c>
      <c r="L17" s="444">
        <v>35000</v>
      </c>
      <c r="M17" s="444">
        <v>35000</v>
      </c>
      <c r="N17" s="444">
        <v>35000</v>
      </c>
      <c r="O17" s="444">
        <v>35000</v>
      </c>
      <c r="P17" s="444">
        <v>35000</v>
      </c>
      <c r="Q17" s="444">
        <v>35000</v>
      </c>
      <c r="R17" s="444">
        <v>35000</v>
      </c>
      <c r="S17" s="444">
        <v>35000</v>
      </c>
      <c r="T17" s="444">
        <v>35000</v>
      </c>
      <c r="U17" s="444">
        <v>35000</v>
      </c>
    </row>
    <row r="18" spans="1:21" ht="20.25" customHeight="1" x14ac:dyDescent="0.25">
      <c r="A18" s="444" t="s">
        <v>608</v>
      </c>
      <c r="B18" s="444"/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U18" s="444"/>
    </row>
    <row r="19" spans="1:21" ht="20.25" customHeight="1" x14ac:dyDescent="0.25">
      <c r="A19" s="431" t="s">
        <v>621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3"/>
    </row>
    <row r="20" spans="1:21" ht="20.25" customHeight="1" x14ac:dyDescent="0.25">
      <c r="A20" s="443" t="s">
        <v>622</v>
      </c>
      <c r="B20" s="444">
        <v>4000</v>
      </c>
      <c r="C20" s="444">
        <v>4000</v>
      </c>
      <c r="D20" s="444">
        <v>4000</v>
      </c>
      <c r="E20" s="444">
        <v>4000</v>
      </c>
      <c r="F20" s="444">
        <v>6000</v>
      </c>
      <c r="G20" s="444">
        <v>6000</v>
      </c>
      <c r="H20" s="444">
        <v>6000</v>
      </c>
      <c r="I20" s="444">
        <v>8000</v>
      </c>
      <c r="J20" s="444">
        <v>8000</v>
      </c>
      <c r="K20" s="444">
        <v>8000</v>
      </c>
      <c r="L20" s="444">
        <v>8000</v>
      </c>
      <c r="M20" s="444">
        <v>8000</v>
      </c>
      <c r="N20" s="444">
        <v>8000</v>
      </c>
      <c r="O20" s="444">
        <v>8000</v>
      </c>
      <c r="P20" s="444">
        <v>8000</v>
      </c>
      <c r="Q20" s="444">
        <v>8000</v>
      </c>
      <c r="R20" s="444">
        <v>8000</v>
      </c>
      <c r="S20" s="444">
        <v>8000</v>
      </c>
      <c r="T20" s="444">
        <v>8000</v>
      </c>
      <c r="U20" s="444">
        <v>8000</v>
      </c>
    </row>
    <row r="21" spans="1:21" ht="20.25" customHeight="1" x14ac:dyDescent="0.25">
      <c r="A21" s="444" t="s">
        <v>623</v>
      </c>
      <c r="B21" s="444">
        <v>4000</v>
      </c>
      <c r="C21" s="444">
        <v>4000</v>
      </c>
      <c r="D21" s="444">
        <v>4000</v>
      </c>
      <c r="E21" s="444">
        <v>4000</v>
      </c>
      <c r="F21" s="444">
        <v>5000</v>
      </c>
      <c r="G21" s="444">
        <v>5000</v>
      </c>
      <c r="H21" s="444">
        <v>5000</v>
      </c>
      <c r="I21" s="444">
        <v>8000</v>
      </c>
      <c r="J21" s="444">
        <v>8000</v>
      </c>
      <c r="K21" s="444">
        <v>8000</v>
      </c>
      <c r="L21" s="444">
        <v>8000</v>
      </c>
      <c r="M21" s="444">
        <v>8000</v>
      </c>
      <c r="N21" s="444">
        <v>8000</v>
      </c>
      <c r="O21" s="444">
        <v>8000</v>
      </c>
      <c r="P21" s="444">
        <v>8000</v>
      </c>
      <c r="Q21" s="444">
        <v>8000</v>
      </c>
      <c r="R21" s="444">
        <v>8000</v>
      </c>
      <c r="S21" s="444">
        <v>8000</v>
      </c>
      <c r="T21" s="444">
        <v>8000</v>
      </c>
      <c r="U21" s="444">
        <v>8000</v>
      </c>
    </row>
    <row r="22" spans="1:21" ht="20.25" customHeight="1" x14ac:dyDescent="0.25">
      <c r="A22" s="444" t="s">
        <v>608</v>
      </c>
      <c r="B22" s="444"/>
      <c r="C22" s="444"/>
      <c r="D22" s="444"/>
      <c r="E22" s="444"/>
      <c r="F22" s="444"/>
      <c r="G22" s="444"/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444"/>
      <c r="U22" s="444"/>
    </row>
    <row r="23" spans="1:21" ht="20.25" customHeight="1" x14ac:dyDescent="0.25">
      <c r="A23" s="431" t="s">
        <v>611</v>
      </c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3"/>
    </row>
    <row r="24" spans="1:21" ht="20.25" customHeight="1" x14ac:dyDescent="0.25">
      <c r="A24" s="444" t="s">
        <v>613</v>
      </c>
      <c r="B24" s="444">
        <v>2500</v>
      </c>
      <c r="C24" s="444">
        <v>2500</v>
      </c>
      <c r="D24" s="444">
        <v>2500</v>
      </c>
      <c r="E24" s="444">
        <v>2500</v>
      </c>
      <c r="F24" s="444">
        <v>2500</v>
      </c>
      <c r="G24" s="444">
        <v>2500</v>
      </c>
      <c r="H24" s="444">
        <v>2500</v>
      </c>
      <c r="I24" s="444">
        <v>2500</v>
      </c>
      <c r="J24" s="444">
        <v>2500</v>
      </c>
      <c r="K24" s="444">
        <v>2500</v>
      </c>
      <c r="L24" s="444">
        <v>2500</v>
      </c>
      <c r="M24" s="444">
        <v>2500</v>
      </c>
      <c r="N24" s="444">
        <v>2500</v>
      </c>
      <c r="O24" s="444">
        <v>2500</v>
      </c>
      <c r="P24" s="444">
        <v>2500</v>
      </c>
      <c r="Q24" s="444">
        <v>2500</v>
      </c>
      <c r="R24" s="444">
        <v>2500</v>
      </c>
      <c r="S24" s="444">
        <v>2500</v>
      </c>
      <c r="T24" s="444">
        <v>2500</v>
      </c>
      <c r="U24" s="444">
        <v>2500</v>
      </c>
    </row>
    <row r="25" spans="1:21" ht="20.25" customHeight="1" x14ac:dyDescent="0.25">
      <c r="A25" s="444" t="s">
        <v>608</v>
      </c>
      <c r="B25" s="444"/>
      <c r="C25" s="444"/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444"/>
      <c r="U25" s="444"/>
    </row>
    <row r="26" spans="1:21" ht="20.25" customHeight="1" x14ac:dyDescent="0.25">
      <c r="A26" s="436" t="s">
        <v>614</v>
      </c>
      <c r="B26" s="445">
        <f>SUM(B24:B25)+SUM(B20:B22)+SUM(B17:B18)+SUM(B12:B15)</f>
        <v>29361.190000000002</v>
      </c>
      <c r="C26" s="445">
        <f t="shared" ref="C26:U26" si="2">SUM(C24:C25)+SUM(C20:C22)+SUM(C17:C18)+SUM(C12:C15)</f>
        <v>37563.229999999996</v>
      </c>
      <c r="D26" s="445">
        <f t="shared" si="2"/>
        <v>43563.229999999996</v>
      </c>
      <c r="E26" s="445">
        <f t="shared" si="2"/>
        <v>49563.229999999996</v>
      </c>
      <c r="F26" s="445">
        <f t="shared" si="2"/>
        <v>63294.82</v>
      </c>
      <c r="G26" s="445">
        <f t="shared" si="2"/>
        <v>65294.82</v>
      </c>
      <c r="H26" s="445">
        <f t="shared" si="2"/>
        <v>67294.820000000007</v>
      </c>
      <c r="I26" s="445">
        <f t="shared" si="2"/>
        <v>73294.820000000007</v>
      </c>
      <c r="J26" s="445">
        <f t="shared" si="2"/>
        <v>73294.820000000007</v>
      </c>
      <c r="K26" s="445">
        <f t="shared" si="2"/>
        <v>73294.820000000007</v>
      </c>
      <c r="L26" s="445">
        <f t="shared" si="2"/>
        <v>73294.820000000007</v>
      </c>
      <c r="M26" s="445">
        <f t="shared" si="2"/>
        <v>73294.820000000007</v>
      </c>
      <c r="N26" s="445">
        <f t="shared" si="2"/>
        <v>73294.820000000007</v>
      </c>
      <c r="O26" s="445">
        <f t="shared" si="2"/>
        <v>73294.820000000007</v>
      </c>
      <c r="P26" s="445">
        <f t="shared" si="2"/>
        <v>73294.820000000007</v>
      </c>
      <c r="Q26" s="445">
        <f t="shared" si="2"/>
        <v>73294.820000000007</v>
      </c>
      <c r="R26" s="445">
        <f t="shared" si="2"/>
        <v>73294.820000000007</v>
      </c>
      <c r="S26" s="445">
        <f t="shared" si="2"/>
        <v>73294.820000000007</v>
      </c>
      <c r="T26" s="445">
        <f t="shared" si="2"/>
        <v>73294.820000000007</v>
      </c>
      <c r="U26" s="445">
        <f t="shared" si="2"/>
        <v>73294.820000000007</v>
      </c>
    </row>
    <row r="27" spans="1:21" ht="20.25" customHeight="1" x14ac:dyDescent="0.25">
      <c r="A27" s="317" t="s">
        <v>615</v>
      </c>
    </row>
    <row r="29" spans="1:21" ht="20.25" customHeight="1" x14ac:dyDescent="0.25">
      <c r="A29" t="s">
        <v>447</v>
      </c>
    </row>
  </sheetData>
  <sheetProtection objects="1"/>
  <mergeCells count="11">
    <mergeCell ref="H9:I9"/>
    <mergeCell ref="R9:S9"/>
    <mergeCell ref="T9:U9"/>
    <mergeCell ref="P9:Q9"/>
    <mergeCell ref="A9:A10"/>
    <mergeCell ref="J9:K9"/>
    <mergeCell ref="L9:M9"/>
    <mergeCell ref="N9:O9"/>
    <mergeCell ref="B9:C9"/>
    <mergeCell ref="D9:E9"/>
    <mergeCell ref="F9:G9"/>
  </mergeCells>
  <phoneticPr fontId="0" type="noConversion"/>
  <pageMargins left="0.23" right="0.59" top="0.33" bottom="0.54" header="0.49212598499999999" footer="0.35"/>
  <pageSetup paperSize="9" scale="53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8">
    <pageSetUpPr fitToPage="1"/>
  </sheetPr>
  <dimension ref="A1:U26"/>
  <sheetViews>
    <sheetView view="pageBreakPreview" zoomScale="60" zoomScaleNormal="100" workbookViewId="0"/>
  </sheetViews>
  <sheetFormatPr defaultColWidth="23.81640625" defaultRowHeight="20.25" customHeight="1" x14ac:dyDescent="0.25"/>
  <cols>
    <col min="1" max="1" width="40.7265625" customWidth="1"/>
    <col min="2" max="5" width="11.1796875" bestFit="1" customWidth="1"/>
    <col min="6" max="6" width="9.81640625" bestFit="1" customWidth="1"/>
    <col min="7" max="7" width="11.1796875" bestFit="1" customWidth="1"/>
    <col min="8" max="8" width="12.26953125" bestFit="1" customWidth="1"/>
    <col min="9" max="21" width="11.1796875" bestFit="1" customWidth="1"/>
    <col min="22" max="34" width="5" customWidth="1"/>
  </cols>
  <sheetData>
    <row r="1" spans="1:21" ht="13.5" customHeight="1" x14ac:dyDescent="0.25">
      <c r="A1" t="str">
        <f>TECNOLOGIAS!A1</f>
        <v>Proponente: TransPolitécnica</v>
      </c>
    </row>
    <row r="2" spans="1:21" ht="13.5" customHeight="1" x14ac:dyDescent="0.25">
      <c r="A2" t="str">
        <f>TECNOLOGIAS!A2</f>
        <v>Área de Concessão: 5 (Cinco)</v>
      </c>
    </row>
    <row r="4" spans="1:21" ht="20.25" customHeight="1" x14ac:dyDescent="0.3">
      <c r="A4" s="438" t="s">
        <v>651</v>
      </c>
      <c r="B4" s="439"/>
    </row>
    <row r="6" spans="1:21" ht="20.25" customHeight="1" x14ac:dyDescent="0.3">
      <c r="A6" s="450" t="s">
        <v>467</v>
      </c>
      <c r="B6" s="449"/>
      <c r="C6" s="449"/>
      <c r="D6" s="449"/>
      <c r="E6" s="449"/>
      <c r="F6" s="449"/>
      <c r="G6" s="449"/>
      <c r="H6" s="449"/>
      <c r="I6" s="449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ht="20.25" customHeight="1" x14ac:dyDescent="0.25">
      <c r="A7" s="317" t="s">
        <v>568</v>
      </c>
      <c r="B7" s="317"/>
      <c r="C7" s="317"/>
      <c r="D7" s="317"/>
      <c r="E7" s="317"/>
      <c r="F7" s="317"/>
      <c r="G7" s="317"/>
      <c r="H7" s="317"/>
      <c r="I7" s="317"/>
    </row>
    <row r="8" spans="1:21" ht="20.25" customHeight="1" x14ac:dyDescent="0.3">
      <c r="A8" s="440"/>
      <c r="B8" s="317"/>
      <c r="C8" s="317"/>
      <c r="D8" s="317"/>
      <c r="E8" s="317"/>
      <c r="F8" s="317"/>
      <c r="G8" s="317"/>
      <c r="H8" s="317"/>
      <c r="I8" s="317"/>
      <c r="U8" s="441"/>
    </row>
    <row r="9" spans="1:21" ht="20.25" customHeight="1" x14ac:dyDescent="0.25">
      <c r="A9" s="689" t="s">
        <v>569</v>
      </c>
      <c r="B9" s="691" t="s">
        <v>570</v>
      </c>
      <c r="C9" s="691"/>
      <c r="D9" s="691" t="s">
        <v>571</v>
      </c>
      <c r="E9" s="691"/>
      <c r="F9" s="691" t="s">
        <v>572</v>
      </c>
      <c r="G9" s="691"/>
      <c r="H9" s="692" t="s">
        <v>573</v>
      </c>
      <c r="I9" s="691"/>
      <c r="J9" s="691" t="s">
        <v>574</v>
      </c>
      <c r="K9" s="691"/>
      <c r="L9" s="691" t="s">
        <v>575</v>
      </c>
      <c r="M9" s="691"/>
      <c r="N9" s="691" t="s">
        <v>576</v>
      </c>
      <c r="O9" s="691"/>
      <c r="P9" s="691" t="s">
        <v>577</v>
      </c>
      <c r="Q9" s="691"/>
      <c r="R9" s="691" t="s">
        <v>578</v>
      </c>
      <c r="S9" s="691"/>
      <c r="T9" s="691" t="s">
        <v>579</v>
      </c>
      <c r="U9" s="691"/>
    </row>
    <row r="10" spans="1:21" ht="20.25" customHeight="1" x14ac:dyDescent="0.25">
      <c r="A10" s="689"/>
      <c r="B10" s="442" t="s">
        <v>580</v>
      </c>
      <c r="C10" s="442" t="s">
        <v>581</v>
      </c>
      <c r="D10" s="442" t="s">
        <v>582</v>
      </c>
      <c r="E10" s="442" t="s">
        <v>583</v>
      </c>
      <c r="F10" s="442" t="s">
        <v>584</v>
      </c>
      <c r="G10" s="446" t="s">
        <v>585</v>
      </c>
      <c r="H10" s="442" t="s">
        <v>586</v>
      </c>
      <c r="I10" s="447" t="s">
        <v>587</v>
      </c>
      <c r="J10" s="442" t="s">
        <v>588</v>
      </c>
      <c r="K10" s="442" t="s">
        <v>589</v>
      </c>
      <c r="L10" s="442" t="s">
        <v>590</v>
      </c>
      <c r="M10" s="442" t="s">
        <v>591</v>
      </c>
      <c r="N10" s="442" t="s">
        <v>592</v>
      </c>
      <c r="O10" s="442" t="s">
        <v>593</v>
      </c>
      <c r="P10" s="442" t="s">
        <v>594</v>
      </c>
      <c r="Q10" s="442" t="s">
        <v>595</v>
      </c>
      <c r="R10" s="442" t="s">
        <v>596</v>
      </c>
      <c r="S10" s="442" t="s">
        <v>597</v>
      </c>
      <c r="T10" s="442" t="s">
        <v>598</v>
      </c>
      <c r="U10" s="442" t="s">
        <v>599</v>
      </c>
    </row>
    <row r="11" spans="1:21" ht="20.2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20.25" customHeight="1" x14ac:dyDescent="0.25">
      <c r="A12" s="444" t="s">
        <v>633</v>
      </c>
      <c r="B12" s="444">
        <f>4*1883.08</f>
        <v>7532.32</v>
      </c>
      <c r="C12" s="444">
        <f>8*1883.08</f>
        <v>15064.64</v>
      </c>
      <c r="D12" s="444">
        <f>12*1883.08</f>
        <v>22596.959999999999</v>
      </c>
      <c r="E12" s="444">
        <f>16*1883.08</f>
        <v>30129.279999999999</v>
      </c>
      <c r="F12" s="444">
        <f>20*1883.08</f>
        <v>37661.599999999999</v>
      </c>
      <c r="G12" s="444">
        <f>24*1883.08</f>
        <v>45193.919999999998</v>
      </c>
      <c r="H12" s="444">
        <f>27*1883.08</f>
        <v>50843.159999999996</v>
      </c>
      <c r="I12" s="444">
        <f>30*1883.08</f>
        <v>56492.399999999994</v>
      </c>
      <c r="J12" s="444">
        <f t="shared" ref="J12:U13" si="0">30*1883.08</f>
        <v>56492.399999999994</v>
      </c>
      <c r="K12" s="444">
        <f t="shared" si="0"/>
        <v>56492.399999999994</v>
      </c>
      <c r="L12" s="444">
        <f t="shared" si="0"/>
        <v>56492.399999999994</v>
      </c>
      <c r="M12" s="444">
        <f t="shared" si="0"/>
        <v>56492.399999999994</v>
      </c>
      <c r="N12" s="444">
        <f t="shared" si="0"/>
        <v>56492.399999999994</v>
      </c>
      <c r="O12" s="444">
        <f t="shared" si="0"/>
        <v>56492.399999999994</v>
      </c>
      <c r="P12" s="444">
        <f t="shared" si="0"/>
        <v>56492.399999999994</v>
      </c>
      <c r="Q12" s="444">
        <f t="shared" si="0"/>
        <v>56492.399999999994</v>
      </c>
      <c r="R12" s="444">
        <f t="shared" si="0"/>
        <v>56492.399999999994</v>
      </c>
      <c r="S12" s="444">
        <f t="shared" si="0"/>
        <v>56492.399999999994</v>
      </c>
      <c r="T12" s="444">
        <f t="shared" si="0"/>
        <v>56492.399999999994</v>
      </c>
      <c r="U12" s="444">
        <f t="shared" si="0"/>
        <v>56492.399999999994</v>
      </c>
    </row>
    <row r="13" spans="1:21" ht="20.25" customHeight="1" x14ac:dyDescent="0.25">
      <c r="A13" s="443" t="s">
        <v>634</v>
      </c>
      <c r="B13" s="444">
        <f>4*1883.08</f>
        <v>7532.32</v>
      </c>
      <c r="C13" s="444">
        <f>8*1883.08</f>
        <v>15064.64</v>
      </c>
      <c r="D13" s="444">
        <f>12*1883.08</f>
        <v>22596.959999999999</v>
      </c>
      <c r="E13" s="444">
        <f>16*1883.08</f>
        <v>30129.279999999999</v>
      </c>
      <c r="F13" s="444">
        <f>20*1883.08</f>
        <v>37661.599999999999</v>
      </c>
      <c r="G13" s="444">
        <f>24*1883.08</f>
        <v>45193.919999999998</v>
      </c>
      <c r="H13" s="444">
        <f>27*1883.08</f>
        <v>50843.159999999996</v>
      </c>
      <c r="I13" s="444">
        <f>30*1883.08</f>
        <v>56492.399999999994</v>
      </c>
      <c r="J13" s="444">
        <f t="shared" si="0"/>
        <v>56492.399999999994</v>
      </c>
      <c r="K13" s="444">
        <f t="shared" si="0"/>
        <v>56492.399999999994</v>
      </c>
      <c r="L13" s="444">
        <f t="shared" si="0"/>
        <v>56492.399999999994</v>
      </c>
      <c r="M13" s="444">
        <f t="shared" si="0"/>
        <v>56492.399999999994</v>
      </c>
      <c r="N13" s="444">
        <f t="shared" si="0"/>
        <v>56492.399999999994</v>
      </c>
      <c r="O13" s="444">
        <f t="shared" si="0"/>
        <v>56492.399999999994</v>
      </c>
      <c r="P13" s="444">
        <f t="shared" si="0"/>
        <v>56492.399999999994</v>
      </c>
      <c r="Q13" s="444">
        <f t="shared" si="0"/>
        <v>56492.399999999994</v>
      </c>
      <c r="R13" s="444">
        <f t="shared" si="0"/>
        <v>56492.399999999994</v>
      </c>
      <c r="S13" s="444">
        <f t="shared" si="0"/>
        <v>56492.399999999994</v>
      </c>
      <c r="T13" s="444">
        <f t="shared" si="0"/>
        <v>56492.399999999994</v>
      </c>
      <c r="U13" s="444">
        <f t="shared" si="0"/>
        <v>56492.399999999994</v>
      </c>
    </row>
    <row r="14" spans="1:21" ht="20.25" customHeight="1" x14ac:dyDescent="0.25">
      <c r="A14" s="444" t="s">
        <v>608</v>
      </c>
      <c r="B14" s="444"/>
      <c r="C14" s="444"/>
      <c r="D14" s="444"/>
      <c r="E14" s="444"/>
      <c r="F14" s="444"/>
      <c r="G14" s="444"/>
      <c r="H14" s="444"/>
      <c r="I14" s="444"/>
      <c r="J14" s="448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</row>
    <row r="15" spans="1:21" ht="20.25" customHeight="1" x14ac:dyDescent="0.25">
      <c r="A15" s="431" t="s">
        <v>635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3"/>
    </row>
    <row r="16" spans="1:21" ht="20.25" customHeight="1" x14ac:dyDescent="0.25">
      <c r="A16" s="444" t="s">
        <v>636</v>
      </c>
      <c r="B16" s="444">
        <v>2500</v>
      </c>
      <c r="C16" s="444">
        <v>2500</v>
      </c>
      <c r="D16" s="444">
        <v>2500</v>
      </c>
      <c r="E16" s="444">
        <v>2500</v>
      </c>
      <c r="F16" s="444">
        <v>2500</v>
      </c>
      <c r="G16" s="444">
        <v>2500</v>
      </c>
      <c r="H16" s="444">
        <v>2500</v>
      </c>
      <c r="I16" s="444">
        <v>2500</v>
      </c>
      <c r="J16" s="444">
        <v>2500</v>
      </c>
      <c r="K16" s="444">
        <v>2500</v>
      </c>
      <c r="L16" s="444">
        <v>2500</v>
      </c>
      <c r="M16" s="444">
        <v>2500</v>
      </c>
      <c r="N16" s="444">
        <v>2500</v>
      </c>
      <c r="O16" s="444">
        <v>2500</v>
      </c>
      <c r="P16" s="444">
        <v>2500</v>
      </c>
      <c r="Q16" s="444">
        <v>2500</v>
      </c>
      <c r="R16" s="444">
        <v>2500</v>
      </c>
      <c r="S16" s="444">
        <v>2500</v>
      </c>
      <c r="T16" s="444">
        <v>2500</v>
      </c>
      <c r="U16" s="444">
        <v>2500</v>
      </c>
    </row>
    <row r="17" spans="1:21" ht="20.25" customHeight="1" x14ac:dyDescent="0.25">
      <c r="A17" s="444" t="s">
        <v>637</v>
      </c>
      <c r="B17" s="444"/>
      <c r="C17" s="444"/>
      <c r="D17" s="444"/>
      <c r="E17" s="444"/>
      <c r="F17" s="444"/>
      <c r="G17" s="444"/>
      <c r="H17" s="444"/>
      <c r="I17" s="444"/>
      <c r="J17" s="448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</row>
    <row r="18" spans="1:21" ht="20.25" customHeight="1" x14ac:dyDescent="0.25">
      <c r="A18" s="444" t="s">
        <v>638</v>
      </c>
      <c r="B18" s="444"/>
      <c r="C18" s="444"/>
      <c r="D18" s="444"/>
      <c r="E18" s="444"/>
      <c r="F18" s="444"/>
      <c r="G18" s="444"/>
      <c r="H18" s="444"/>
      <c r="I18" s="444"/>
      <c r="J18" s="448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U18" s="444"/>
    </row>
    <row r="19" spans="1:21" ht="20.25" customHeight="1" x14ac:dyDescent="0.25">
      <c r="A19" s="431" t="s">
        <v>621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3"/>
    </row>
    <row r="20" spans="1:21" ht="20.25" customHeight="1" x14ac:dyDescent="0.25">
      <c r="A20" s="444" t="s">
        <v>622</v>
      </c>
      <c r="B20" s="444"/>
      <c r="C20" s="444"/>
      <c r="D20" s="444"/>
      <c r="E20" s="444"/>
      <c r="F20" s="444"/>
      <c r="G20" s="444"/>
      <c r="H20" s="444"/>
      <c r="I20" s="444"/>
      <c r="J20" s="448"/>
      <c r="K20" s="444"/>
      <c r="L20" s="444"/>
      <c r="M20" s="444"/>
      <c r="N20" s="444"/>
      <c r="O20" s="444"/>
      <c r="P20" s="444"/>
      <c r="Q20" s="444"/>
      <c r="R20" s="444"/>
      <c r="S20" s="444"/>
      <c r="T20" s="444"/>
      <c r="U20" s="444"/>
    </row>
    <row r="21" spans="1:21" ht="20.25" customHeight="1" x14ac:dyDescent="0.25">
      <c r="A21" s="443" t="s">
        <v>623</v>
      </c>
      <c r="B21" s="444"/>
      <c r="C21" s="444"/>
      <c r="D21" s="444"/>
      <c r="E21" s="444"/>
      <c r="F21" s="444"/>
      <c r="G21" s="444"/>
      <c r="H21" s="444"/>
      <c r="I21" s="444"/>
      <c r="J21" s="448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</row>
    <row r="22" spans="1:21" ht="20.25" customHeight="1" x14ac:dyDescent="0.25">
      <c r="A22" s="444" t="s">
        <v>608</v>
      </c>
      <c r="B22" s="444"/>
      <c r="C22" s="444"/>
      <c r="D22" s="444"/>
      <c r="E22" s="444"/>
      <c r="F22" s="444"/>
      <c r="G22" s="444"/>
      <c r="H22" s="444"/>
      <c r="I22" s="444"/>
      <c r="J22" s="448"/>
      <c r="K22" s="444"/>
      <c r="L22" s="444"/>
      <c r="M22" s="444"/>
      <c r="N22" s="444"/>
      <c r="O22" s="444"/>
      <c r="P22" s="444"/>
      <c r="Q22" s="444"/>
      <c r="R22" s="444"/>
      <c r="S22" s="444"/>
      <c r="T22" s="444"/>
      <c r="U22" s="444"/>
    </row>
    <row r="23" spans="1:21" ht="20.25" customHeight="1" x14ac:dyDescent="0.25">
      <c r="A23" s="436" t="s">
        <v>614</v>
      </c>
      <c r="B23" s="445">
        <f>SUM(B20:B22)+SUM(B16:B18)+SUM(B12:B14)</f>
        <v>17564.64</v>
      </c>
      <c r="C23" s="445">
        <f t="shared" ref="C23:U23" si="1">SUM(C20:C22)+SUM(C16:C18)+SUM(C12:C14)</f>
        <v>32629.279999999999</v>
      </c>
      <c r="D23" s="445">
        <f t="shared" si="1"/>
        <v>47693.919999999998</v>
      </c>
      <c r="E23" s="445">
        <f t="shared" si="1"/>
        <v>62758.559999999998</v>
      </c>
      <c r="F23" s="445">
        <f t="shared" si="1"/>
        <v>77823.199999999997</v>
      </c>
      <c r="G23" s="445">
        <f t="shared" si="1"/>
        <v>92887.84</v>
      </c>
      <c r="H23" s="445">
        <f t="shared" si="1"/>
        <v>104186.31999999999</v>
      </c>
      <c r="I23" s="445">
        <f t="shared" si="1"/>
        <v>115484.79999999999</v>
      </c>
      <c r="J23" s="445">
        <f t="shared" si="1"/>
        <v>115484.79999999999</v>
      </c>
      <c r="K23" s="445">
        <f t="shared" si="1"/>
        <v>115484.79999999999</v>
      </c>
      <c r="L23" s="445">
        <f t="shared" si="1"/>
        <v>115484.79999999999</v>
      </c>
      <c r="M23" s="445">
        <f t="shared" si="1"/>
        <v>115484.79999999999</v>
      </c>
      <c r="N23" s="445">
        <f t="shared" si="1"/>
        <v>115484.79999999999</v>
      </c>
      <c r="O23" s="445">
        <f t="shared" si="1"/>
        <v>115484.79999999999</v>
      </c>
      <c r="P23" s="445">
        <f t="shared" si="1"/>
        <v>115484.79999999999</v>
      </c>
      <c r="Q23" s="445">
        <f t="shared" si="1"/>
        <v>115484.79999999999</v>
      </c>
      <c r="R23" s="445">
        <f t="shared" si="1"/>
        <v>115484.79999999999</v>
      </c>
      <c r="S23" s="445">
        <f t="shared" si="1"/>
        <v>115484.79999999999</v>
      </c>
      <c r="T23" s="445">
        <f t="shared" si="1"/>
        <v>115484.79999999999</v>
      </c>
      <c r="U23" s="445">
        <f t="shared" si="1"/>
        <v>115484.79999999999</v>
      </c>
    </row>
    <row r="24" spans="1:21" ht="20.25" customHeight="1" x14ac:dyDescent="0.25">
      <c r="A24" s="317" t="s">
        <v>615</v>
      </c>
      <c r="B24" s="449"/>
      <c r="C24" s="449"/>
      <c r="D24" s="449"/>
      <c r="E24" s="449"/>
      <c r="F24" s="449"/>
      <c r="G24" s="449"/>
      <c r="H24" s="449"/>
      <c r="I24" s="449"/>
    </row>
    <row r="26" spans="1:21" ht="20.25" customHeight="1" x14ac:dyDescent="0.25">
      <c r="A26" t="s">
        <v>447</v>
      </c>
    </row>
  </sheetData>
  <sheetProtection objects="1"/>
  <mergeCells count="11">
    <mergeCell ref="D9:E9"/>
    <mergeCell ref="B9:C9"/>
    <mergeCell ref="T9:U9"/>
    <mergeCell ref="R9:S9"/>
    <mergeCell ref="P9:Q9"/>
    <mergeCell ref="A9:A10"/>
    <mergeCell ref="N9:O9"/>
    <mergeCell ref="L9:M9"/>
    <mergeCell ref="J9:K9"/>
    <mergeCell ref="H9:I9"/>
    <mergeCell ref="F9:G9"/>
  </mergeCells>
  <phoneticPr fontId="0" type="noConversion"/>
  <pageMargins left="0.23" right="0.59" top="0.33" bottom="0.54" header="0.49212598499999999" footer="0.35"/>
  <pageSetup paperSize="9" scale="53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9">
    <pageSetUpPr fitToPage="1"/>
  </sheetPr>
  <dimension ref="A1:U21"/>
  <sheetViews>
    <sheetView view="pageBreakPreview" zoomScale="60" zoomScaleNormal="100" workbookViewId="0"/>
  </sheetViews>
  <sheetFormatPr defaultColWidth="23.81640625" defaultRowHeight="20.25" customHeight="1" x14ac:dyDescent="0.25"/>
  <cols>
    <col min="1" max="1" width="40.7265625" customWidth="1"/>
    <col min="2" max="5" width="11.1796875" bestFit="1" customWidth="1"/>
    <col min="6" max="6" width="9.81640625" bestFit="1" customWidth="1"/>
    <col min="7" max="21" width="11.1796875" bestFit="1" customWidth="1"/>
    <col min="22" max="34" width="5" customWidth="1"/>
  </cols>
  <sheetData>
    <row r="1" spans="1:21" ht="13.5" customHeight="1" x14ac:dyDescent="0.25">
      <c r="A1" t="str">
        <f>TECNOLOGIAS!A1</f>
        <v>Proponente: TransPolitécnica</v>
      </c>
    </row>
    <row r="2" spans="1:21" ht="13.5" customHeight="1" x14ac:dyDescent="0.25">
      <c r="A2" t="str">
        <f>TECNOLOGIAS!A2</f>
        <v>Área de Concessão: 5 (Cinco)</v>
      </c>
    </row>
    <row r="4" spans="1:21" ht="20.25" customHeight="1" x14ac:dyDescent="0.3">
      <c r="A4" s="438" t="s">
        <v>652</v>
      </c>
      <c r="B4" s="439"/>
    </row>
    <row r="6" spans="1:21" ht="20.25" customHeight="1" x14ac:dyDescent="0.3">
      <c r="A6" s="450" t="s">
        <v>468</v>
      </c>
      <c r="B6" s="449"/>
      <c r="C6" s="449"/>
      <c r="D6" s="449"/>
      <c r="E6" s="449"/>
      <c r="F6" s="449"/>
      <c r="G6" s="449"/>
      <c r="H6" s="449"/>
      <c r="I6" s="449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ht="20.25" customHeight="1" x14ac:dyDescent="0.25">
      <c r="A7" s="317" t="s">
        <v>568</v>
      </c>
      <c r="B7" s="449"/>
      <c r="C7" s="449"/>
      <c r="D7" s="449"/>
      <c r="E7" s="449"/>
      <c r="F7" s="449"/>
      <c r="G7" s="449"/>
      <c r="H7" s="449"/>
      <c r="I7" s="449"/>
    </row>
    <row r="8" spans="1:21" ht="20.25" customHeight="1" x14ac:dyDescent="0.3">
      <c r="A8" s="450"/>
      <c r="B8" s="449"/>
      <c r="C8" s="449"/>
      <c r="D8" s="449"/>
      <c r="E8" s="449"/>
      <c r="F8" s="449"/>
      <c r="G8" s="449"/>
      <c r="H8" s="449"/>
      <c r="I8" s="449"/>
      <c r="U8" s="441"/>
    </row>
    <row r="9" spans="1:21" ht="20.25" customHeight="1" x14ac:dyDescent="0.25">
      <c r="A9" s="689" t="s">
        <v>569</v>
      </c>
      <c r="B9" s="691" t="s">
        <v>570</v>
      </c>
      <c r="C9" s="691"/>
      <c r="D9" s="691" t="s">
        <v>571</v>
      </c>
      <c r="E9" s="691"/>
      <c r="F9" s="691" t="s">
        <v>572</v>
      </c>
      <c r="G9" s="691"/>
      <c r="H9" s="692" t="s">
        <v>573</v>
      </c>
      <c r="I9" s="691"/>
      <c r="J9" s="693" t="s">
        <v>574</v>
      </c>
      <c r="K9" s="691"/>
      <c r="L9" s="691" t="s">
        <v>575</v>
      </c>
      <c r="M9" s="691"/>
      <c r="N9" s="691" t="s">
        <v>576</v>
      </c>
      <c r="O9" s="691"/>
      <c r="P9" s="691" t="s">
        <v>577</v>
      </c>
      <c r="Q9" s="691"/>
      <c r="R9" s="691" t="s">
        <v>578</v>
      </c>
      <c r="S9" s="691"/>
      <c r="T9" s="691" t="s">
        <v>579</v>
      </c>
      <c r="U9" s="691"/>
    </row>
    <row r="10" spans="1:21" ht="20.25" customHeight="1" x14ac:dyDescent="0.25">
      <c r="A10" s="689"/>
      <c r="B10" s="442" t="s">
        <v>580</v>
      </c>
      <c r="C10" s="442" t="s">
        <v>581</v>
      </c>
      <c r="D10" s="442" t="s">
        <v>582</v>
      </c>
      <c r="E10" s="442" t="s">
        <v>583</v>
      </c>
      <c r="F10" s="442" t="s">
        <v>584</v>
      </c>
      <c r="G10" s="446" t="s">
        <v>585</v>
      </c>
      <c r="H10" s="442" t="s">
        <v>586</v>
      </c>
      <c r="I10" s="447" t="s">
        <v>587</v>
      </c>
      <c r="J10" s="447" t="s">
        <v>588</v>
      </c>
      <c r="K10" s="442" t="s">
        <v>589</v>
      </c>
      <c r="L10" s="442" t="s">
        <v>590</v>
      </c>
      <c r="M10" s="442" t="s">
        <v>591</v>
      </c>
      <c r="N10" s="442" t="s">
        <v>592</v>
      </c>
      <c r="O10" s="442" t="s">
        <v>593</v>
      </c>
      <c r="P10" s="442" t="s">
        <v>594</v>
      </c>
      <c r="Q10" s="442" t="s">
        <v>595</v>
      </c>
      <c r="R10" s="442" t="s">
        <v>596</v>
      </c>
      <c r="S10" s="442" t="s">
        <v>597</v>
      </c>
      <c r="T10" s="442" t="s">
        <v>598</v>
      </c>
      <c r="U10" s="442" t="s">
        <v>599</v>
      </c>
    </row>
    <row r="11" spans="1:21" ht="20.2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20.25" customHeight="1" x14ac:dyDescent="0.25">
      <c r="A12" s="444" t="s">
        <v>640</v>
      </c>
      <c r="B12" s="444"/>
      <c r="C12" s="444"/>
      <c r="D12" s="444"/>
      <c r="E12" s="444"/>
      <c r="F12" s="444"/>
      <c r="G12" s="444"/>
      <c r="H12" s="444"/>
      <c r="I12" s="444"/>
      <c r="J12" s="448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</row>
    <row r="13" spans="1:21" ht="20.25" customHeight="1" x14ac:dyDescent="0.25">
      <c r="A13" s="443" t="s">
        <v>641</v>
      </c>
      <c r="B13" s="444">
        <f>2*1233.77</f>
        <v>2467.54</v>
      </c>
      <c r="C13" s="444">
        <f>4*1233.77</f>
        <v>4935.08</v>
      </c>
      <c r="D13" s="444">
        <f>6*1233.77</f>
        <v>7402.62</v>
      </c>
      <c r="E13" s="444">
        <f>8*1233.77</f>
        <v>9870.16</v>
      </c>
      <c r="F13" s="444">
        <f>10*1233.77</f>
        <v>12337.7</v>
      </c>
      <c r="G13" s="444">
        <f>12*1233.77</f>
        <v>14805.24</v>
      </c>
      <c r="H13" s="444">
        <f>14*1233.77</f>
        <v>17272.78</v>
      </c>
      <c r="I13" s="444">
        <f>16*1233.77</f>
        <v>19740.32</v>
      </c>
      <c r="J13" s="444">
        <f t="shared" ref="J13:U13" si="0">16*1233.77</f>
        <v>19740.32</v>
      </c>
      <c r="K13" s="444">
        <f t="shared" si="0"/>
        <v>19740.32</v>
      </c>
      <c r="L13" s="444">
        <f t="shared" si="0"/>
        <v>19740.32</v>
      </c>
      <c r="M13" s="444">
        <f t="shared" si="0"/>
        <v>19740.32</v>
      </c>
      <c r="N13" s="444">
        <f t="shared" si="0"/>
        <v>19740.32</v>
      </c>
      <c r="O13" s="444">
        <f t="shared" si="0"/>
        <v>19740.32</v>
      </c>
      <c r="P13" s="444">
        <f t="shared" si="0"/>
        <v>19740.32</v>
      </c>
      <c r="Q13" s="444">
        <f t="shared" si="0"/>
        <v>19740.32</v>
      </c>
      <c r="R13" s="444">
        <f t="shared" si="0"/>
        <v>19740.32</v>
      </c>
      <c r="S13" s="444">
        <f t="shared" si="0"/>
        <v>19740.32</v>
      </c>
      <c r="T13" s="444">
        <f t="shared" si="0"/>
        <v>19740.32</v>
      </c>
      <c r="U13" s="444">
        <f t="shared" si="0"/>
        <v>19740.32</v>
      </c>
    </row>
    <row r="14" spans="1:21" ht="20.25" customHeight="1" x14ac:dyDescent="0.25">
      <c r="A14" s="444" t="s">
        <v>608</v>
      </c>
      <c r="B14" s="444"/>
      <c r="C14" s="444"/>
      <c r="D14" s="444"/>
      <c r="E14" s="444"/>
      <c r="F14" s="444"/>
      <c r="G14" s="444"/>
      <c r="H14" s="444"/>
      <c r="I14" s="444"/>
      <c r="J14" s="448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</row>
    <row r="15" spans="1:21" ht="20.25" customHeight="1" x14ac:dyDescent="0.25">
      <c r="A15" s="431" t="s">
        <v>635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3"/>
    </row>
    <row r="16" spans="1:21" ht="20.25" customHeight="1" x14ac:dyDescent="0.25">
      <c r="A16" s="444" t="s">
        <v>637</v>
      </c>
      <c r="B16" s="444">
        <v>8000</v>
      </c>
      <c r="C16" s="444">
        <v>10000</v>
      </c>
      <c r="D16" s="444">
        <v>12000</v>
      </c>
      <c r="E16" s="444">
        <v>15000</v>
      </c>
      <c r="F16" s="444">
        <v>17000</v>
      </c>
      <c r="G16" s="444">
        <v>20000</v>
      </c>
      <c r="H16" s="444">
        <v>20000</v>
      </c>
      <c r="I16" s="444">
        <v>20000</v>
      </c>
      <c r="J16" s="444">
        <v>20000</v>
      </c>
      <c r="K16" s="444">
        <v>20000</v>
      </c>
      <c r="L16" s="444">
        <v>20000</v>
      </c>
      <c r="M16" s="444">
        <v>20000</v>
      </c>
      <c r="N16" s="444">
        <v>20000</v>
      </c>
      <c r="O16" s="444">
        <v>20000</v>
      </c>
      <c r="P16" s="444">
        <v>20000</v>
      </c>
      <c r="Q16" s="444">
        <v>20000</v>
      </c>
      <c r="R16" s="444">
        <v>20000</v>
      </c>
      <c r="S16" s="444">
        <v>20000</v>
      </c>
      <c r="T16" s="444">
        <v>20000</v>
      </c>
      <c r="U16" s="444">
        <v>20000</v>
      </c>
    </row>
    <row r="17" spans="1:21" ht="20.25" customHeight="1" x14ac:dyDescent="0.25">
      <c r="A17" s="443" t="s">
        <v>638</v>
      </c>
      <c r="B17" s="444"/>
      <c r="C17" s="444"/>
      <c r="D17" s="444"/>
      <c r="E17" s="444"/>
      <c r="F17" s="444"/>
      <c r="G17" s="444"/>
      <c r="H17" s="444"/>
      <c r="I17" s="444"/>
      <c r="J17" s="448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</row>
    <row r="18" spans="1:21" ht="20.25" customHeight="1" x14ac:dyDescent="0.25">
      <c r="A18" s="436" t="s">
        <v>614</v>
      </c>
      <c r="B18" s="445">
        <f>SUM(B16:B17)+SUM(B12:B14)</f>
        <v>10467.540000000001</v>
      </c>
      <c r="C18" s="445">
        <f t="shared" ref="C18:U18" si="1">SUM(C16:C17)+SUM(C12:C14)</f>
        <v>14935.08</v>
      </c>
      <c r="D18" s="445">
        <f t="shared" si="1"/>
        <v>19402.62</v>
      </c>
      <c r="E18" s="445">
        <f t="shared" si="1"/>
        <v>24870.16</v>
      </c>
      <c r="F18" s="445">
        <f t="shared" si="1"/>
        <v>29337.7</v>
      </c>
      <c r="G18" s="445">
        <f t="shared" si="1"/>
        <v>34805.24</v>
      </c>
      <c r="H18" s="445">
        <f t="shared" si="1"/>
        <v>37272.78</v>
      </c>
      <c r="I18" s="445">
        <f t="shared" si="1"/>
        <v>39740.32</v>
      </c>
      <c r="J18" s="445">
        <f t="shared" si="1"/>
        <v>39740.32</v>
      </c>
      <c r="K18" s="445">
        <f t="shared" si="1"/>
        <v>39740.32</v>
      </c>
      <c r="L18" s="445">
        <f t="shared" si="1"/>
        <v>39740.32</v>
      </c>
      <c r="M18" s="445">
        <f t="shared" si="1"/>
        <v>39740.32</v>
      </c>
      <c r="N18" s="445">
        <f t="shared" si="1"/>
        <v>39740.32</v>
      </c>
      <c r="O18" s="445">
        <f t="shared" si="1"/>
        <v>39740.32</v>
      </c>
      <c r="P18" s="445">
        <f t="shared" si="1"/>
        <v>39740.32</v>
      </c>
      <c r="Q18" s="445">
        <f t="shared" si="1"/>
        <v>39740.32</v>
      </c>
      <c r="R18" s="445">
        <f t="shared" si="1"/>
        <v>39740.32</v>
      </c>
      <c r="S18" s="445">
        <f t="shared" si="1"/>
        <v>39740.32</v>
      </c>
      <c r="T18" s="445">
        <f t="shared" si="1"/>
        <v>39740.32</v>
      </c>
      <c r="U18" s="445">
        <f t="shared" si="1"/>
        <v>39740.32</v>
      </c>
    </row>
    <row r="19" spans="1:21" ht="20.25" customHeight="1" x14ac:dyDescent="0.25">
      <c r="A19" s="317" t="s">
        <v>615</v>
      </c>
      <c r="B19" s="449"/>
      <c r="C19" s="449"/>
      <c r="D19" s="449"/>
      <c r="E19" s="449"/>
      <c r="F19" s="449"/>
      <c r="G19" s="449"/>
      <c r="H19" s="449"/>
      <c r="I19" s="449"/>
    </row>
    <row r="21" spans="1:21" ht="20.25" customHeight="1" x14ac:dyDescent="0.25">
      <c r="A21" t="s">
        <v>447</v>
      </c>
    </row>
  </sheetData>
  <sheetProtection objects="1"/>
  <mergeCells count="11">
    <mergeCell ref="R9:S9"/>
    <mergeCell ref="T9:U9"/>
    <mergeCell ref="B9:C9"/>
    <mergeCell ref="D9:E9"/>
    <mergeCell ref="F9:G9"/>
    <mergeCell ref="N9:O9"/>
    <mergeCell ref="A9:A10"/>
    <mergeCell ref="H9:I9"/>
    <mergeCell ref="J9:K9"/>
    <mergeCell ref="L9:M9"/>
    <mergeCell ref="P9:Q9"/>
  </mergeCells>
  <phoneticPr fontId="0" type="noConversion"/>
  <pageMargins left="0.23" right="0.59" top="0.33" bottom="0.54" header="0.49212598499999999" footer="0.35"/>
  <pageSetup paperSize="9" scale="53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Plan9">
    <pageSetUpPr autoPageBreaks="0" fitToPage="1"/>
  </sheetPr>
  <dimension ref="A1:V31"/>
  <sheetViews>
    <sheetView showGridLines="0" showZeros="0" view="pageBreakPreview" zoomScale="60" zoomScaleNormal="87" workbookViewId="0"/>
  </sheetViews>
  <sheetFormatPr defaultColWidth="12.54296875" defaultRowHeight="15.5" x14ac:dyDescent="0.35"/>
  <cols>
    <col min="1" max="1" width="47.7265625" style="495" customWidth="1"/>
    <col min="2" max="10" width="9.81640625" style="495" bestFit="1" customWidth="1"/>
    <col min="11" max="15" width="8.7265625" style="495" bestFit="1" customWidth="1"/>
    <col min="16" max="21" width="9.81640625" style="495" bestFit="1" customWidth="1"/>
    <col min="22" max="22" width="11.1796875" style="495" bestFit="1" customWidth="1"/>
    <col min="23" max="16384" width="12.54296875" style="495"/>
  </cols>
  <sheetData>
    <row r="1" spans="1:22" x14ac:dyDescent="0.35">
      <c r="A1" s="494" t="str">
        <f>TECNOLOGIAS!A1</f>
        <v>Proponente: TransPolitécnica</v>
      </c>
    </row>
    <row r="2" spans="1:22" x14ac:dyDescent="0.35">
      <c r="A2" s="494" t="str">
        <f>TECNOLOGIAS!A2</f>
        <v>Área de Concessão: 5 (Cinco)</v>
      </c>
    </row>
    <row r="4" spans="1:22" ht="18" x14ac:dyDescent="0.4">
      <c r="A4" s="32" t="s">
        <v>31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22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22" x14ac:dyDescent="0.35">
      <c r="A6" s="35" t="s">
        <v>20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22" x14ac:dyDescent="0.3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22" x14ac:dyDescent="0.35">
      <c r="A8" s="36" t="str">
        <f>"VEÍCULO  "  &amp;TECNOLOGIAS!$A$9</f>
        <v>VEÍCULO  Padron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22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22" s="534" customFormat="1" ht="16" thickBot="1" x14ac:dyDescent="0.4">
      <c r="A10" s="533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533"/>
      <c r="N10" s="533"/>
      <c r="O10" s="533"/>
      <c r="P10" s="533"/>
      <c r="Q10" s="533"/>
      <c r="R10" s="533"/>
      <c r="S10" s="533"/>
      <c r="T10" s="533"/>
      <c r="U10" s="533"/>
      <c r="V10" s="533"/>
    </row>
    <row r="11" spans="1:22" x14ac:dyDescent="0.35">
      <c r="A11" s="326" t="s">
        <v>21</v>
      </c>
      <c r="B11" s="253" t="s">
        <v>372</v>
      </c>
      <c r="C11" s="254" t="s">
        <v>372</v>
      </c>
      <c r="D11" s="254" t="s">
        <v>372</v>
      </c>
      <c r="E11" s="254" t="s">
        <v>372</v>
      </c>
      <c r="F11" s="254" t="s">
        <v>372</v>
      </c>
      <c r="G11" s="254" t="s">
        <v>372</v>
      </c>
      <c r="H11" s="254" t="s">
        <v>372</v>
      </c>
      <c r="I11" s="254" t="s">
        <v>372</v>
      </c>
      <c r="J11" s="254" t="s">
        <v>372</v>
      </c>
      <c r="K11" s="254" t="s">
        <v>372</v>
      </c>
      <c r="L11" s="254" t="s">
        <v>372</v>
      </c>
      <c r="M11" s="254" t="s">
        <v>372</v>
      </c>
      <c r="N11" s="254" t="s">
        <v>372</v>
      </c>
      <c r="O11" s="254" t="s">
        <v>372</v>
      </c>
      <c r="P11" s="254" t="s">
        <v>372</v>
      </c>
      <c r="Q11" s="254" t="s">
        <v>372</v>
      </c>
      <c r="R11" s="254" t="s">
        <v>372</v>
      </c>
      <c r="S11" s="254" t="s">
        <v>372</v>
      </c>
      <c r="T11" s="254" t="s">
        <v>372</v>
      </c>
      <c r="U11" s="254" t="s">
        <v>372</v>
      </c>
      <c r="V11" s="254" t="s">
        <v>372</v>
      </c>
    </row>
    <row r="12" spans="1:22" ht="16" thickBot="1" x14ac:dyDescent="0.4">
      <c r="A12" s="41"/>
      <c r="B12" s="372" t="s">
        <v>413</v>
      </c>
      <c r="C12" s="43">
        <v>1</v>
      </c>
      <c r="D12" s="43">
        <v>2</v>
      </c>
      <c r="E12" s="43">
        <v>3</v>
      </c>
      <c r="F12" s="43">
        <v>4</v>
      </c>
      <c r="G12" s="43">
        <v>5</v>
      </c>
      <c r="H12" s="43">
        <v>6</v>
      </c>
      <c r="I12" s="43">
        <v>7</v>
      </c>
      <c r="J12" s="43">
        <v>8</v>
      </c>
      <c r="K12" s="43">
        <v>9</v>
      </c>
      <c r="L12" s="43">
        <v>10</v>
      </c>
      <c r="M12" s="43">
        <v>11</v>
      </c>
      <c r="N12" s="43">
        <v>12</v>
      </c>
      <c r="O12" s="43">
        <v>13</v>
      </c>
      <c r="P12" s="43">
        <v>14</v>
      </c>
      <c r="Q12" s="43">
        <v>15</v>
      </c>
      <c r="R12" s="43">
        <v>16</v>
      </c>
      <c r="S12" s="43">
        <v>17</v>
      </c>
      <c r="T12" s="43">
        <v>18</v>
      </c>
      <c r="U12" s="43">
        <v>19</v>
      </c>
      <c r="V12" s="43">
        <v>20</v>
      </c>
    </row>
    <row r="13" spans="1:22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x14ac:dyDescent="0.35">
      <c r="A14" s="35" t="s">
        <v>23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x14ac:dyDescent="0.35">
      <c r="A15" s="35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x14ac:dyDescent="0.35">
      <c r="A16" s="44" t="s">
        <v>24</v>
      </c>
      <c r="B16" s="44">
        <v>67</v>
      </c>
      <c r="C16" s="44">
        <v>65</v>
      </c>
      <c r="D16" s="44">
        <v>65</v>
      </c>
      <c r="E16" s="44">
        <v>65</v>
      </c>
      <c r="F16" s="44">
        <v>66</v>
      </c>
      <c r="G16" s="44">
        <v>65</v>
      </c>
      <c r="H16" s="44">
        <v>65</v>
      </c>
      <c r="I16" s="44">
        <v>65</v>
      </c>
      <c r="J16" s="44">
        <v>65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30</v>
      </c>
      <c r="Q16" s="44">
        <v>37</v>
      </c>
      <c r="R16" s="44">
        <v>40</v>
      </c>
      <c r="S16" s="44">
        <v>30</v>
      </c>
      <c r="T16" s="44">
        <v>40</v>
      </c>
      <c r="U16" s="44">
        <v>35</v>
      </c>
      <c r="V16" s="44"/>
    </row>
    <row r="17" spans="1:22" x14ac:dyDescent="0.35">
      <c r="A17" s="286" t="s">
        <v>365</v>
      </c>
      <c r="B17" s="44">
        <v>0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/>
      <c r="L17" s="44"/>
      <c r="M17" s="44"/>
      <c r="N17" s="44"/>
      <c r="O17" s="44"/>
      <c r="P17" s="44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</row>
    <row r="18" spans="1:22" x14ac:dyDescent="0.35">
      <c r="A18" s="44" t="s">
        <v>25</v>
      </c>
      <c r="B18" s="44">
        <f>'8'!$B$13</f>
        <v>125000</v>
      </c>
      <c r="C18" s="44">
        <f>'8'!$B$13</f>
        <v>125000</v>
      </c>
      <c r="D18" s="44">
        <f>'8'!$B$13</f>
        <v>125000</v>
      </c>
      <c r="E18" s="44">
        <f>'8'!$B$13</f>
        <v>125000</v>
      </c>
      <c r="F18" s="44">
        <f>'8'!$B$13</f>
        <v>125000</v>
      </c>
      <c r="G18" s="44">
        <f>'8'!$B$13</f>
        <v>125000</v>
      </c>
      <c r="H18" s="44">
        <f>'8'!$B$13</f>
        <v>125000</v>
      </c>
      <c r="I18" s="44">
        <f>'8'!$B$13</f>
        <v>125000</v>
      </c>
      <c r="J18" s="44">
        <f>'8'!$B$13</f>
        <v>125000</v>
      </c>
      <c r="K18" s="44">
        <f>'8'!$B$13</f>
        <v>125000</v>
      </c>
      <c r="L18" s="44">
        <f>'8'!$B$13</f>
        <v>125000</v>
      </c>
      <c r="M18" s="44">
        <f>'8'!$B$13</f>
        <v>125000</v>
      </c>
      <c r="N18" s="44">
        <f>'8'!$B$13</f>
        <v>125000</v>
      </c>
      <c r="O18" s="44">
        <f>'8'!$B$13</f>
        <v>125000</v>
      </c>
      <c r="P18" s="44">
        <f>'8'!$B$13</f>
        <v>125000</v>
      </c>
      <c r="Q18" s="44">
        <f>'8'!$B$13</f>
        <v>125000</v>
      </c>
      <c r="R18" s="44">
        <f>'8'!$B$13</f>
        <v>125000</v>
      </c>
      <c r="S18" s="44">
        <f>'8'!$B$13</f>
        <v>125000</v>
      </c>
      <c r="T18" s="44">
        <f>'8'!$B$13</f>
        <v>125000</v>
      </c>
      <c r="U18" s="44">
        <f>'8'!$B$13</f>
        <v>125000</v>
      </c>
      <c r="V18" s="44">
        <f>'8'!$B$13</f>
        <v>125000</v>
      </c>
    </row>
    <row r="19" spans="1:22" x14ac:dyDescent="0.35">
      <c r="A19" s="44" t="s">
        <v>26</v>
      </c>
      <c r="B19" s="45">
        <f>ROUND(+B18*B16,2)</f>
        <v>8375000</v>
      </c>
      <c r="C19" s="45">
        <f t="shared" ref="C19:L19" si="0">ROUND(+C18*C16,2)</f>
        <v>8125000</v>
      </c>
      <c r="D19" s="45">
        <f t="shared" si="0"/>
        <v>8125000</v>
      </c>
      <c r="E19" s="45">
        <f t="shared" si="0"/>
        <v>8125000</v>
      </c>
      <c r="F19" s="45">
        <f t="shared" si="0"/>
        <v>8250000</v>
      </c>
      <c r="G19" s="45">
        <f t="shared" si="0"/>
        <v>8125000</v>
      </c>
      <c r="H19" s="45">
        <f t="shared" si="0"/>
        <v>8125000</v>
      </c>
      <c r="I19" s="45">
        <f t="shared" si="0"/>
        <v>8125000</v>
      </c>
      <c r="J19" s="45">
        <f t="shared" si="0"/>
        <v>8125000</v>
      </c>
      <c r="K19" s="45">
        <f t="shared" si="0"/>
        <v>0</v>
      </c>
      <c r="L19" s="45">
        <f t="shared" si="0"/>
        <v>0</v>
      </c>
      <c r="M19" s="45">
        <f t="shared" ref="M19:V19" si="1">ROUND(+M18*M16,2)</f>
        <v>0</v>
      </c>
      <c r="N19" s="45">
        <f t="shared" si="1"/>
        <v>0</v>
      </c>
      <c r="O19" s="45">
        <f t="shared" si="1"/>
        <v>0</v>
      </c>
      <c r="P19" s="45">
        <f t="shared" si="1"/>
        <v>3750000</v>
      </c>
      <c r="Q19" s="45">
        <f t="shared" si="1"/>
        <v>4625000</v>
      </c>
      <c r="R19" s="45">
        <f t="shared" si="1"/>
        <v>5000000</v>
      </c>
      <c r="S19" s="45">
        <f t="shared" si="1"/>
        <v>3750000</v>
      </c>
      <c r="T19" s="45">
        <f t="shared" si="1"/>
        <v>5000000</v>
      </c>
      <c r="U19" s="45">
        <f t="shared" si="1"/>
        <v>4375000</v>
      </c>
      <c r="V19" s="45">
        <f t="shared" si="1"/>
        <v>0</v>
      </c>
    </row>
    <row r="20" spans="1:22" x14ac:dyDescent="0.35">
      <c r="A20" s="44" t="s">
        <v>27</v>
      </c>
      <c r="B20" s="44">
        <v>10</v>
      </c>
      <c r="C20" s="44">
        <v>10</v>
      </c>
      <c r="D20" s="44">
        <v>10</v>
      </c>
      <c r="E20" s="44">
        <v>10</v>
      </c>
      <c r="F20" s="44">
        <v>10</v>
      </c>
      <c r="G20" s="44">
        <v>10</v>
      </c>
      <c r="H20" s="44">
        <v>10</v>
      </c>
      <c r="I20" s="44">
        <v>10</v>
      </c>
      <c r="J20" s="44">
        <v>10</v>
      </c>
      <c r="K20" s="44">
        <v>10</v>
      </c>
      <c r="L20" s="44">
        <v>10</v>
      </c>
      <c r="M20" s="44">
        <v>10</v>
      </c>
      <c r="N20" s="44">
        <v>10</v>
      </c>
      <c r="O20" s="44">
        <v>10</v>
      </c>
      <c r="P20" s="44">
        <v>10</v>
      </c>
      <c r="Q20" s="44">
        <v>10</v>
      </c>
      <c r="R20" s="44">
        <v>10</v>
      </c>
      <c r="S20" s="44">
        <v>10</v>
      </c>
      <c r="T20" s="44">
        <v>10</v>
      </c>
      <c r="U20" s="44">
        <v>10</v>
      </c>
      <c r="V20" s="44">
        <v>10</v>
      </c>
    </row>
    <row r="21" spans="1:22" x14ac:dyDescent="0.35">
      <c r="A21" s="44" t="s">
        <v>228</v>
      </c>
      <c r="B21" s="166">
        <f>+B20-B17</f>
        <v>10</v>
      </c>
      <c r="C21" s="166">
        <f>+C20-C17</f>
        <v>10</v>
      </c>
      <c r="D21" s="166">
        <f>+D20-D17</f>
        <v>10</v>
      </c>
      <c r="E21" s="166">
        <f>+E20-E17</f>
        <v>10</v>
      </c>
      <c r="F21" s="166">
        <f>+F20-F17</f>
        <v>10</v>
      </c>
      <c r="G21" s="166">
        <f t="shared" ref="G21:L21" si="2">+G20-G17</f>
        <v>10</v>
      </c>
      <c r="H21" s="166">
        <f t="shared" si="2"/>
        <v>10</v>
      </c>
      <c r="I21" s="166">
        <f t="shared" si="2"/>
        <v>10</v>
      </c>
      <c r="J21" s="166">
        <f t="shared" si="2"/>
        <v>10</v>
      </c>
      <c r="K21" s="166">
        <f t="shared" si="2"/>
        <v>10</v>
      </c>
      <c r="L21" s="166">
        <f t="shared" si="2"/>
        <v>10</v>
      </c>
      <c r="M21" s="166">
        <f t="shared" ref="M21:V21" si="3">+M20-M17</f>
        <v>10</v>
      </c>
      <c r="N21" s="166">
        <f t="shared" si="3"/>
        <v>10</v>
      </c>
      <c r="O21" s="166">
        <f t="shared" si="3"/>
        <v>10</v>
      </c>
      <c r="P21" s="166">
        <f t="shared" si="3"/>
        <v>10</v>
      </c>
      <c r="Q21" s="166">
        <f t="shared" si="3"/>
        <v>10</v>
      </c>
      <c r="R21" s="166">
        <f t="shared" si="3"/>
        <v>10</v>
      </c>
      <c r="S21" s="166">
        <f t="shared" si="3"/>
        <v>10</v>
      </c>
      <c r="T21" s="166">
        <f t="shared" si="3"/>
        <v>10</v>
      </c>
      <c r="U21" s="166">
        <f t="shared" si="3"/>
        <v>10</v>
      </c>
      <c r="V21" s="166">
        <f t="shared" si="3"/>
        <v>10</v>
      </c>
    </row>
    <row r="22" spans="1:22" x14ac:dyDescent="0.35">
      <c r="A22" s="44" t="s">
        <v>229</v>
      </c>
      <c r="B22" s="566">
        <v>0.2</v>
      </c>
      <c r="C22" s="566">
        <v>0.2</v>
      </c>
      <c r="D22" s="566">
        <v>0.2</v>
      </c>
      <c r="E22" s="566">
        <v>0.2</v>
      </c>
      <c r="F22" s="566">
        <v>0.2</v>
      </c>
      <c r="G22" s="566">
        <v>0.2</v>
      </c>
      <c r="H22" s="566">
        <v>0.2</v>
      </c>
      <c r="I22" s="566">
        <v>0.2</v>
      </c>
      <c r="J22" s="566">
        <v>0.2</v>
      </c>
      <c r="K22" s="566">
        <v>0.2</v>
      </c>
      <c r="L22" s="566">
        <v>0.2</v>
      </c>
      <c r="M22" s="566">
        <v>0.2</v>
      </c>
      <c r="N22" s="566">
        <v>0.2</v>
      </c>
      <c r="O22" s="566">
        <v>0.2</v>
      </c>
      <c r="P22" s="566">
        <v>0.2</v>
      </c>
      <c r="Q22" s="566">
        <v>0.2</v>
      </c>
      <c r="R22" s="566">
        <v>0.2</v>
      </c>
      <c r="S22" s="566">
        <v>0.2</v>
      </c>
      <c r="T22" s="566">
        <v>0.2</v>
      </c>
      <c r="U22" s="566">
        <v>0.2</v>
      </c>
      <c r="V22" s="566">
        <v>0.2</v>
      </c>
    </row>
    <row r="23" spans="1:22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x14ac:dyDescent="0.35">
      <c r="A25" s="35" t="s">
        <v>28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x14ac:dyDescent="0.35">
      <c r="A27" s="44" t="s">
        <v>230</v>
      </c>
      <c r="B27" s="44">
        <v>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30</v>
      </c>
      <c r="Q27" s="44">
        <v>37</v>
      </c>
      <c r="R27" s="44">
        <v>40</v>
      </c>
      <c r="S27" s="44">
        <v>30</v>
      </c>
      <c r="T27" s="44">
        <v>40</v>
      </c>
      <c r="U27" s="44">
        <v>35</v>
      </c>
      <c r="V27" s="44">
        <v>588</v>
      </c>
    </row>
    <row r="28" spans="1:22" x14ac:dyDescent="0.35">
      <c r="A28" s="44" t="s">
        <v>231</v>
      </c>
      <c r="B28" s="44"/>
      <c r="C28" s="44">
        <f>C18*0.2</f>
        <v>25000</v>
      </c>
      <c r="D28" s="44">
        <f t="shared" ref="D28:U28" si="4">D18*0.2</f>
        <v>25000</v>
      </c>
      <c r="E28" s="44">
        <f t="shared" si="4"/>
        <v>25000</v>
      </c>
      <c r="F28" s="44">
        <f t="shared" si="4"/>
        <v>25000</v>
      </c>
      <c r="G28" s="44">
        <f t="shared" si="4"/>
        <v>25000</v>
      </c>
      <c r="H28" s="44">
        <f t="shared" si="4"/>
        <v>25000</v>
      </c>
      <c r="I28" s="44">
        <f t="shared" si="4"/>
        <v>25000</v>
      </c>
      <c r="J28" s="44">
        <f t="shared" si="4"/>
        <v>25000</v>
      </c>
      <c r="K28" s="44">
        <f t="shared" si="4"/>
        <v>25000</v>
      </c>
      <c r="L28" s="44">
        <f t="shared" si="4"/>
        <v>25000</v>
      </c>
      <c r="M28" s="44">
        <f t="shared" si="4"/>
        <v>25000</v>
      </c>
      <c r="N28" s="44">
        <f t="shared" si="4"/>
        <v>25000</v>
      </c>
      <c r="O28" s="44">
        <f t="shared" si="4"/>
        <v>25000</v>
      </c>
      <c r="P28" s="44">
        <f t="shared" si="4"/>
        <v>25000</v>
      </c>
      <c r="Q28" s="44">
        <f t="shared" si="4"/>
        <v>25000</v>
      </c>
      <c r="R28" s="44">
        <f t="shared" si="4"/>
        <v>25000</v>
      </c>
      <c r="S28" s="44">
        <f t="shared" si="4"/>
        <v>25000</v>
      </c>
      <c r="T28" s="44">
        <f t="shared" si="4"/>
        <v>25000</v>
      </c>
      <c r="U28" s="44">
        <f t="shared" si="4"/>
        <v>25000</v>
      </c>
      <c r="V28" s="44">
        <f>V18*0.4</f>
        <v>50000</v>
      </c>
    </row>
    <row r="29" spans="1:22" x14ac:dyDescent="0.35">
      <c r="A29" s="44" t="s">
        <v>232</v>
      </c>
      <c r="B29" s="45">
        <f>ROUND(B27*B28,2)</f>
        <v>0</v>
      </c>
      <c r="C29" s="45">
        <f t="shared" ref="C29:L29" si="5">ROUND(C27*C28,2)</f>
        <v>0</v>
      </c>
      <c r="D29" s="45">
        <f t="shared" si="5"/>
        <v>0</v>
      </c>
      <c r="E29" s="45">
        <f t="shared" si="5"/>
        <v>0</v>
      </c>
      <c r="F29" s="45">
        <f t="shared" si="5"/>
        <v>0</v>
      </c>
      <c r="G29" s="45">
        <f t="shared" si="5"/>
        <v>0</v>
      </c>
      <c r="H29" s="45">
        <f t="shared" si="5"/>
        <v>0</v>
      </c>
      <c r="I29" s="45">
        <f t="shared" si="5"/>
        <v>0</v>
      </c>
      <c r="J29" s="45">
        <f t="shared" si="5"/>
        <v>0</v>
      </c>
      <c r="K29" s="45">
        <f t="shared" si="5"/>
        <v>0</v>
      </c>
      <c r="L29" s="45">
        <f t="shared" si="5"/>
        <v>0</v>
      </c>
      <c r="M29" s="45">
        <f t="shared" ref="M29:V29" si="6">ROUND(M27*M28,2)</f>
        <v>0</v>
      </c>
      <c r="N29" s="45">
        <f t="shared" si="6"/>
        <v>0</v>
      </c>
      <c r="O29" s="45">
        <f t="shared" si="6"/>
        <v>0</v>
      </c>
      <c r="P29" s="45">
        <f t="shared" si="6"/>
        <v>750000</v>
      </c>
      <c r="Q29" s="45">
        <f t="shared" si="6"/>
        <v>925000</v>
      </c>
      <c r="R29" s="45">
        <f t="shared" si="6"/>
        <v>1000000</v>
      </c>
      <c r="S29" s="45">
        <f t="shared" si="6"/>
        <v>750000</v>
      </c>
      <c r="T29" s="45">
        <f t="shared" si="6"/>
        <v>1000000</v>
      </c>
      <c r="U29" s="45">
        <f t="shared" si="6"/>
        <v>875000</v>
      </c>
      <c r="V29" s="45">
        <f t="shared" si="6"/>
        <v>29400000</v>
      </c>
    </row>
    <row r="31" spans="1:22" x14ac:dyDescent="0.35">
      <c r="A31" s="490" t="s">
        <v>447</v>
      </c>
    </row>
  </sheetData>
  <sheetProtection objects="1"/>
  <mergeCells count="1">
    <mergeCell ref="B10:L10"/>
  </mergeCells>
  <phoneticPr fontId="0" type="noConversion"/>
  <pageMargins left="0.39370078740157483" right="0.39370078740157483" top="0.59055118110236227" bottom="0.51181102362204722" header="0.51181102362204722" footer="0.51181102362204722"/>
  <pageSetup paperSize="9" scale="81" fitToWidth="2" orientation="landscape" horizontalDpi="300" verticalDpi="300" r:id="rId1"/>
  <headerFooter alignWithMargins="0"/>
  <colBreaks count="1" manualBreakCount="1">
    <brk id="12" max="104857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0"/>
  <dimension ref="A1:U20"/>
  <sheetViews>
    <sheetView view="pageBreakPreview" zoomScale="60" zoomScaleNormal="100" workbookViewId="0">
      <selection activeCell="B12" sqref="B12"/>
    </sheetView>
  </sheetViews>
  <sheetFormatPr defaultColWidth="23.81640625" defaultRowHeight="20.25" customHeight="1" x14ac:dyDescent="0.25"/>
  <cols>
    <col min="1" max="1" width="40.7265625" customWidth="1"/>
    <col min="2" max="34" width="5" customWidth="1"/>
  </cols>
  <sheetData>
    <row r="1" spans="1:21" ht="13.5" customHeight="1" x14ac:dyDescent="0.25">
      <c r="A1" t="str">
        <f>TECNOLOGIAS!A1</f>
        <v>Proponente: TransPolitécnica</v>
      </c>
    </row>
    <row r="2" spans="1:21" ht="13.5" customHeight="1" x14ac:dyDescent="0.25">
      <c r="A2" t="str">
        <f>TECNOLOGIAS!A2</f>
        <v>Área de Concessão: 5 (Cinco)</v>
      </c>
    </row>
    <row r="4" spans="1:21" ht="20.25" customHeight="1" x14ac:dyDescent="0.3">
      <c r="A4" s="438" t="s">
        <v>653</v>
      </c>
      <c r="B4" s="439"/>
    </row>
    <row r="6" spans="1:21" ht="20.25" customHeight="1" x14ac:dyDescent="0.3">
      <c r="A6" s="452" t="s">
        <v>654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ht="20.25" customHeight="1" x14ac:dyDescent="0.25">
      <c r="A7" s="317" t="s">
        <v>568</v>
      </c>
    </row>
    <row r="8" spans="1:21" ht="20.25" customHeight="1" x14ac:dyDescent="0.3">
      <c r="A8" s="451"/>
      <c r="U8" s="441"/>
    </row>
    <row r="9" spans="1:21" ht="20.25" customHeight="1" x14ac:dyDescent="0.25">
      <c r="A9" s="689" t="s">
        <v>569</v>
      </c>
      <c r="B9" s="691" t="s">
        <v>570</v>
      </c>
      <c r="C9" s="691"/>
      <c r="D9" s="691" t="s">
        <v>571</v>
      </c>
      <c r="E9" s="691"/>
      <c r="F9" s="691" t="s">
        <v>572</v>
      </c>
      <c r="G9" s="691"/>
      <c r="H9" s="691" t="s">
        <v>573</v>
      </c>
      <c r="I9" s="691"/>
      <c r="J9" s="691" t="s">
        <v>574</v>
      </c>
      <c r="K9" s="691"/>
      <c r="L9" s="691" t="s">
        <v>575</v>
      </c>
      <c r="M9" s="691"/>
      <c r="N9" s="691" t="s">
        <v>576</v>
      </c>
      <c r="O9" s="691"/>
      <c r="P9" s="691" t="s">
        <v>577</v>
      </c>
      <c r="Q9" s="691"/>
      <c r="R9" s="691" t="s">
        <v>578</v>
      </c>
      <c r="S9" s="691"/>
      <c r="T9" s="691" t="s">
        <v>579</v>
      </c>
      <c r="U9" s="691"/>
    </row>
    <row r="10" spans="1:21" ht="20.25" customHeight="1" x14ac:dyDescent="0.25">
      <c r="A10" s="689"/>
      <c r="B10" s="442" t="s">
        <v>580</v>
      </c>
      <c r="C10" s="442" t="s">
        <v>581</v>
      </c>
      <c r="D10" s="442" t="s">
        <v>582</v>
      </c>
      <c r="E10" s="442" t="s">
        <v>583</v>
      </c>
      <c r="F10" s="442" t="s">
        <v>584</v>
      </c>
      <c r="G10" s="442" t="s">
        <v>585</v>
      </c>
      <c r="H10" s="442" t="s">
        <v>586</v>
      </c>
      <c r="I10" s="442" t="s">
        <v>587</v>
      </c>
      <c r="J10" s="442" t="s">
        <v>588</v>
      </c>
      <c r="K10" s="442" t="s">
        <v>589</v>
      </c>
      <c r="L10" s="442" t="s">
        <v>590</v>
      </c>
      <c r="M10" s="442" t="s">
        <v>591</v>
      </c>
      <c r="N10" s="442" t="s">
        <v>592</v>
      </c>
      <c r="O10" s="442" t="s">
        <v>593</v>
      </c>
      <c r="P10" s="442" t="s">
        <v>594</v>
      </c>
      <c r="Q10" s="442" t="s">
        <v>595</v>
      </c>
      <c r="R10" s="442" t="s">
        <v>596</v>
      </c>
      <c r="S10" s="442" t="s">
        <v>597</v>
      </c>
      <c r="T10" s="442" t="s">
        <v>598</v>
      </c>
      <c r="U10" s="442" t="s">
        <v>599</v>
      </c>
    </row>
    <row r="11" spans="1:21" ht="20.25" customHeight="1" x14ac:dyDescent="0.25">
      <c r="A11" s="431" t="s">
        <v>600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3"/>
    </row>
    <row r="12" spans="1:21" ht="20.25" customHeight="1" x14ac:dyDescent="0.25">
      <c r="A12" s="444" t="s">
        <v>655</v>
      </c>
      <c r="B12" s="444"/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</row>
    <row r="13" spans="1:21" ht="20.25" customHeight="1" x14ac:dyDescent="0.25">
      <c r="A13" s="444" t="s">
        <v>655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</row>
    <row r="14" spans="1:21" ht="20.25" customHeight="1" x14ac:dyDescent="0.25">
      <c r="A14" s="431" t="s">
        <v>635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3"/>
    </row>
    <row r="15" spans="1:21" ht="20.25" customHeight="1" x14ac:dyDescent="0.25">
      <c r="A15" s="444" t="s">
        <v>655</v>
      </c>
      <c r="B15" s="444"/>
      <c r="C15" s="444"/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444"/>
      <c r="U15" s="444"/>
    </row>
    <row r="16" spans="1:21" ht="20.25" customHeight="1" x14ac:dyDescent="0.25">
      <c r="A16" s="444" t="s">
        <v>655</v>
      </c>
      <c r="B16" s="444"/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U16" s="444"/>
    </row>
    <row r="17" spans="1:21" ht="20.25" customHeight="1" x14ac:dyDescent="0.25">
      <c r="A17" s="436" t="s">
        <v>614</v>
      </c>
      <c r="B17" s="445">
        <f>SUM(B15:B16)+SUM(B12:B13)</f>
        <v>0</v>
      </c>
      <c r="C17" s="445">
        <f t="shared" ref="C17:U17" si="0">SUM(C15:C16)+SUM(C12:C13)</f>
        <v>0</v>
      </c>
      <c r="D17" s="445">
        <f t="shared" si="0"/>
        <v>0</v>
      </c>
      <c r="E17" s="445">
        <f t="shared" si="0"/>
        <v>0</v>
      </c>
      <c r="F17" s="445">
        <f t="shared" si="0"/>
        <v>0</v>
      </c>
      <c r="G17" s="445">
        <f t="shared" si="0"/>
        <v>0</v>
      </c>
      <c r="H17" s="445">
        <f t="shared" si="0"/>
        <v>0</v>
      </c>
      <c r="I17" s="445">
        <f t="shared" si="0"/>
        <v>0</v>
      </c>
      <c r="J17" s="445">
        <f t="shared" si="0"/>
        <v>0</v>
      </c>
      <c r="K17" s="445">
        <f t="shared" si="0"/>
        <v>0</v>
      </c>
      <c r="L17" s="445">
        <f t="shared" si="0"/>
        <v>0</v>
      </c>
      <c r="M17" s="445">
        <f t="shared" si="0"/>
        <v>0</v>
      </c>
      <c r="N17" s="445">
        <f t="shared" si="0"/>
        <v>0</v>
      </c>
      <c r="O17" s="445">
        <f t="shared" si="0"/>
        <v>0</v>
      </c>
      <c r="P17" s="445">
        <f t="shared" si="0"/>
        <v>0</v>
      </c>
      <c r="Q17" s="445">
        <f t="shared" si="0"/>
        <v>0</v>
      </c>
      <c r="R17" s="445">
        <f t="shared" si="0"/>
        <v>0</v>
      </c>
      <c r="S17" s="445">
        <f t="shared" si="0"/>
        <v>0</v>
      </c>
      <c r="T17" s="445">
        <f t="shared" si="0"/>
        <v>0</v>
      </c>
      <c r="U17" s="445">
        <f t="shared" si="0"/>
        <v>0</v>
      </c>
    </row>
    <row r="18" spans="1:21" ht="20.25" customHeight="1" x14ac:dyDescent="0.25">
      <c r="A18" s="317" t="s">
        <v>615</v>
      </c>
    </row>
    <row r="20" spans="1:21" ht="20.25" customHeight="1" x14ac:dyDescent="0.25">
      <c r="A20" t="s">
        <v>447</v>
      </c>
    </row>
  </sheetData>
  <sheetProtection objects="1"/>
  <mergeCells count="11">
    <mergeCell ref="T9:U9"/>
    <mergeCell ref="H9:I9"/>
    <mergeCell ref="J9:K9"/>
    <mergeCell ref="L9:M9"/>
    <mergeCell ref="N9:O9"/>
    <mergeCell ref="A9:A10"/>
    <mergeCell ref="B9:C9"/>
    <mergeCell ref="D9:E9"/>
    <mergeCell ref="F9:G9"/>
    <mergeCell ref="P9:Q9"/>
    <mergeCell ref="R9:S9"/>
  </mergeCells>
  <phoneticPr fontId="0" type="noConversion"/>
  <pageMargins left="0.23" right="0.59" top="0.33" bottom="0.54" header="0.49212598499999999" footer="0.35"/>
  <pageSetup paperSize="9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1">
    <pageSetUpPr fitToPage="1"/>
  </sheetPr>
  <dimension ref="A1:AK123"/>
  <sheetViews>
    <sheetView view="pageBreakPreview" zoomScale="60" zoomScaleNormal="100" workbookViewId="0">
      <selection activeCell="B10" sqref="B10"/>
    </sheetView>
  </sheetViews>
  <sheetFormatPr defaultColWidth="23.81640625" defaultRowHeight="12.5" x14ac:dyDescent="0.25"/>
  <cols>
    <col min="1" max="1" width="33.54296875" customWidth="1"/>
    <col min="2" max="4" width="17.26953125" customWidth="1"/>
    <col min="5" max="5" width="39.1796875" bestFit="1" customWidth="1"/>
    <col min="6" max="6" width="20.26953125" customWidth="1"/>
  </cols>
  <sheetData>
    <row r="1" spans="1:8" ht="13.5" customHeight="1" x14ac:dyDescent="0.25">
      <c r="A1" t="str">
        <f>TECNOLOGIAS!A1</f>
        <v>Proponente: TransPolitécnica</v>
      </c>
    </row>
    <row r="2" spans="1:8" ht="13.5" customHeight="1" x14ac:dyDescent="0.25">
      <c r="A2" t="str">
        <f>TECNOLOGIAS!A2</f>
        <v>Área de Concessão: 5 (Cinco)</v>
      </c>
    </row>
    <row r="4" spans="1:8" ht="13" x14ac:dyDescent="0.3">
      <c r="A4" s="438" t="s">
        <v>656</v>
      </c>
      <c r="B4" s="439"/>
    </row>
    <row r="6" spans="1:8" ht="13" x14ac:dyDescent="0.3">
      <c r="A6" s="452" t="s">
        <v>474</v>
      </c>
      <c r="B6" s="3"/>
      <c r="C6" s="3"/>
      <c r="D6" s="3"/>
      <c r="E6" s="3"/>
      <c r="F6" s="3"/>
      <c r="G6" s="449"/>
      <c r="H6" s="449"/>
    </row>
    <row r="7" spans="1:8" ht="13" x14ac:dyDescent="0.3">
      <c r="A7" s="451"/>
      <c r="G7" s="449"/>
      <c r="H7" s="449"/>
    </row>
    <row r="8" spans="1:8" s="221" customFormat="1" ht="42.75" customHeight="1" x14ac:dyDescent="0.25">
      <c r="A8" s="453" t="s">
        <v>294</v>
      </c>
      <c r="B8" s="389" t="s">
        <v>657</v>
      </c>
      <c r="C8" s="389" t="s">
        <v>658</v>
      </c>
      <c r="D8" s="389" t="s">
        <v>659</v>
      </c>
      <c r="E8" s="389" t="s">
        <v>742</v>
      </c>
      <c r="F8" s="389" t="s">
        <v>743</v>
      </c>
      <c r="G8" s="404"/>
      <c r="H8" s="404"/>
    </row>
    <row r="9" spans="1:8" s="221" customFormat="1" x14ac:dyDescent="0.25">
      <c r="A9" s="435" t="s">
        <v>601</v>
      </c>
      <c r="B9" s="623">
        <v>31.25</v>
      </c>
      <c r="C9" s="623">
        <v>160</v>
      </c>
      <c r="D9" s="624">
        <v>0.61809999999999998</v>
      </c>
      <c r="E9" s="623" t="s">
        <v>912</v>
      </c>
      <c r="F9" s="625">
        <v>265.5</v>
      </c>
      <c r="G9" s="404"/>
      <c r="H9" s="404"/>
    </row>
    <row r="10" spans="1:8" s="221" customFormat="1" x14ac:dyDescent="0.25">
      <c r="A10" s="434" t="s">
        <v>602</v>
      </c>
      <c r="B10" s="625">
        <v>15.34</v>
      </c>
      <c r="C10" s="623">
        <v>176</v>
      </c>
      <c r="D10" s="624">
        <v>0.61809999999999998</v>
      </c>
      <c r="E10" s="623" t="s">
        <v>912</v>
      </c>
      <c r="F10" s="625">
        <v>265.5</v>
      </c>
      <c r="G10" s="404"/>
      <c r="H10" s="404"/>
    </row>
    <row r="11" spans="1:8" s="221" customFormat="1" x14ac:dyDescent="0.25">
      <c r="A11" s="434" t="s">
        <v>603</v>
      </c>
      <c r="B11" s="625">
        <v>6.8</v>
      </c>
      <c r="C11" s="623">
        <v>176</v>
      </c>
      <c r="D11" s="624">
        <v>0.61809999999999998</v>
      </c>
      <c r="E11" s="623" t="s">
        <v>912</v>
      </c>
      <c r="F11" s="625">
        <v>265.5</v>
      </c>
      <c r="G11" s="404"/>
      <c r="H11" s="404"/>
    </row>
    <row r="12" spans="1:8" s="221" customFormat="1" x14ac:dyDescent="0.25">
      <c r="A12" s="434" t="s">
        <v>604</v>
      </c>
      <c r="B12" s="625">
        <v>7.95</v>
      </c>
      <c r="C12" s="623">
        <v>176</v>
      </c>
      <c r="D12" s="624">
        <v>0.61809999999999998</v>
      </c>
      <c r="E12" s="623" t="s">
        <v>912</v>
      </c>
      <c r="F12" s="625">
        <v>265.5</v>
      </c>
      <c r="G12" s="404"/>
      <c r="H12" s="404"/>
    </row>
    <row r="13" spans="1:8" s="221" customFormat="1" x14ac:dyDescent="0.25">
      <c r="A13" s="435" t="s">
        <v>605</v>
      </c>
      <c r="B13" s="625">
        <v>7.95</v>
      </c>
      <c r="C13" s="623">
        <v>176</v>
      </c>
      <c r="D13" s="624">
        <v>0.61809999999999998</v>
      </c>
      <c r="E13" s="623" t="s">
        <v>912</v>
      </c>
      <c r="F13" s="625">
        <v>265.5</v>
      </c>
      <c r="G13" s="404"/>
      <c r="H13" s="404"/>
    </row>
    <row r="14" spans="1:8" s="221" customFormat="1" x14ac:dyDescent="0.25">
      <c r="A14" s="434" t="s">
        <v>606</v>
      </c>
      <c r="B14" s="625">
        <v>8.75</v>
      </c>
      <c r="C14" s="623">
        <v>160</v>
      </c>
      <c r="D14" s="624">
        <v>0.61809999999999998</v>
      </c>
      <c r="E14" s="623" t="s">
        <v>912</v>
      </c>
      <c r="F14" s="625">
        <v>265.5</v>
      </c>
      <c r="G14" s="404"/>
      <c r="H14" s="404"/>
    </row>
    <row r="15" spans="1:8" s="221" customFormat="1" x14ac:dyDescent="0.25">
      <c r="A15" s="434" t="s">
        <v>607</v>
      </c>
      <c r="B15" s="625">
        <v>8.75</v>
      </c>
      <c r="C15" s="623">
        <v>160</v>
      </c>
      <c r="D15" s="624">
        <v>0.61809999999999998</v>
      </c>
      <c r="E15" s="623" t="s">
        <v>912</v>
      </c>
      <c r="F15" s="625">
        <v>265.5</v>
      </c>
      <c r="G15" s="404"/>
      <c r="H15" s="404"/>
    </row>
    <row r="16" spans="1:8" x14ac:dyDescent="0.25">
      <c r="A16" s="444" t="s">
        <v>617</v>
      </c>
      <c r="B16" s="625">
        <v>11</v>
      </c>
      <c r="C16" s="623">
        <v>176</v>
      </c>
      <c r="D16" s="624">
        <v>0.61809999999999998</v>
      </c>
      <c r="E16" s="623" t="s">
        <v>912</v>
      </c>
      <c r="F16" s="625">
        <v>265.5</v>
      </c>
      <c r="G16" s="449"/>
      <c r="H16" s="449"/>
    </row>
    <row r="17" spans="1:8" x14ac:dyDescent="0.25">
      <c r="A17" s="444" t="s">
        <v>618</v>
      </c>
      <c r="B17" s="625">
        <v>15.34</v>
      </c>
      <c r="C17" s="623">
        <v>176</v>
      </c>
      <c r="D17" s="624">
        <v>0.61809999999999998</v>
      </c>
      <c r="E17" s="623" t="s">
        <v>912</v>
      </c>
      <c r="F17" s="625">
        <v>265.5</v>
      </c>
      <c r="G17" s="449"/>
      <c r="H17" s="449"/>
    </row>
    <row r="18" spans="1:8" x14ac:dyDescent="0.25">
      <c r="A18" s="444" t="s">
        <v>619</v>
      </c>
      <c r="B18" s="625">
        <v>6.8</v>
      </c>
      <c r="C18" s="623">
        <v>176</v>
      </c>
      <c r="D18" s="624">
        <v>0.61809999999999998</v>
      </c>
      <c r="E18" s="623" t="s">
        <v>912</v>
      </c>
      <c r="F18" s="625">
        <v>265.5</v>
      </c>
      <c r="G18" s="449"/>
      <c r="H18" s="449"/>
    </row>
    <row r="19" spans="1:8" x14ac:dyDescent="0.25">
      <c r="A19" s="444" t="s">
        <v>620</v>
      </c>
      <c r="B19" s="625">
        <v>6.8</v>
      </c>
      <c r="C19" s="623">
        <v>176</v>
      </c>
      <c r="D19" s="624">
        <v>0.61809999999999998</v>
      </c>
      <c r="E19" s="623" t="s">
        <v>912</v>
      </c>
      <c r="F19" s="625">
        <v>265.5</v>
      </c>
      <c r="G19" s="449"/>
      <c r="H19" s="449"/>
    </row>
    <row r="20" spans="1:8" x14ac:dyDescent="0.25">
      <c r="A20" s="444" t="s">
        <v>625</v>
      </c>
      <c r="B20" s="625">
        <v>21.87</v>
      </c>
      <c r="C20" s="623">
        <v>160</v>
      </c>
      <c r="D20" s="624">
        <v>0.61809999999999998</v>
      </c>
      <c r="E20" s="623" t="s">
        <v>912</v>
      </c>
      <c r="F20" s="625">
        <v>265.5</v>
      </c>
      <c r="G20" s="449"/>
      <c r="H20" s="449"/>
    </row>
    <row r="21" spans="1:8" x14ac:dyDescent="0.25">
      <c r="A21" s="444" t="s">
        <v>626</v>
      </c>
      <c r="B21" s="625">
        <v>11</v>
      </c>
      <c r="C21" s="623">
        <v>176</v>
      </c>
      <c r="D21" s="624">
        <v>0.61809999999999998</v>
      </c>
      <c r="E21" s="623" t="s">
        <v>912</v>
      </c>
      <c r="F21" s="625">
        <v>265.5</v>
      </c>
      <c r="G21" s="449"/>
      <c r="H21" s="449"/>
    </row>
    <row r="22" spans="1:8" x14ac:dyDescent="0.25">
      <c r="A22" s="444" t="s">
        <v>660</v>
      </c>
      <c r="B22" s="625">
        <v>7.95</v>
      </c>
      <c r="C22" s="623">
        <v>176</v>
      </c>
      <c r="D22" s="624">
        <v>0.61809999999999998</v>
      </c>
      <c r="E22" s="623" t="s">
        <v>912</v>
      </c>
      <c r="F22" s="625">
        <v>265.5</v>
      </c>
      <c r="G22" s="449"/>
      <c r="H22" s="449"/>
    </row>
    <row r="23" spans="1:8" x14ac:dyDescent="0.25">
      <c r="A23" s="444" t="s">
        <v>627</v>
      </c>
      <c r="B23" s="625">
        <v>6.8</v>
      </c>
      <c r="C23" s="623">
        <v>176</v>
      </c>
      <c r="D23" s="624">
        <v>0.61809999999999998</v>
      </c>
      <c r="E23" s="623" t="s">
        <v>912</v>
      </c>
      <c r="F23" s="625">
        <v>265.5</v>
      </c>
      <c r="G23" s="449"/>
      <c r="H23" s="449"/>
    </row>
    <row r="24" spans="1:8" x14ac:dyDescent="0.25">
      <c r="A24" s="444" t="s">
        <v>628</v>
      </c>
      <c r="B24" s="625">
        <v>6.8</v>
      </c>
      <c r="C24" s="623">
        <v>176</v>
      </c>
      <c r="D24" s="624">
        <v>0.61809999999999998</v>
      </c>
      <c r="E24" s="623" t="s">
        <v>912</v>
      </c>
      <c r="F24" s="625">
        <v>265.5</v>
      </c>
      <c r="G24" s="449"/>
      <c r="H24" s="449"/>
    </row>
    <row r="25" spans="1:8" x14ac:dyDescent="0.25">
      <c r="A25" s="444" t="s">
        <v>629</v>
      </c>
      <c r="B25" s="625">
        <v>4.54</v>
      </c>
      <c r="C25" s="623">
        <v>176</v>
      </c>
      <c r="D25" s="624">
        <v>0.61809999999999998</v>
      </c>
      <c r="E25" s="623" t="s">
        <v>912</v>
      </c>
      <c r="F25" s="625">
        <v>265.5</v>
      </c>
      <c r="G25" s="449"/>
      <c r="H25" s="449"/>
    </row>
    <row r="26" spans="1:8" x14ac:dyDescent="0.25">
      <c r="A26" s="444" t="s">
        <v>633</v>
      </c>
      <c r="B26" s="625">
        <v>5.68</v>
      </c>
      <c r="C26" s="623">
        <v>176</v>
      </c>
      <c r="D26" s="624">
        <v>0.61809999999999998</v>
      </c>
      <c r="E26" s="623" t="s">
        <v>912</v>
      </c>
      <c r="F26" s="625">
        <v>265.5</v>
      </c>
      <c r="G26" s="449"/>
      <c r="H26" s="449"/>
    </row>
    <row r="27" spans="1:8" x14ac:dyDescent="0.25">
      <c r="A27" s="444" t="s">
        <v>634</v>
      </c>
      <c r="B27" s="625">
        <v>5.68</v>
      </c>
      <c r="C27" s="623">
        <v>176</v>
      </c>
      <c r="D27" s="624">
        <v>0.61809999999999998</v>
      </c>
      <c r="E27" s="623" t="s">
        <v>912</v>
      </c>
      <c r="F27" s="625">
        <v>265.5</v>
      </c>
      <c r="G27" s="449"/>
      <c r="H27" s="449"/>
    </row>
    <row r="28" spans="1:8" x14ac:dyDescent="0.25">
      <c r="A28" s="444" t="s">
        <v>640</v>
      </c>
      <c r="B28" s="625">
        <v>8</v>
      </c>
      <c r="C28" s="623">
        <v>176</v>
      </c>
      <c r="D28" s="624">
        <v>0.61809999999999998</v>
      </c>
      <c r="E28" s="623" t="s">
        <v>912</v>
      </c>
      <c r="F28" s="625">
        <v>265.5</v>
      </c>
      <c r="G28" s="449"/>
      <c r="H28" s="449"/>
    </row>
    <row r="29" spans="1:8" x14ac:dyDescent="0.25">
      <c r="A29" s="444" t="s">
        <v>641</v>
      </c>
      <c r="B29" s="625">
        <v>3.4</v>
      </c>
      <c r="C29" s="623">
        <v>176</v>
      </c>
      <c r="D29" s="624">
        <v>0.61809999999999998</v>
      </c>
      <c r="E29" s="623" t="s">
        <v>912</v>
      </c>
      <c r="F29" s="625">
        <v>265.5</v>
      </c>
      <c r="G29" s="449"/>
      <c r="H29" s="449"/>
    </row>
    <row r="30" spans="1:8" x14ac:dyDescent="0.25">
      <c r="A30" s="444" t="s">
        <v>643</v>
      </c>
      <c r="B30" s="625">
        <v>4.37</v>
      </c>
      <c r="C30" s="623">
        <v>160</v>
      </c>
      <c r="D30" s="624">
        <v>0.61809999999999998</v>
      </c>
      <c r="E30" s="623" t="s">
        <v>912</v>
      </c>
      <c r="F30" s="625">
        <v>265.5</v>
      </c>
      <c r="G30" s="449"/>
      <c r="H30" s="449"/>
    </row>
    <row r="31" spans="1:8" ht="22.5" customHeight="1" x14ac:dyDescent="0.25">
      <c r="A31" s="444" t="s">
        <v>608</v>
      </c>
      <c r="B31" s="443"/>
      <c r="C31" s="443"/>
      <c r="D31" s="443"/>
      <c r="E31" s="443"/>
      <c r="F31" s="443"/>
      <c r="G31" s="449"/>
      <c r="H31" s="449"/>
    </row>
    <row r="32" spans="1:8" ht="22.5" customHeight="1" x14ac:dyDescent="0.25">
      <c r="A32" s="317"/>
      <c r="B32" s="317"/>
      <c r="C32" s="317"/>
      <c r="D32" s="317"/>
      <c r="E32" s="317"/>
      <c r="F32" s="317"/>
      <c r="G32" s="449"/>
      <c r="H32" s="449"/>
    </row>
    <row r="33" spans="1:37" ht="22.5" customHeight="1" x14ac:dyDescent="0.25">
      <c r="A33" t="s">
        <v>447</v>
      </c>
      <c r="B33" s="317"/>
      <c r="C33" s="317"/>
      <c r="D33" s="317"/>
      <c r="E33" s="317"/>
      <c r="F33" s="317"/>
      <c r="G33" s="449"/>
      <c r="H33" s="449"/>
    </row>
    <row r="34" spans="1:37" ht="22.5" customHeight="1" x14ac:dyDescent="0.25">
      <c r="A34" s="317"/>
      <c r="B34" s="317"/>
      <c r="C34" s="317"/>
      <c r="D34" s="317"/>
      <c r="E34" s="317"/>
      <c r="F34" s="317"/>
      <c r="G34" s="449"/>
      <c r="H34" s="449"/>
    </row>
    <row r="35" spans="1:37" ht="22.5" customHeight="1" x14ac:dyDescent="0.25">
      <c r="A35" s="317"/>
      <c r="B35" s="317"/>
      <c r="C35" s="317"/>
      <c r="D35" s="317"/>
      <c r="E35" s="317"/>
      <c r="F35" s="317"/>
      <c r="G35" s="449"/>
      <c r="H35" s="449"/>
    </row>
    <row r="36" spans="1:37" ht="22.5" customHeight="1" x14ac:dyDescent="0.25">
      <c r="A36" s="317"/>
      <c r="B36" s="317"/>
      <c r="C36" s="317"/>
      <c r="D36" s="317"/>
      <c r="E36" s="317"/>
      <c r="F36" s="317"/>
      <c r="G36" s="449"/>
      <c r="H36" s="449"/>
    </row>
    <row r="37" spans="1:37" ht="22.5" customHeight="1" x14ac:dyDescent="0.25">
      <c r="A37" s="317"/>
      <c r="B37" s="317"/>
      <c r="C37" s="317"/>
      <c r="D37" s="317"/>
      <c r="E37" s="317"/>
      <c r="F37" s="317"/>
      <c r="G37" s="449"/>
      <c r="H37" s="449"/>
    </row>
    <row r="38" spans="1:37" ht="22.5" customHeight="1" x14ac:dyDescent="0.25">
      <c r="A38" s="317"/>
      <c r="B38" s="317"/>
      <c r="C38" s="317"/>
      <c r="D38" s="317"/>
      <c r="E38" s="317"/>
      <c r="F38" s="317"/>
      <c r="G38" s="449"/>
      <c r="H38" s="449"/>
    </row>
    <row r="39" spans="1:37" ht="22.5" customHeight="1" x14ac:dyDescent="0.25">
      <c r="A39" s="449"/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49"/>
      <c r="AB39" s="449"/>
      <c r="AC39" s="449"/>
      <c r="AD39" s="449"/>
      <c r="AE39" s="449"/>
      <c r="AF39" s="449"/>
      <c r="AG39" s="449"/>
      <c r="AH39" s="449"/>
      <c r="AI39" s="449"/>
      <c r="AJ39" s="449"/>
      <c r="AK39" s="449"/>
    </row>
    <row r="40" spans="1:37" ht="22.5" customHeight="1" x14ac:dyDescent="0.25">
      <c r="A40" s="449"/>
      <c r="B40" s="449"/>
      <c r="C40" s="449"/>
      <c r="D40" s="449"/>
      <c r="E40" s="449"/>
      <c r="F40" s="449"/>
      <c r="G40" s="449"/>
      <c r="H40" s="449"/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  <c r="AD40" s="449"/>
      <c r="AE40" s="449"/>
      <c r="AF40" s="449"/>
      <c r="AG40" s="449"/>
      <c r="AH40" s="449"/>
      <c r="AI40" s="449"/>
      <c r="AJ40" s="449"/>
      <c r="AK40" s="449"/>
    </row>
    <row r="41" spans="1:37" ht="22.5" customHeight="1" x14ac:dyDescent="0.25">
      <c r="A41" s="449"/>
      <c r="B41" s="449"/>
      <c r="C41" s="449"/>
      <c r="D41" s="449"/>
      <c r="E41" s="449"/>
      <c r="F41" s="449"/>
      <c r="G41" s="449"/>
      <c r="H41" s="449"/>
      <c r="I41" s="449"/>
      <c r="J41" s="449"/>
      <c r="K41" s="449"/>
      <c r="L41" s="449"/>
      <c r="M41" s="449"/>
      <c r="N41" s="449"/>
      <c r="O41" s="449"/>
      <c r="P41" s="449"/>
      <c r="Q41" s="449"/>
      <c r="R41" s="449"/>
      <c r="S41" s="449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49"/>
      <c r="AG41" s="449"/>
      <c r="AH41" s="449"/>
      <c r="AI41" s="449"/>
      <c r="AJ41" s="449"/>
      <c r="AK41" s="449"/>
    </row>
    <row r="42" spans="1:37" ht="22.5" customHeight="1" x14ac:dyDescent="0.25">
      <c r="A42" s="449"/>
      <c r="B42" s="449"/>
      <c r="C42" s="449"/>
      <c r="D42" s="449"/>
      <c r="E42" s="449"/>
      <c r="F42" s="449"/>
      <c r="G42" s="449"/>
      <c r="H42" s="449"/>
      <c r="I42" s="449"/>
      <c r="J42" s="449"/>
      <c r="K42" s="449"/>
      <c r="L42" s="449"/>
      <c r="M42" s="449"/>
      <c r="N42" s="449"/>
      <c r="O42" s="449"/>
      <c r="P42" s="449"/>
      <c r="Q42" s="449"/>
      <c r="R42" s="449"/>
      <c r="S42" s="449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  <c r="AD42" s="449"/>
      <c r="AE42" s="449"/>
      <c r="AF42" s="449"/>
      <c r="AG42" s="449"/>
      <c r="AH42" s="449"/>
      <c r="AI42" s="449"/>
      <c r="AJ42" s="449"/>
      <c r="AK42" s="449"/>
    </row>
    <row r="43" spans="1:37" ht="22.5" customHeight="1" x14ac:dyDescent="0.3">
      <c r="A43" s="450"/>
      <c r="B43" s="449"/>
      <c r="C43" s="449"/>
      <c r="D43" s="449"/>
      <c r="E43" s="449"/>
      <c r="F43" s="449"/>
      <c r="G43" s="449"/>
      <c r="H43" s="449"/>
      <c r="I43" s="449"/>
      <c r="J43" s="449"/>
      <c r="K43" s="449"/>
      <c r="L43" s="449"/>
      <c r="M43" s="449"/>
      <c r="N43" s="449"/>
      <c r="O43" s="449"/>
      <c r="P43" s="449"/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49"/>
      <c r="AB43" s="449"/>
      <c r="AC43" s="449"/>
      <c r="AD43" s="449"/>
      <c r="AE43" s="449"/>
      <c r="AF43" s="449"/>
      <c r="AG43" s="449"/>
      <c r="AH43" s="449"/>
      <c r="AI43" s="449"/>
      <c r="AJ43" s="449"/>
      <c r="AK43" s="449"/>
    </row>
    <row r="44" spans="1:37" ht="22.5" customHeight="1" x14ac:dyDescent="0.3">
      <c r="A44" s="450"/>
      <c r="B44" s="449"/>
      <c r="C44" s="449"/>
      <c r="D44" s="449"/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49"/>
      <c r="Z44" s="449"/>
      <c r="AA44" s="449"/>
      <c r="AB44" s="449"/>
      <c r="AC44" s="449"/>
      <c r="AD44" s="449"/>
      <c r="AE44" s="449"/>
      <c r="AF44" s="449"/>
      <c r="AG44" s="449"/>
      <c r="AH44" s="449"/>
      <c r="AI44" s="449"/>
      <c r="AJ44" s="449"/>
      <c r="AK44" s="449"/>
    </row>
    <row r="45" spans="1:37" ht="22.5" customHeight="1" x14ac:dyDescent="0.25">
      <c r="A45" s="449"/>
      <c r="B45" s="449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449"/>
      <c r="Z45" s="449"/>
      <c r="AA45" s="449"/>
      <c r="AB45" s="449"/>
      <c r="AC45" s="449"/>
      <c r="AD45" s="449"/>
      <c r="AE45" s="449"/>
      <c r="AF45" s="449"/>
      <c r="AG45" s="449"/>
      <c r="AH45" s="449"/>
      <c r="AI45" s="449"/>
      <c r="AJ45" s="449"/>
      <c r="AK45" s="449"/>
    </row>
    <row r="46" spans="1:37" ht="22.5" customHeight="1" x14ac:dyDescent="0.25">
      <c r="A46" s="449"/>
      <c r="B46" s="449"/>
      <c r="C46" s="449"/>
      <c r="D46" s="449"/>
      <c r="E46" s="449"/>
      <c r="F46" s="449"/>
      <c r="G46" s="449"/>
      <c r="H46" s="449"/>
      <c r="I46" s="449"/>
      <c r="J46" s="449"/>
      <c r="K46" s="449"/>
      <c r="L46" s="449"/>
      <c r="M46" s="449"/>
      <c r="N46" s="449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  <c r="AD46" s="449"/>
      <c r="AE46" s="449"/>
      <c r="AF46" s="449"/>
      <c r="AG46" s="449"/>
      <c r="AH46" s="449"/>
      <c r="AI46" s="449"/>
      <c r="AJ46" s="449"/>
      <c r="AK46" s="449"/>
    </row>
    <row r="47" spans="1:37" ht="22.5" customHeight="1" x14ac:dyDescent="0.25">
      <c r="A47" s="449"/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9"/>
      <c r="AC47" s="449"/>
      <c r="AD47" s="449"/>
      <c r="AE47" s="449"/>
      <c r="AF47" s="449"/>
      <c r="AG47" s="449"/>
      <c r="AH47" s="449"/>
      <c r="AI47" s="449"/>
      <c r="AJ47" s="449"/>
      <c r="AK47" s="449"/>
    </row>
    <row r="48" spans="1:37" ht="22.5" customHeight="1" x14ac:dyDescent="0.25">
      <c r="A48" s="449"/>
      <c r="B48" s="449"/>
      <c r="C48" s="449"/>
      <c r="D48" s="449"/>
      <c r="E48" s="449"/>
      <c r="F48" s="449"/>
      <c r="G48" s="449"/>
      <c r="H48" s="449"/>
      <c r="I48" s="449"/>
      <c r="J48" s="449"/>
      <c r="K48" s="449"/>
      <c r="L48" s="449"/>
      <c r="M48" s="449"/>
      <c r="N48" s="449"/>
      <c r="O48" s="449"/>
      <c r="P48" s="449"/>
      <c r="Q48" s="449"/>
      <c r="R48" s="449"/>
      <c r="S48" s="449"/>
      <c r="T48" s="449"/>
      <c r="U48" s="449"/>
      <c r="V48" s="449"/>
      <c r="W48" s="449"/>
      <c r="X48" s="449"/>
      <c r="Y48" s="449"/>
      <c r="Z48" s="449"/>
      <c r="AA48" s="449"/>
      <c r="AB48" s="449"/>
      <c r="AC48" s="449"/>
      <c r="AD48" s="449"/>
      <c r="AE48" s="449"/>
      <c r="AF48" s="449"/>
      <c r="AG48" s="449"/>
      <c r="AH48" s="449"/>
      <c r="AI48" s="449"/>
      <c r="AJ48" s="449"/>
      <c r="AK48" s="449"/>
    </row>
    <row r="49" spans="1:37" ht="22.5" customHeight="1" x14ac:dyDescent="0.25">
      <c r="A49" s="449"/>
      <c r="B49" s="449"/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449"/>
      <c r="O49" s="449"/>
      <c r="P49" s="449"/>
      <c r="Q49" s="449"/>
      <c r="R49" s="449"/>
      <c r="S49" s="449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  <c r="AD49" s="449"/>
      <c r="AE49" s="449"/>
      <c r="AF49" s="449"/>
      <c r="AG49" s="449"/>
      <c r="AH49" s="449"/>
      <c r="AI49" s="449"/>
      <c r="AJ49" s="449"/>
      <c r="AK49" s="449"/>
    </row>
    <row r="50" spans="1:37" ht="22.5" customHeight="1" x14ac:dyDescent="0.25">
      <c r="A50" s="449"/>
      <c r="B50" s="449"/>
      <c r="C50" s="449"/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</row>
    <row r="51" spans="1:37" ht="22.5" customHeight="1" x14ac:dyDescent="0.25">
      <c r="A51" s="449"/>
      <c r="B51" s="449"/>
      <c r="C51" s="449"/>
      <c r="D51" s="449"/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49"/>
      <c r="AC51" s="449"/>
      <c r="AD51" s="449"/>
      <c r="AE51" s="449"/>
      <c r="AF51" s="449"/>
      <c r="AG51" s="449"/>
      <c r="AH51" s="449"/>
      <c r="AI51" s="449"/>
      <c r="AJ51" s="449"/>
      <c r="AK51" s="449"/>
    </row>
    <row r="52" spans="1:37" ht="22.5" customHeight="1" x14ac:dyDescent="0.25">
      <c r="A52" s="449"/>
      <c r="B52" s="449"/>
      <c r="C52" s="449"/>
      <c r="D52" s="449"/>
      <c r="E52" s="449"/>
      <c r="F52" s="449"/>
      <c r="G52" s="449"/>
      <c r="H52" s="449"/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49"/>
      <c r="AB52" s="449"/>
      <c r="AC52" s="449"/>
      <c r="AD52" s="449"/>
      <c r="AE52" s="449"/>
      <c r="AF52" s="449"/>
      <c r="AG52" s="449"/>
      <c r="AH52" s="449"/>
      <c r="AI52" s="449"/>
      <c r="AJ52" s="449"/>
      <c r="AK52" s="449"/>
    </row>
    <row r="53" spans="1:37" ht="22.5" customHeight="1" x14ac:dyDescent="0.25">
      <c r="A53" s="449"/>
      <c r="B53" s="449"/>
      <c r="C53" s="449"/>
      <c r="D53" s="449"/>
      <c r="E53" s="449"/>
      <c r="F53" s="449"/>
      <c r="G53" s="449"/>
      <c r="H53" s="449"/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49"/>
      <c r="AB53" s="449"/>
      <c r="AC53" s="449"/>
      <c r="AD53" s="449"/>
      <c r="AE53" s="449"/>
      <c r="AF53" s="449"/>
      <c r="AG53" s="449"/>
      <c r="AH53" s="449"/>
      <c r="AI53" s="449"/>
      <c r="AJ53" s="449"/>
      <c r="AK53" s="449"/>
    </row>
    <row r="54" spans="1:37" ht="22.5" customHeight="1" x14ac:dyDescent="0.25">
      <c r="A54" s="449"/>
      <c r="B54" s="449"/>
      <c r="C54" s="449"/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49"/>
      <c r="AB54" s="449"/>
      <c r="AC54" s="449"/>
      <c r="AD54" s="449"/>
      <c r="AE54" s="449"/>
      <c r="AF54" s="449"/>
      <c r="AG54" s="449"/>
      <c r="AH54" s="449"/>
      <c r="AI54" s="449"/>
      <c r="AJ54" s="449"/>
      <c r="AK54" s="449"/>
    </row>
    <row r="55" spans="1:37" ht="22.5" customHeight="1" x14ac:dyDescent="0.25">
      <c r="A55" s="449"/>
      <c r="B55" s="449"/>
      <c r="C55" s="449"/>
      <c r="D55" s="449"/>
      <c r="E55" s="449"/>
      <c r="F55" s="449"/>
      <c r="G55" s="449"/>
      <c r="H55" s="449"/>
      <c r="I55" s="449"/>
      <c r="J55" s="449"/>
      <c r="K55" s="449"/>
      <c r="L55" s="449"/>
      <c r="M55" s="449"/>
      <c r="N55" s="449"/>
      <c r="O55" s="449"/>
      <c r="P55" s="449"/>
      <c r="Q55" s="449"/>
      <c r="R55" s="449"/>
      <c r="S55" s="449"/>
      <c r="T55" s="449"/>
      <c r="U55" s="449"/>
      <c r="V55" s="449"/>
      <c r="W55" s="449"/>
      <c r="X55" s="449"/>
      <c r="Y55" s="449"/>
      <c r="Z55" s="449"/>
      <c r="AA55" s="449"/>
      <c r="AB55" s="449"/>
      <c r="AC55" s="449"/>
      <c r="AD55" s="449"/>
      <c r="AE55" s="449"/>
      <c r="AF55" s="449"/>
      <c r="AG55" s="449"/>
      <c r="AH55" s="449"/>
      <c r="AI55" s="449"/>
      <c r="AJ55" s="449"/>
      <c r="AK55" s="449"/>
    </row>
    <row r="56" spans="1:37" ht="22.5" customHeight="1" x14ac:dyDescent="0.25">
      <c r="A56" s="449"/>
      <c r="B56" s="449"/>
      <c r="C56" s="449"/>
      <c r="D56" s="449"/>
      <c r="E56" s="449"/>
      <c r="F56" s="449"/>
      <c r="G56" s="449"/>
      <c r="H56" s="449"/>
      <c r="I56" s="449"/>
      <c r="J56" s="449"/>
      <c r="K56" s="449"/>
      <c r="L56" s="449"/>
      <c r="M56" s="449"/>
      <c r="N56" s="449"/>
      <c r="O56" s="449"/>
      <c r="P56" s="449"/>
      <c r="Q56" s="449"/>
      <c r="R56" s="449"/>
      <c r="S56" s="449"/>
      <c r="T56" s="449"/>
      <c r="U56" s="449"/>
      <c r="V56" s="449"/>
      <c r="W56" s="449"/>
      <c r="X56" s="449"/>
      <c r="Y56" s="449"/>
      <c r="Z56" s="449"/>
      <c r="AA56" s="449"/>
      <c r="AB56" s="449"/>
      <c r="AC56" s="449"/>
      <c r="AD56" s="449"/>
      <c r="AE56" s="449"/>
      <c r="AF56" s="449"/>
      <c r="AG56" s="449"/>
      <c r="AH56" s="449"/>
      <c r="AI56" s="449"/>
      <c r="AJ56" s="449"/>
      <c r="AK56" s="449"/>
    </row>
    <row r="57" spans="1:37" ht="22.5" customHeight="1" x14ac:dyDescent="0.25">
      <c r="A57" s="449"/>
      <c r="B57" s="449"/>
      <c r="C57" s="449"/>
      <c r="D57" s="449"/>
      <c r="E57" s="449"/>
      <c r="F57" s="449"/>
      <c r="G57" s="449"/>
      <c r="H57" s="44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49"/>
      <c r="AG57" s="449"/>
      <c r="AH57" s="449"/>
      <c r="AI57" s="449"/>
      <c r="AJ57" s="449"/>
      <c r="AK57" s="449"/>
    </row>
    <row r="58" spans="1:37" ht="22.5" customHeight="1" x14ac:dyDescent="0.25">
      <c r="A58" s="449"/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49"/>
      <c r="AG58" s="449"/>
      <c r="AH58" s="449"/>
      <c r="AI58" s="449"/>
      <c r="AJ58" s="449"/>
      <c r="AK58" s="449"/>
    </row>
    <row r="59" spans="1:37" ht="22.5" customHeight="1" x14ac:dyDescent="0.25">
      <c r="A59" s="449"/>
      <c r="B59" s="449"/>
      <c r="C59" s="449"/>
      <c r="D59" s="449"/>
      <c r="E59" s="449"/>
      <c r="F59" s="449"/>
      <c r="G59" s="449"/>
      <c r="H59" s="44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49"/>
      <c r="AG59" s="449"/>
      <c r="AH59" s="449"/>
      <c r="AI59" s="449"/>
      <c r="AJ59" s="449"/>
      <c r="AK59" s="449"/>
    </row>
    <row r="60" spans="1:37" ht="22.5" customHeight="1" x14ac:dyDescent="0.25">
      <c r="A60" s="449"/>
      <c r="B60" s="449"/>
      <c r="C60" s="449"/>
      <c r="D60" s="449"/>
      <c r="E60" s="449"/>
      <c r="F60" s="449"/>
      <c r="G60" s="449"/>
      <c r="H60" s="44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49"/>
      <c r="AG60" s="449"/>
      <c r="AH60" s="449"/>
      <c r="AI60" s="449"/>
      <c r="AJ60" s="449"/>
      <c r="AK60" s="449"/>
    </row>
    <row r="61" spans="1:37" ht="22.5" customHeight="1" x14ac:dyDescent="0.25">
      <c r="A61" s="449"/>
      <c r="B61" s="449"/>
      <c r="C61" s="449"/>
      <c r="D61" s="449"/>
      <c r="E61" s="449"/>
      <c r="F61" s="449"/>
      <c r="G61" s="449"/>
      <c r="H61" s="449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49"/>
      <c r="AB61" s="449"/>
      <c r="AC61" s="449"/>
      <c r="AD61" s="449"/>
      <c r="AE61" s="449"/>
      <c r="AF61" s="449"/>
      <c r="AG61" s="449"/>
      <c r="AH61" s="449"/>
      <c r="AI61" s="449"/>
      <c r="AJ61" s="449"/>
      <c r="AK61" s="449"/>
    </row>
    <row r="62" spans="1:37" ht="22.5" customHeight="1" x14ac:dyDescent="0.25">
      <c r="A62" s="449"/>
      <c r="B62" s="449"/>
      <c r="C62" s="449"/>
      <c r="D62" s="449"/>
      <c r="E62" s="449"/>
      <c r="F62" s="449"/>
      <c r="G62" s="449"/>
      <c r="H62" s="449"/>
      <c r="I62" s="449"/>
      <c r="J62" s="449"/>
      <c r="K62" s="449"/>
      <c r="L62" s="449"/>
      <c r="M62" s="449"/>
      <c r="N62" s="449"/>
      <c r="O62" s="449"/>
      <c r="P62" s="449"/>
      <c r="Q62" s="449"/>
      <c r="R62" s="449"/>
      <c r="S62" s="449"/>
      <c r="T62" s="449"/>
      <c r="U62" s="449"/>
      <c r="V62" s="449"/>
      <c r="W62" s="449"/>
      <c r="X62" s="449"/>
      <c r="Y62" s="449"/>
      <c r="Z62" s="449"/>
      <c r="AA62" s="449"/>
      <c r="AB62" s="449"/>
      <c r="AC62" s="449"/>
      <c r="AD62" s="449"/>
      <c r="AE62" s="449"/>
      <c r="AF62" s="449"/>
      <c r="AG62" s="449"/>
      <c r="AH62" s="449"/>
      <c r="AI62" s="449"/>
      <c r="AJ62" s="449"/>
      <c r="AK62" s="449"/>
    </row>
    <row r="63" spans="1:37" ht="22.5" customHeight="1" x14ac:dyDescent="0.25">
      <c r="A63" s="449"/>
      <c r="B63" s="449"/>
      <c r="C63" s="449"/>
      <c r="D63" s="449"/>
      <c r="E63" s="449"/>
      <c r="F63" s="449"/>
      <c r="G63" s="449"/>
      <c r="H63" s="449"/>
      <c r="I63" s="449"/>
      <c r="J63" s="449"/>
      <c r="K63" s="449"/>
      <c r="L63" s="449"/>
      <c r="M63" s="449"/>
      <c r="N63" s="449"/>
      <c r="O63" s="449"/>
      <c r="P63" s="449"/>
      <c r="Q63" s="449"/>
      <c r="R63" s="449"/>
      <c r="S63" s="449"/>
      <c r="T63" s="449"/>
      <c r="U63" s="449"/>
      <c r="V63" s="449"/>
      <c r="W63" s="449"/>
      <c r="X63" s="449"/>
      <c r="Y63" s="449"/>
      <c r="Z63" s="449"/>
      <c r="AA63" s="449"/>
      <c r="AB63" s="449"/>
      <c r="AC63" s="449"/>
      <c r="AD63" s="449"/>
      <c r="AE63" s="449"/>
      <c r="AF63" s="449"/>
      <c r="AG63" s="449"/>
      <c r="AH63" s="449"/>
      <c r="AI63" s="449"/>
      <c r="AJ63" s="449"/>
      <c r="AK63" s="449"/>
    </row>
    <row r="64" spans="1:37" ht="22.5" customHeight="1" x14ac:dyDescent="0.25">
      <c r="A64" s="449"/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49"/>
      <c r="O64" s="449"/>
      <c r="P64" s="449"/>
      <c r="Q64" s="449"/>
      <c r="R64" s="449"/>
      <c r="S64" s="449"/>
      <c r="T64" s="449"/>
      <c r="U64" s="449"/>
      <c r="V64" s="449"/>
      <c r="W64" s="449"/>
      <c r="X64" s="449"/>
      <c r="Y64" s="449"/>
      <c r="Z64" s="449"/>
      <c r="AA64" s="449"/>
      <c r="AB64" s="449"/>
      <c r="AC64" s="449"/>
      <c r="AD64" s="449"/>
      <c r="AE64" s="449"/>
      <c r="AF64" s="449"/>
      <c r="AG64" s="449"/>
      <c r="AH64" s="449"/>
      <c r="AI64" s="449"/>
      <c r="AJ64" s="449"/>
      <c r="AK64" s="449"/>
    </row>
    <row r="65" spans="1:37" ht="22.5" customHeight="1" x14ac:dyDescent="0.25">
      <c r="A65" s="449"/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49"/>
      <c r="AC65" s="449"/>
      <c r="AD65" s="449"/>
      <c r="AE65" s="449"/>
      <c r="AF65" s="449"/>
      <c r="AG65" s="449"/>
      <c r="AH65" s="449"/>
      <c r="AI65" s="449"/>
      <c r="AJ65" s="449"/>
      <c r="AK65" s="449"/>
    </row>
    <row r="66" spans="1:37" ht="22.5" customHeight="1" x14ac:dyDescent="0.25">
      <c r="A66" s="449"/>
      <c r="B66" s="449"/>
      <c r="C66" s="449"/>
      <c r="D66" s="449"/>
      <c r="E66" s="449"/>
      <c r="F66" s="449"/>
      <c r="G66" s="449"/>
      <c r="H66" s="449"/>
      <c r="I66" s="449"/>
      <c r="J66" s="449"/>
      <c r="K66" s="449"/>
      <c r="L66" s="449"/>
      <c r="M66" s="449"/>
      <c r="N66" s="449"/>
      <c r="O66" s="449"/>
      <c r="P66" s="449"/>
      <c r="Q66" s="449"/>
      <c r="R66" s="449"/>
      <c r="S66" s="449"/>
      <c r="T66" s="449"/>
      <c r="U66" s="449"/>
      <c r="V66" s="449"/>
      <c r="W66" s="449"/>
      <c r="X66" s="449"/>
      <c r="Y66" s="449"/>
      <c r="Z66" s="449"/>
      <c r="AA66" s="449"/>
      <c r="AB66" s="449"/>
      <c r="AC66" s="449"/>
      <c r="AD66" s="449"/>
      <c r="AE66" s="449"/>
      <c r="AF66" s="449"/>
      <c r="AG66" s="449"/>
      <c r="AH66" s="449"/>
      <c r="AI66" s="449"/>
      <c r="AJ66" s="449"/>
      <c r="AK66" s="449"/>
    </row>
    <row r="67" spans="1:37" ht="22.5" customHeight="1" x14ac:dyDescent="0.25">
      <c r="A67" s="449"/>
      <c r="B67" s="449"/>
      <c r="C67" s="449"/>
      <c r="D67" s="449"/>
      <c r="E67" s="449"/>
      <c r="F67" s="449"/>
      <c r="G67" s="449"/>
      <c r="H67" s="449"/>
      <c r="I67" s="449"/>
      <c r="J67" s="449"/>
      <c r="K67" s="449"/>
      <c r="L67" s="449"/>
      <c r="M67" s="449"/>
      <c r="N67" s="449"/>
      <c r="O67" s="449"/>
      <c r="P67" s="449"/>
      <c r="Q67" s="449"/>
      <c r="R67" s="449"/>
      <c r="S67" s="449"/>
      <c r="T67" s="449"/>
      <c r="U67" s="449"/>
      <c r="V67" s="449"/>
      <c r="W67" s="449"/>
      <c r="X67" s="449"/>
      <c r="Y67" s="449"/>
      <c r="Z67" s="449"/>
      <c r="AA67" s="449"/>
      <c r="AB67" s="449"/>
      <c r="AC67" s="449"/>
      <c r="AD67" s="449"/>
      <c r="AE67" s="449"/>
      <c r="AF67" s="449"/>
      <c r="AG67" s="449"/>
      <c r="AH67" s="449"/>
      <c r="AI67" s="449"/>
      <c r="AJ67" s="449"/>
      <c r="AK67" s="449"/>
    </row>
    <row r="68" spans="1:37" ht="22.5" customHeight="1" x14ac:dyDescent="0.25">
      <c r="A68" s="449"/>
      <c r="B68" s="449"/>
      <c r="C68" s="449"/>
      <c r="D68" s="449"/>
      <c r="E68" s="449"/>
      <c r="F68" s="449"/>
      <c r="G68" s="449"/>
      <c r="H68" s="449"/>
      <c r="I68" s="449"/>
      <c r="J68" s="449"/>
      <c r="K68" s="449"/>
      <c r="L68" s="449"/>
      <c r="M68" s="449"/>
      <c r="N68" s="449"/>
      <c r="O68" s="449"/>
      <c r="P68" s="449"/>
      <c r="Q68" s="449"/>
      <c r="R68" s="449"/>
      <c r="S68" s="449"/>
      <c r="T68" s="449"/>
      <c r="U68" s="449"/>
      <c r="V68" s="449"/>
      <c r="W68" s="449"/>
      <c r="X68" s="449"/>
      <c r="Y68" s="449"/>
      <c r="Z68" s="449"/>
      <c r="AA68" s="449"/>
      <c r="AB68" s="449"/>
      <c r="AC68" s="449"/>
      <c r="AD68" s="449"/>
      <c r="AE68" s="449"/>
      <c r="AF68" s="449"/>
      <c r="AG68" s="449"/>
      <c r="AH68" s="449"/>
      <c r="AI68" s="449"/>
      <c r="AJ68" s="449"/>
      <c r="AK68" s="449"/>
    </row>
    <row r="69" spans="1:37" ht="22.5" customHeight="1" x14ac:dyDescent="0.3">
      <c r="A69" s="450"/>
      <c r="B69" s="449"/>
      <c r="C69" s="449"/>
      <c r="D69" s="449"/>
      <c r="E69" s="449"/>
      <c r="F69" s="449"/>
      <c r="G69" s="449"/>
      <c r="H69" s="449"/>
      <c r="I69" s="449"/>
      <c r="J69" s="449"/>
      <c r="K69" s="449"/>
      <c r="L69" s="449"/>
      <c r="M69" s="449"/>
      <c r="N69" s="449"/>
      <c r="O69" s="449"/>
      <c r="P69" s="449"/>
      <c r="Q69" s="449"/>
      <c r="R69" s="449"/>
      <c r="S69" s="449"/>
      <c r="T69" s="449"/>
      <c r="U69" s="449"/>
      <c r="V69" s="449"/>
      <c r="W69" s="449"/>
      <c r="X69" s="449"/>
      <c r="Y69" s="449"/>
      <c r="Z69" s="449"/>
      <c r="AA69" s="449"/>
      <c r="AB69" s="449"/>
      <c r="AC69" s="449"/>
      <c r="AD69" s="449"/>
      <c r="AE69" s="449"/>
      <c r="AF69" s="449"/>
      <c r="AG69" s="449"/>
      <c r="AH69" s="449"/>
      <c r="AI69" s="449"/>
      <c r="AJ69" s="449"/>
      <c r="AK69" s="449"/>
    </row>
    <row r="70" spans="1:37" ht="22.5" customHeight="1" x14ac:dyDescent="0.25">
      <c r="A70" s="449"/>
      <c r="B70" s="449"/>
      <c r="C70" s="449"/>
      <c r="D70" s="449"/>
      <c r="E70" s="449"/>
      <c r="F70" s="449"/>
      <c r="G70" s="449"/>
      <c r="H70" s="449"/>
      <c r="I70" s="449"/>
      <c r="J70" s="449"/>
      <c r="K70" s="449"/>
      <c r="L70" s="449"/>
      <c r="M70" s="449"/>
      <c r="N70" s="449"/>
      <c r="O70" s="449"/>
      <c r="P70" s="449"/>
      <c r="Q70" s="449"/>
      <c r="R70" s="449"/>
      <c r="S70" s="449"/>
      <c r="T70" s="449"/>
      <c r="U70" s="449"/>
      <c r="V70" s="449"/>
      <c r="W70" s="449"/>
      <c r="X70" s="449"/>
      <c r="Y70" s="449"/>
      <c r="Z70" s="449"/>
      <c r="AA70" s="449"/>
      <c r="AB70" s="449"/>
      <c r="AC70" s="449"/>
      <c r="AD70" s="449"/>
      <c r="AE70" s="449"/>
      <c r="AF70" s="449"/>
      <c r="AG70" s="449"/>
      <c r="AH70" s="449"/>
      <c r="AI70" s="449"/>
      <c r="AJ70" s="449"/>
      <c r="AK70" s="449"/>
    </row>
    <row r="71" spans="1:37" ht="22.5" customHeight="1" x14ac:dyDescent="0.25">
      <c r="A71" s="449"/>
      <c r="B71" s="449"/>
      <c r="C71" s="449"/>
      <c r="D71" s="449"/>
      <c r="E71" s="449"/>
      <c r="F71" s="449"/>
      <c r="G71" s="449"/>
      <c r="H71" s="449"/>
      <c r="I71" s="449"/>
      <c r="J71" s="449"/>
      <c r="K71" s="449"/>
      <c r="L71" s="449"/>
      <c r="M71" s="449"/>
      <c r="N71" s="449"/>
      <c r="O71" s="449"/>
      <c r="P71" s="449"/>
      <c r="Q71" s="449"/>
      <c r="R71" s="449"/>
      <c r="S71" s="449"/>
      <c r="T71" s="449"/>
      <c r="U71" s="449"/>
      <c r="V71" s="449"/>
      <c r="W71" s="449"/>
      <c r="X71" s="449"/>
      <c r="Y71" s="449"/>
      <c r="Z71" s="449"/>
      <c r="AA71" s="449"/>
      <c r="AB71" s="449"/>
      <c r="AC71" s="449"/>
      <c r="AD71" s="449"/>
      <c r="AE71" s="449"/>
      <c r="AF71" s="449"/>
      <c r="AG71" s="449"/>
      <c r="AH71" s="449"/>
      <c r="AI71" s="449"/>
      <c r="AJ71" s="449"/>
      <c r="AK71" s="449"/>
    </row>
    <row r="72" spans="1:37" ht="22.5" customHeight="1" x14ac:dyDescent="0.25">
      <c r="A72" s="449"/>
      <c r="B72" s="449"/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49"/>
      <c r="AC72" s="449"/>
      <c r="AD72" s="449"/>
      <c r="AE72" s="449"/>
      <c r="AF72" s="449"/>
      <c r="AG72" s="449"/>
      <c r="AH72" s="449"/>
      <c r="AI72" s="449"/>
      <c r="AJ72" s="449"/>
      <c r="AK72" s="449"/>
    </row>
    <row r="73" spans="1:37" ht="22.5" customHeight="1" x14ac:dyDescent="0.25">
      <c r="A73" s="449"/>
      <c r="B73" s="449"/>
      <c r="C73" s="449"/>
      <c r="D73" s="449"/>
      <c r="E73" s="449"/>
      <c r="F73" s="449"/>
      <c r="G73" s="449"/>
      <c r="H73" s="449"/>
      <c r="I73" s="449"/>
      <c r="J73" s="449"/>
      <c r="K73" s="449"/>
      <c r="L73" s="449"/>
      <c r="M73" s="449"/>
      <c r="N73" s="449"/>
      <c r="O73" s="449"/>
      <c r="P73" s="449"/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49"/>
      <c r="AC73" s="449"/>
      <c r="AD73" s="449"/>
      <c r="AE73" s="449"/>
      <c r="AF73" s="449"/>
      <c r="AG73" s="449"/>
      <c r="AH73" s="449"/>
      <c r="AI73" s="449"/>
      <c r="AJ73" s="449"/>
      <c r="AK73" s="449"/>
    </row>
    <row r="74" spans="1:37" ht="22.5" customHeight="1" x14ac:dyDescent="0.25">
      <c r="A74" s="449"/>
      <c r="B74" s="449"/>
      <c r="C74" s="449"/>
      <c r="D74" s="449"/>
      <c r="E74" s="449"/>
      <c r="F74" s="449"/>
      <c r="G74" s="449"/>
      <c r="H74" s="449"/>
      <c r="I74" s="449"/>
      <c r="J74" s="449"/>
      <c r="K74" s="449"/>
      <c r="L74" s="449"/>
      <c r="M74" s="449"/>
      <c r="N74" s="449"/>
      <c r="O74" s="449"/>
      <c r="P74" s="449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49"/>
      <c r="AC74" s="449"/>
      <c r="AD74" s="449"/>
      <c r="AE74" s="449"/>
      <c r="AF74" s="449"/>
      <c r="AG74" s="449"/>
      <c r="AH74" s="449"/>
      <c r="AI74" s="449"/>
      <c r="AJ74" s="449"/>
      <c r="AK74" s="449"/>
    </row>
    <row r="75" spans="1:37" ht="22.5" customHeight="1" x14ac:dyDescent="0.25">
      <c r="A75" s="449"/>
      <c r="B75" s="449"/>
      <c r="C75" s="449"/>
      <c r="D75" s="449"/>
      <c r="E75" s="449"/>
      <c r="F75" s="449"/>
      <c r="G75" s="449"/>
      <c r="H75" s="449"/>
      <c r="I75" s="449"/>
      <c r="J75" s="449"/>
      <c r="K75" s="449"/>
      <c r="L75" s="449"/>
      <c r="M75" s="449"/>
      <c r="N75" s="449"/>
      <c r="O75" s="449"/>
      <c r="P75" s="449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49"/>
      <c r="AC75" s="449"/>
      <c r="AD75" s="449"/>
      <c r="AE75" s="449"/>
      <c r="AF75" s="449"/>
      <c r="AG75" s="449"/>
      <c r="AH75" s="449"/>
      <c r="AI75" s="449"/>
      <c r="AJ75" s="449"/>
      <c r="AK75" s="449"/>
    </row>
    <row r="76" spans="1:37" ht="22.5" customHeight="1" x14ac:dyDescent="0.25">
      <c r="A76" s="449"/>
      <c r="B76" s="449"/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49"/>
      <c r="AC76" s="449"/>
      <c r="AD76" s="449"/>
      <c r="AE76" s="449"/>
      <c r="AF76" s="449"/>
      <c r="AG76" s="449"/>
      <c r="AH76" s="449"/>
      <c r="AI76" s="449"/>
      <c r="AJ76" s="449"/>
      <c r="AK76" s="449"/>
    </row>
    <row r="77" spans="1:37" ht="22.5" customHeight="1" x14ac:dyDescent="0.25">
      <c r="A77" s="449"/>
      <c r="B77" s="449"/>
      <c r="C77" s="449"/>
      <c r="D77" s="449"/>
      <c r="E77" s="449"/>
      <c r="F77" s="449"/>
      <c r="G77" s="449"/>
      <c r="H77" s="449"/>
      <c r="I77" s="449"/>
      <c r="J77" s="449"/>
      <c r="K77" s="449"/>
      <c r="L77" s="449"/>
      <c r="M77" s="449"/>
      <c r="N77" s="449"/>
      <c r="O77" s="449"/>
      <c r="P77" s="449"/>
      <c r="Q77" s="449"/>
      <c r="R77" s="449"/>
      <c r="S77" s="449"/>
      <c r="T77" s="449"/>
      <c r="U77" s="449"/>
      <c r="V77" s="449"/>
      <c r="W77" s="449"/>
      <c r="X77" s="449"/>
      <c r="Y77" s="449"/>
      <c r="Z77" s="449"/>
      <c r="AA77" s="449"/>
      <c r="AB77" s="449"/>
      <c r="AC77" s="449"/>
      <c r="AD77" s="449"/>
      <c r="AE77" s="449"/>
      <c r="AF77" s="449"/>
      <c r="AG77" s="449"/>
      <c r="AH77" s="449"/>
      <c r="AI77" s="449"/>
      <c r="AJ77" s="449"/>
      <c r="AK77" s="449"/>
    </row>
    <row r="78" spans="1:37" ht="22.5" customHeight="1" x14ac:dyDescent="0.25">
      <c r="A78" s="449"/>
      <c r="B78" s="449"/>
      <c r="C78" s="449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49"/>
      <c r="O78" s="449"/>
      <c r="P78" s="449"/>
      <c r="Q78" s="449"/>
      <c r="R78" s="449"/>
      <c r="S78" s="449"/>
      <c r="T78" s="449"/>
      <c r="U78" s="449"/>
      <c r="V78" s="449"/>
      <c r="W78" s="449"/>
      <c r="X78" s="449"/>
      <c r="Y78" s="449"/>
      <c r="Z78" s="449"/>
      <c r="AA78" s="449"/>
      <c r="AB78" s="449"/>
      <c r="AC78" s="449"/>
      <c r="AD78" s="449"/>
      <c r="AE78" s="449"/>
      <c r="AF78" s="449"/>
      <c r="AG78" s="449"/>
      <c r="AH78" s="449"/>
      <c r="AI78" s="449"/>
      <c r="AJ78" s="449"/>
      <c r="AK78" s="449"/>
    </row>
    <row r="79" spans="1:37" x14ac:dyDescent="0.25">
      <c r="A79" s="449"/>
      <c r="B79" s="449"/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49"/>
      <c r="AC79" s="449"/>
      <c r="AD79" s="449"/>
      <c r="AE79" s="449"/>
      <c r="AF79" s="449"/>
      <c r="AG79" s="449"/>
      <c r="AH79" s="449"/>
      <c r="AI79" s="449"/>
      <c r="AJ79" s="449"/>
      <c r="AK79" s="449"/>
    </row>
    <row r="80" spans="1:37" x14ac:dyDescent="0.25">
      <c r="A80" s="449"/>
      <c r="B80" s="449"/>
      <c r="C80" s="449"/>
      <c r="D80" s="449"/>
      <c r="E80" s="449"/>
      <c r="F80" s="449"/>
      <c r="G80" s="449"/>
      <c r="H80" s="449"/>
      <c r="I80" s="449"/>
      <c r="J80" s="449"/>
      <c r="K80" s="449"/>
      <c r="L80" s="449"/>
      <c r="M80" s="449"/>
      <c r="N80" s="449"/>
      <c r="O80" s="449"/>
      <c r="P80" s="449"/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49"/>
      <c r="AC80" s="449"/>
      <c r="AD80" s="449"/>
      <c r="AE80" s="449"/>
      <c r="AF80" s="449"/>
      <c r="AG80" s="449"/>
      <c r="AH80" s="449"/>
      <c r="AI80" s="449"/>
      <c r="AJ80" s="449"/>
      <c r="AK80" s="449"/>
    </row>
    <row r="81" spans="1:37" x14ac:dyDescent="0.25">
      <c r="A81" s="449"/>
      <c r="B81" s="449"/>
      <c r="C81" s="449"/>
      <c r="D81" s="449"/>
      <c r="E81" s="449"/>
      <c r="F81" s="449"/>
      <c r="G81" s="449"/>
      <c r="H81" s="449"/>
      <c r="I81" s="449"/>
      <c r="J81" s="449"/>
      <c r="K81" s="449"/>
      <c r="L81" s="449"/>
      <c r="M81" s="449"/>
      <c r="N81" s="449"/>
      <c r="O81" s="449"/>
      <c r="P81" s="449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49"/>
      <c r="AC81" s="449"/>
      <c r="AD81" s="449"/>
      <c r="AE81" s="449"/>
      <c r="AF81" s="449"/>
      <c r="AG81" s="449"/>
      <c r="AH81" s="449"/>
      <c r="AI81" s="449"/>
      <c r="AJ81" s="449"/>
      <c r="AK81" s="449"/>
    </row>
    <row r="82" spans="1:37" x14ac:dyDescent="0.25">
      <c r="A82" s="449"/>
      <c r="B82" s="449"/>
      <c r="C82" s="449"/>
      <c r="D82" s="449"/>
      <c r="E82" s="449"/>
      <c r="F82" s="449"/>
      <c r="G82" s="449"/>
      <c r="H82" s="449"/>
      <c r="I82" s="449"/>
      <c r="J82" s="449"/>
      <c r="K82" s="449"/>
      <c r="L82" s="449"/>
      <c r="M82" s="449"/>
      <c r="N82" s="449"/>
      <c r="O82" s="449"/>
      <c r="P82" s="449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49"/>
      <c r="AC82" s="449"/>
      <c r="AD82" s="449"/>
      <c r="AE82" s="449"/>
      <c r="AF82" s="449"/>
      <c r="AG82" s="449"/>
      <c r="AH82" s="449"/>
      <c r="AI82" s="449"/>
      <c r="AJ82" s="449"/>
      <c r="AK82" s="449"/>
    </row>
    <row r="83" spans="1:37" x14ac:dyDescent="0.25">
      <c r="A83" s="449"/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49"/>
      <c r="AC83" s="449"/>
      <c r="AD83" s="449"/>
      <c r="AE83" s="449"/>
      <c r="AF83" s="449"/>
      <c r="AG83" s="449"/>
      <c r="AH83" s="449"/>
      <c r="AI83" s="449"/>
      <c r="AJ83" s="449"/>
      <c r="AK83" s="449"/>
    </row>
    <row r="84" spans="1:37" x14ac:dyDescent="0.25">
      <c r="A84" s="449"/>
      <c r="B84" s="449"/>
      <c r="C84" s="449"/>
      <c r="D84" s="449"/>
      <c r="E84" s="449"/>
      <c r="F84" s="449"/>
      <c r="G84" s="449"/>
      <c r="H84" s="449"/>
      <c r="I84" s="449"/>
      <c r="J84" s="449"/>
      <c r="K84" s="449"/>
      <c r="L84" s="449"/>
      <c r="M84" s="449"/>
      <c r="N84" s="449"/>
      <c r="O84" s="449"/>
      <c r="P84" s="449"/>
      <c r="Q84" s="449"/>
      <c r="R84" s="449"/>
      <c r="S84" s="449"/>
      <c r="T84" s="449"/>
      <c r="U84" s="449"/>
      <c r="V84" s="449"/>
      <c r="W84" s="449"/>
      <c r="X84" s="449"/>
      <c r="Y84" s="449"/>
      <c r="Z84" s="449"/>
      <c r="AA84" s="449"/>
      <c r="AB84" s="449"/>
      <c r="AC84" s="449"/>
      <c r="AD84" s="449"/>
      <c r="AE84" s="449"/>
      <c r="AF84" s="449"/>
      <c r="AG84" s="449"/>
      <c r="AH84" s="449"/>
      <c r="AI84" s="449"/>
      <c r="AJ84" s="449"/>
      <c r="AK84" s="449"/>
    </row>
    <row r="85" spans="1:37" x14ac:dyDescent="0.25">
      <c r="A85" s="449"/>
      <c r="B85" s="449"/>
      <c r="C85" s="449"/>
      <c r="D85" s="449"/>
      <c r="E85" s="449"/>
      <c r="F85" s="449"/>
      <c r="G85" s="449"/>
      <c r="H85" s="449"/>
      <c r="I85" s="449"/>
      <c r="J85" s="449"/>
      <c r="K85" s="449"/>
      <c r="L85" s="449"/>
      <c r="M85" s="449"/>
      <c r="N85" s="449"/>
      <c r="O85" s="449"/>
      <c r="P85" s="449"/>
      <c r="Q85" s="449"/>
      <c r="R85" s="449"/>
      <c r="S85" s="449"/>
      <c r="T85" s="449"/>
      <c r="U85" s="449"/>
      <c r="V85" s="449"/>
      <c r="W85" s="449"/>
      <c r="X85" s="449"/>
      <c r="Y85" s="449"/>
      <c r="Z85" s="449"/>
      <c r="AA85" s="449"/>
      <c r="AB85" s="449"/>
      <c r="AC85" s="449"/>
      <c r="AD85" s="449"/>
      <c r="AE85" s="449"/>
      <c r="AF85" s="449"/>
      <c r="AG85" s="449"/>
      <c r="AH85" s="449"/>
      <c r="AI85" s="449"/>
      <c r="AJ85" s="449"/>
      <c r="AK85" s="449"/>
    </row>
    <row r="86" spans="1:37" x14ac:dyDescent="0.25">
      <c r="A86" s="449"/>
      <c r="B86" s="449"/>
      <c r="C86" s="449"/>
      <c r="D86" s="449"/>
      <c r="E86" s="449"/>
      <c r="F86" s="449"/>
      <c r="G86" s="449"/>
      <c r="H86" s="449"/>
      <c r="I86" s="449"/>
      <c r="J86" s="449"/>
      <c r="K86" s="449"/>
      <c r="L86" s="449"/>
      <c r="M86" s="449"/>
      <c r="N86" s="449"/>
      <c r="O86" s="449"/>
      <c r="P86" s="449"/>
      <c r="Q86" s="449"/>
      <c r="R86" s="449"/>
      <c r="S86" s="449"/>
      <c r="T86" s="449"/>
      <c r="U86" s="449"/>
      <c r="V86" s="449"/>
      <c r="W86" s="449"/>
      <c r="X86" s="449"/>
      <c r="Y86" s="449"/>
      <c r="Z86" s="449"/>
      <c r="AA86" s="449"/>
      <c r="AB86" s="449"/>
      <c r="AC86" s="449"/>
      <c r="AD86" s="449"/>
      <c r="AE86" s="449"/>
      <c r="AF86" s="449"/>
      <c r="AG86" s="449"/>
      <c r="AH86" s="449"/>
      <c r="AI86" s="449"/>
      <c r="AJ86" s="449"/>
      <c r="AK86" s="449"/>
    </row>
    <row r="87" spans="1:37" x14ac:dyDescent="0.25">
      <c r="A87" s="449"/>
      <c r="B87" s="449"/>
      <c r="C87" s="449"/>
      <c r="D87" s="449"/>
      <c r="E87" s="449"/>
      <c r="F87" s="449"/>
      <c r="G87" s="449"/>
      <c r="H87" s="449"/>
      <c r="I87" s="449"/>
      <c r="J87" s="449"/>
      <c r="K87" s="449"/>
      <c r="L87" s="449"/>
      <c r="M87" s="449"/>
      <c r="N87" s="449"/>
      <c r="O87" s="449"/>
      <c r="P87" s="449"/>
      <c r="Q87" s="449"/>
      <c r="R87" s="449"/>
      <c r="S87" s="449"/>
      <c r="T87" s="449"/>
      <c r="U87" s="449"/>
      <c r="V87" s="449"/>
      <c r="W87" s="449"/>
      <c r="X87" s="449"/>
      <c r="Y87" s="449"/>
      <c r="Z87" s="449"/>
      <c r="AA87" s="449"/>
      <c r="AB87" s="449"/>
      <c r="AC87" s="449"/>
      <c r="AD87" s="449"/>
      <c r="AE87" s="449"/>
      <c r="AF87" s="449"/>
      <c r="AG87" s="449"/>
      <c r="AH87" s="449"/>
      <c r="AI87" s="449"/>
      <c r="AJ87" s="449"/>
      <c r="AK87" s="449"/>
    </row>
    <row r="88" spans="1:37" x14ac:dyDescent="0.25">
      <c r="A88" s="449"/>
      <c r="B88" s="449"/>
      <c r="C88" s="449"/>
      <c r="D88" s="449"/>
      <c r="E88" s="449"/>
      <c r="F88" s="449"/>
      <c r="G88" s="449"/>
      <c r="H88" s="449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449"/>
      <c r="U88" s="449"/>
      <c r="V88" s="449"/>
      <c r="W88" s="449"/>
      <c r="X88" s="449"/>
      <c r="Y88" s="449"/>
      <c r="Z88" s="449"/>
      <c r="AA88" s="449"/>
      <c r="AB88" s="449"/>
      <c r="AC88" s="449"/>
      <c r="AD88" s="449"/>
      <c r="AE88" s="449"/>
      <c r="AF88" s="449"/>
      <c r="AG88" s="449"/>
      <c r="AH88" s="449"/>
      <c r="AI88" s="449"/>
      <c r="AJ88" s="449"/>
      <c r="AK88" s="449"/>
    </row>
    <row r="89" spans="1:37" x14ac:dyDescent="0.25">
      <c r="A89" s="449"/>
      <c r="B89" s="449"/>
      <c r="C89" s="449"/>
      <c r="D89" s="449"/>
      <c r="E89" s="449"/>
      <c r="F89" s="449"/>
      <c r="G89" s="449"/>
      <c r="H89" s="449"/>
      <c r="I89" s="449"/>
      <c r="J89" s="449"/>
      <c r="K89" s="449"/>
      <c r="L89" s="449"/>
      <c r="M89" s="449"/>
      <c r="N89" s="449"/>
      <c r="O89" s="449"/>
      <c r="P89" s="449"/>
      <c r="Q89" s="449"/>
      <c r="R89" s="449"/>
      <c r="S89" s="449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  <c r="AD89" s="449"/>
      <c r="AE89" s="449"/>
      <c r="AF89" s="449"/>
      <c r="AG89" s="449"/>
      <c r="AH89" s="449"/>
      <c r="AI89" s="449"/>
      <c r="AJ89" s="449"/>
      <c r="AK89" s="449"/>
    </row>
    <row r="90" spans="1:37" x14ac:dyDescent="0.25">
      <c r="A90" s="449"/>
      <c r="B90" s="449"/>
      <c r="C90" s="449"/>
      <c r="D90" s="449"/>
      <c r="E90" s="449"/>
      <c r="F90" s="449"/>
      <c r="G90" s="449"/>
      <c r="H90" s="449"/>
      <c r="I90" s="449"/>
      <c r="J90" s="449"/>
      <c r="K90" s="449"/>
      <c r="L90" s="449"/>
      <c r="M90" s="449"/>
      <c r="N90" s="449"/>
      <c r="O90" s="449"/>
      <c r="P90" s="449"/>
      <c r="Q90" s="449"/>
      <c r="R90" s="449"/>
      <c r="S90" s="449"/>
      <c r="T90" s="449"/>
      <c r="U90" s="449"/>
      <c r="V90" s="449"/>
      <c r="W90" s="449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</row>
    <row r="91" spans="1:37" x14ac:dyDescent="0.25">
      <c r="A91" s="449"/>
      <c r="B91" s="449"/>
      <c r="C91" s="449"/>
      <c r="D91" s="449"/>
      <c r="E91" s="449"/>
      <c r="F91" s="449"/>
      <c r="G91" s="449"/>
      <c r="H91" s="449"/>
      <c r="I91" s="449"/>
      <c r="J91" s="449"/>
      <c r="K91" s="449"/>
      <c r="L91" s="449"/>
      <c r="M91" s="449"/>
      <c r="N91" s="449"/>
      <c r="O91" s="449"/>
      <c r="P91" s="449"/>
      <c r="Q91" s="449"/>
      <c r="R91" s="449"/>
      <c r="S91" s="449"/>
      <c r="T91" s="449"/>
      <c r="U91" s="449"/>
      <c r="V91" s="449"/>
      <c r="W91" s="449"/>
      <c r="X91" s="449"/>
      <c r="Y91" s="449"/>
      <c r="Z91" s="449"/>
      <c r="AA91" s="449"/>
      <c r="AB91" s="449"/>
      <c r="AC91" s="449"/>
      <c r="AD91" s="449"/>
      <c r="AE91" s="449"/>
      <c r="AF91" s="449"/>
      <c r="AG91" s="449"/>
      <c r="AH91" s="449"/>
      <c r="AI91" s="449"/>
      <c r="AJ91" s="449"/>
      <c r="AK91" s="449"/>
    </row>
    <row r="92" spans="1:37" x14ac:dyDescent="0.25">
      <c r="A92" s="449"/>
      <c r="B92" s="449"/>
      <c r="C92" s="449"/>
      <c r="D92" s="449"/>
      <c r="E92" s="449"/>
      <c r="F92" s="449"/>
      <c r="G92" s="449"/>
      <c r="H92" s="449"/>
      <c r="I92" s="449"/>
      <c r="J92" s="449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  <c r="AD92" s="449"/>
      <c r="AE92" s="449"/>
      <c r="AF92" s="449"/>
      <c r="AG92" s="449"/>
      <c r="AH92" s="449"/>
      <c r="AI92" s="449"/>
      <c r="AJ92" s="449"/>
      <c r="AK92" s="449"/>
    </row>
    <row r="93" spans="1:37" x14ac:dyDescent="0.25">
      <c r="A93" s="449"/>
      <c r="B93" s="449"/>
      <c r="C93" s="449"/>
      <c r="D93" s="449"/>
      <c r="E93" s="449"/>
      <c r="F93" s="449"/>
      <c r="G93" s="449"/>
      <c r="H93" s="449"/>
      <c r="I93" s="449"/>
      <c r="J93" s="449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</row>
    <row r="94" spans="1:37" x14ac:dyDescent="0.25">
      <c r="A94" s="449"/>
      <c r="B94" s="449"/>
      <c r="C94" s="449"/>
      <c r="D94" s="449"/>
      <c r="E94" s="449"/>
      <c r="F94" s="449"/>
      <c r="G94" s="449"/>
      <c r="H94" s="449"/>
      <c r="I94" s="449"/>
      <c r="J94" s="449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</row>
    <row r="95" spans="1:37" x14ac:dyDescent="0.25">
      <c r="A95" s="449"/>
      <c r="B95" s="449"/>
      <c r="C95" s="449"/>
      <c r="D95" s="449"/>
      <c r="E95" s="449"/>
      <c r="F95" s="449"/>
      <c r="G95" s="449"/>
      <c r="H95" s="449"/>
      <c r="I95" s="449"/>
      <c r="J95" s="449"/>
      <c r="K95" s="449"/>
      <c r="L95" s="449"/>
      <c r="M95" s="449"/>
      <c r="N95" s="449"/>
      <c r="O95" s="449"/>
      <c r="P95" s="449"/>
      <c r="Q95" s="449"/>
      <c r="R95" s="449"/>
      <c r="S95" s="449"/>
      <c r="T95" s="449"/>
      <c r="U95" s="449"/>
      <c r="V95" s="449"/>
      <c r="W95" s="449"/>
      <c r="X95" s="449"/>
      <c r="Y95" s="449"/>
      <c r="Z95" s="449"/>
      <c r="AA95" s="449"/>
      <c r="AB95" s="449"/>
      <c r="AC95" s="449"/>
      <c r="AD95" s="449"/>
      <c r="AE95" s="449"/>
      <c r="AF95" s="449"/>
      <c r="AG95" s="449"/>
      <c r="AH95" s="449"/>
      <c r="AI95" s="449"/>
      <c r="AJ95" s="449"/>
      <c r="AK95" s="449"/>
    </row>
    <row r="96" spans="1:37" x14ac:dyDescent="0.25">
      <c r="A96" s="449"/>
      <c r="B96" s="449"/>
      <c r="C96" s="449"/>
      <c r="D96" s="449"/>
      <c r="E96" s="449"/>
      <c r="F96" s="449"/>
      <c r="G96" s="449"/>
      <c r="H96" s="449"/>
      <c r="I96" s="449"/>
      <c r="J96" s="449"/>
      <c r="K96" s="449"/>
      <c r="L96" s="449"/>
      <c r="M96" s="449"/>
      <c r="N96" s="449"/>
      <c r="O96" s="449"/>
      <c r="P96" s="449"/>
      <c r="Q96" s="449"/>
      <c r="R96" s="449"/>
      <c r="S96" s="449"/>
      <c r="T96" s="449"/>
      <c r="U96" s="449"/>
      <c r="V96" s="449"/>
      <c r="W96" s="449"/>
      <c r="X96" s="449"/>
      <c r="Y96" s="449"/>
      <c r="Z96" s="449"/>
      <c r="AA96" s="449"/>
      <c r="AB96" s="449"/>
      <c r="AC96" s="449"/>
      <c r="AD96" s="449"/>
      <c r="AE96" s="449"/>
      <c r="AF96" s="449"/>
      <c r="AG96" s="449"/>
      <c r="AH96" s="449"/>
      <c r="AI96" s="449"/>
      <c r="AJ96" s="449"/>
      <c r="AK96" s="449"/>
    </row>
    <row r="97" spans="1:37" x14ac:dyDescent="0.25">
      <c r="A97" s="449"/>
      <c r="B97" s="449"/>
      <c r="C97" s="449"/>
      <c r="D97" s="449"/>
      <c r="E97" s="449"/>
      <c r="F97" s="449"/>
      <c r="G97" s="449"/>
      <c r="H97" s="449"/>
      <c r="I97" s="449"/>
      <c r="J97" s="449"/>
      <c r="K97" s="449"/>
      <c r="L97" s="449"/>
      <c r="M97" s="449"/>
      <c r="N97" s="449"/>
      <c r="O97" s="449"/>
      <c r="P97" s="449"/>
      <c r="Q97" s="449"/>
      <c r="R97" s="449"/>
      <c r="S97" s="449"/>
      <c r="T97" s="449"/>
      <c r="U97" s="449"/>
      <c r="V97" s="449"/>
      <c r="W97" s="449"/>
      <c r="X97" s="449"/>
      <c r="Y97" s="449"/>
      <c r="Z97" s="449"/>
      <c r="AA97" s="449"/>
      <c r="AB97" s="449"/>
      <c r="AC97" s="449"/>
      <c r="AD97" s="449"/>
      <c r="AE97" s="449"/>
      <c r="AF97" s="449"/>
      <c r="AG97" s="449"/>
      <c r="AH97" s="449"/>
      <c r="AI97" s="449"/>
      <c r="AJ97" s="449"/>
      <c r="AK97" s="449"/>
    </row>
    <row r="98" spans="1:37" x14ac:dyDescent="0.25">
      <c r="A98" s="449"/>
      <c r="B98" s="449"/>
      <c r="C98" s="449"/>
      <c r="D98" s="449"/>
      <c r="E98" s="449"/>
      <c r="F98" s="449"/>
      <c r="G98" s="449"/>
      <c r="H98" s="449"/>
      <c r="I98" s="449"/>
      <c r="J98" s="449"/>
      <c r="K98" s="449"/>
      <c r="L98" s="449"/>
      <c r="M98" s="449"/>
      <c r="N98" s="449"/>
      <c r="O98" s="449"/>
      <c r="P98" s="449"/>
      <c r="Q98" s="449"/>
      <c r="R98" s="449"/>
      <c r="S98" s="449"/>
      <c r="T98" s="449"/>
      <c r="U98" s="449"/>
      <c r="V98" s="449"/>
      <c r="W98" s="449"/>
      <c r="X98" s="449"/>
      <c r="Y98" s="449"/>
      <c r="Z98" s="449"/>
      <c r="AA98" s="449"/>
      <c r="AB98" s="449"/>
      <c r="AC98" s="449"/>
      <c r="AD98" s="449"/>
      <c r="AE98" s="449"/>
      <c r="AF98" s="449"/>
      <c r="AG98" s="449"/>
      <c r="AH98" s="449"/>
      <c r="AI98" s="449"/>
      <c r="AJ98" s="449"/>
      <c r="AK98" s="449"/>
    </row>
    <row r="99" spans="1:37" x14ac:dyDescent="0.25">
      <c r="A99" s="449"/>
      <c r="B99" s="449"/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  <c r="N99" s="449"/>
      <c r="O99" s="449"/>
      <c r="P99" s="449"/>
      <c r="Q99" s="449"/>
      <c r="R99" s="449"/>
      <c r="S99" s="449"/>
      <c r="T99" s="449"/>
      <c r="U99" s="449"/>
      <c r="V99" s="449"/>
      <c r="W99" s="449"/>
      <c r="X99" s="449"/>
      <c r="Y99" s="449"/>
      <c r="Z99" s="449"/>
      <c r="AA99" s="449"/>
      <c r="AB99" s="449"/>
      <c r="AC99" s="449"/>
      <c r="AD99" s="449"/>
      <c r="AE99" s="449"/>
      <c r="AF99" s="449"/>
      <c r="AG99" s="449"/>
      <c r="AH99" s="449"/>
      <c r="AI99" s="449"/>
      <c r="AJ99" s="449"/>
      <c r="AK99" s="449"/>
    </row>
    <row r="100" spans="1:37" x14ac:dyDescent="0.25">
      <c r="A100" s="449"/>
      <c r="B100" s="449"/>
      <c r="C100" s="449"/>
      <c r="D100" s="449"/>
      <c r="E100" s="449"/>
      <c r="F100" s="449"/>
      <c r="G100" s="449"/>
      <c r="H100" s="449"/>
      <c r="I100" s="449"/>
      <c r="J100" s="449"/>
      <c r="K100" s="449"/>
      <c r="L100" s="449"/>
      <c r="M100" s="449"/>
      <c r="N100" s="449"/>
      <c r="O100" s="449"/>
      <c r="P100" s="449"/>
      <c r="Q100" s="449"/>
      <c r="R100" s="449"/>
      <c r="S100" s="449"/>
      <c r="T100" s="449"/>
      <c r="U100" s="449"/>
      <c r="V100" s="449"/>
      <c r="W100" s="449"/>
      <c r="X100" s="449"/>
      <c r="Y100" s="449"/>
      <c r="Z100" s="449"/>
      <c r="AA100" s="449"/>
      <c r="AB100" s="449"/>
      <c r="AC100" s="449"/>
      <c r="AD100" s="449"/>
      <c r="AE100" s="449"/>
      <c r="AF100" s="449"/>
      <c r="AG100" s="449"/>
      <c r="AH100" s="449"/>
      <c r="AI100" s="449"/>
      <c r="AJ100" s="449"/>
      <c r="AK100" s="449"/>
    </row>
    <row r="101" spans="1:37" x14ac:dyDescent="0.25">
      <c r="A101" s="449"/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49"/>
      <c r="O101" s="449"/>
      <c r="P101" s="449"/>
      <c r="Q101" s="449"/>
      <c r="R101" s="449"/>
      <c r="S101" s="449"/>
      <c r="T101" s="449"/>
      <c r="U101" s="449"/>
      <c r="V101" s="449"/>
      <c r="W101" s="449"/>
      <c r="X101" s="449"/>
      <c r="Y101" s="449"/>
      <c r="Z101" s="449"/>
      <c r="AA101" s="449"/>
      <c r="AB101" s="449"/>
      <c r="AC101" s="449"/>
      <c r="AD101" s="449"/>
      <c r="AE101" s="449"/>
      <c r="AF101" s="449"/>
      <c r="AG101" s="449"/>
      <c r="AH101" s="449"/>
      <c r="AI101" s="449"/>
      <c r="AJ101" s="449"/>
      <c r="AK101" s="449"/>
    </row>
    <row r="102" spans="1:37" x14ac:dyDescent="0.25">
      <c r="A102" s="449"/>
      <c r="B102" s="449"/>
      <c r="C102" s="449"/>
      <c r="D102" s="449"/>
      <c r="E102" s="449"/>
      <c r="F102" s="449"/>
      <c r="G102" s="449"/>
      <c r="H102" s="449"/>
      <c r="I102" s="449"/>
      <c r="J102" s="449"/>
      <c r="K102" s="449"/>
      <c r="L102" s="449"/>
      <c r="M102" s="449"/>
      <c r="N102" s="449"/>
      <c r="O102" s="449"/>
      <c r="P102" s="449"/>
      <c r="Q102" s="449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  <c r="AD102" s="449"/>
      <c r="AE102" s="449"/>
      <c r="AF102" s="449"/>
      <c r="AG102" s="449"/>
      <c r="AH102" s="449"/>
      <c r="AI102" s="449"/>
      <c r="AJ102" s="449"/>
      <c r="AK102" s="449"/>
    </row>
    <row r="103" spans="1:37" x14ac:dyDescent="0.25">
      <c r="A103" s="449"/>
      <c r="B103" s="449"/>
      <c r="C103" s="449"/>
      <c r="D103" s="449"/>
      <c r="E103" s="449"/>
      <c r="F103" s="449"/>
      <c r="G103" s="449"/>
      <c r="H103" s="449"/>
      <c r="I103" s="449"/>
      <c r="J103" s="449"/>
      <c r="K103" s="449"/>
      <c r="L103" s="449"/>
      <c r="M103" s="449"/>
      <c r="N103" s="449"/>
      <c r="O103" s="449"/>
      <c r="P103" s="449"/>
      <c r="Q103" s="449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  <c r="AD103" s="449"/>
      <c r="AE103" s="449"/>
      <c r="AF103" s="449"/>
      <c r="AG103" s="449"/>
      <c r="AH103" s="449"/>
      <c r="AI103" s="449"/>
      <c r="AJ103" s="449"/>
      <c r="AK103" s="449"/>
    </row>
    <row r="104" spans="1:37" x14ac:dyDescent="0.25">
      <c r="A104" s="449"/>
      <c r="B104" s="449"/>
      <c r="C104" s="449"/>
      <c r="D104" s="449"/>
      <c r="E104" s="449"/>
      <c r="F104" s="449"/>
      <c r="G104" s="449"/>
      <c r="H104" s="449"/>
      <c r="I104" s="449"/>
      <c r="J104" s="449"/>
      <c r="K104" s="449"/>
      <c r="L104" s="449"/>
      <c r="M104" s="449"/>
      <c r="N104" s="449"/>
      <c r="O104" s="449"/>
      <c r="P104" s="449"/>
      <c r="Q104" s="449"/>
      <c r="R104" s="449"/>
      <c r="S104" s="449"/>
      <c r="T104" s="449"/>
      <c r="U104" s="449"/>
      <c r="V104" s="449"/>
      <c r="W104" s="449"/>
      <c r="X104" s="449"/>
      <c r="Y104" s="449"/>
      <c r="Z104" s="449"/>
      <c r="AA104" s="449"/>
      <c r="AB104" s="449"/>
      <c r="AC104" s="449"/>
      <c r="AD104" s="449"/>
      <c r="AE104" s="449"/>
      <c r="AF104" s="449"/>
      <c r="AG104" s="449"/>
      <c r="AH104" s="449"/>
      <c r="AI104" s="449"/>
      <c r="AJ104" s="449"/>
      <c r="AK104" s="449"/>
    </row>
    <row r="105" spans="1:37" x14ac:dyDescent="0.25">
      <c r="A105" s="449"/>
      <c r="B105" s="449"/>
      <c r="C105" s="449"/>
      <c r="D105" s="449"/>
      <c r="E105" s="449"/>
      <c r="F105" s="449"/>
      <c r="G105" s="449"/>
      <c r="H105" s="449"/>
      <c r="I105" s="449"/>
      <c r="J105" s="449"/>
      <c r="K105" s="449"/>
      <c r="L105" s="449"/>
      <c r="M105" s="449"/>
      <c r="N105" s="449"/>
      <c r="O105" s="449"/>
      <c r="P105" s="449"/>
      <c r="Q105" s="449"/>
      <c r="R105" s="449"/>
      <c r="S105" s="449"/>
      <c r="T105" s="449"/>
      <c r="U105" s="449"/>
      <c r="V105" s="449"/>
      <c r="W105" s="449"/>
      <c r="X105" s="449"/>
      <c r="Y105" s="449"/>
      <c r="Z105" s="449"/>
      <c r="AA105" s="449"/>
      <c r="AB105" s="449"/>
      <c r="AC105" s="449"/>
      <c r="AD105" s="449"/>
      <c r="AE105" s="449"/>
      <c r="AF105" s="449"/>
      <c r="AG105" s="449"/>
      <c r="AH105" s="449"/>
      <c r="AI105" s="449"/>
      <c r="AJ105" s="449"/>
      <c r="AK105" s="449"/>
    </row>
    <row r="106" spans="1:37" x14ac:dyDescent="0.25">
      <c r="A106" s="449"/>
      <c r="B106" s="449"/>
      <c r="C106" s="449"/>
      <c r="D106" s="449"/>
      <c r="E106" s="449"/>
      <c r="F106" s="449"/>
      <c r="G106" s="449"/>
      <c r="H106" s="449"/>
      <c r="I106" s="449"/>
      <c r="J106" s="449"/>
      <c r="K106" s="449"/>
      <c r="L106" s="449"/>
      <c r="M106" s="449"/>
      <c r="N106" s="449"/>
      <c r="O106" s="449"/>
      <c r="P106" s="449"/>
      <c r="Q106" s="449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  <c r="AD106" s="449"/>
      <c r="AE106" s="449"/>
      <c r="AF106" s="449"/>
      <c r="AG106" s="449"/>
      <c r="AH106" s="449"/>
      <c r="AI106" s="449"/>
      <c r="AJ106" s="449"/>
      <c r="AK106" s="449"/>
    </row>
    <row r="107" spans="1:37" x14ac:dyDescent="0.25">
      <c r="A107" s="449"/>
      <c r="B107" s="449"/>
      <c r="C107" s="449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49"/>
      <c r="O107" s="449"/>
      <c r="P107" s="449"/>
      <c r="Q107" s="449"/>
      <c r="R107" s="449"/>
      <c r="S107" s="449"/>
      <c r="T107" s="449"/>
      <c r="U107" s="449"/>
      <c r="V107" s="449"/>
      <c r="W107" s="449"/>
      <c r="X107" s="449"/>
      <c r="Y107" s="449"/>
      <c r="Z107" s="449"/>
      <c r="AA107" s="449"/>
      <c r="AB107" s="449"/>
      <c r="AC107" s="449"/>
      <c r="AD107" s="449"/>
      <c r="AE107" s="449"/>
      <c r="AF107" s="449"/>
      <c r="AG107" s="449"/>
      <c r="AH107" s="449"/>
      <c r="AI107" s="449"/>
      <c r="AJ107" s="449"/>
      <c r="AK107" s="449"/>
    </row>
    <row r="108" spans="1:37" x14ac:dyDescent="0.25">
      <c r="A108" s="449"/>
      <c r="B108" s="449"/>
      <c r="C108" s="449"/>
      <c r="D108" s="449"/>
      <c r="E108" s="449"/>
      <c r="F108" s="449"/>
      <c r="G108" s="449"/>
      <c r="H108" s="449"/>
      <c r="I108" s="449"/>
      <c r="J108" s="449"/>
      <c r="K108" s="449"/>
      <c r="L108" s="449"/>
      <c r="M108" s="449"/>
      <c r="N108" s="449"/>
      <c r="O108" s="449"/>
      <c r="P108" s="449"/>
      <c r="Q108" s="449"/>
      <c r="R108" s="449"/>
      <c r="S108" s="449"/>
      <c r="T108" s="449"/>
      <c r="U108" s="449"/>
      <c r="V108" s="449"/>
      <c r="W108" s="449"/>
      <c r="X108" s="449"/>
      <c r="Y108" s="449"/>
      <c r="Z108" s="449"/>
      <c r="AA108" s="449"/>
      <c r="AB108" s="449"/>
      <c r="AC108" s="449"/>
      <c r="AD108" s="449"/>
      <c r="AE108" s="449"/>
      <c r="AF108" s="449"/>
      <c r="AG108" s="449"/>
      <c r="AH108" s="449"/>
      <c r="AI108" s="449"/>
      <c r="AJ108" s="449"/>
      <c r="AK108" s="449"/>
    </row>
    <row r="109" spans="1:37" x14ac:dyDescent="0.25">
      <c r="A109" s="449"/>
      <c r="B109" s="449"/>
      <c r="C109" s="449"/>
      <c r="D109" s="449"/>
      <c r="E109" s="449"/>
      <c r="F109" s="449"/>
      <c r="G109" s="449"/>
      <c r="H109" s="449"/>
      <c r="I109" s="449"/>
      <c r="J109" s="449"/>
      <c r="K109" s="449"/>
      <c r="L109" s="449"/>
      <c r="M109" s="449"/>
      <c r="N109" s="449"/>
      <c r="O109" s="449"/>
      <c r="P109" s="449"/>
      <c r="Q109" s="449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  <c r="AD109" s="449"/>
      <c r="AE109" s="449"/>
      <c r="AF109" s="449"/>
      <c r="AG109" s="449"/>
      <c r="AH109" s="449"/>
      <c r="AI109" s="449"/>
      <c r="AJ109" s="449"/>
      <c r="AK109" s="449"/>
    </row>
    <row r="110" spans="1:37" x14ac:dyDescent="0.25">
      <c r="A110" s="449"/>
      <c r="B110" s="449"/>
      <c r="C110" s="449"/>
      <c r="D110" s="449"/>
      <c r="E110" s="449"/>
      <c r="F110" s="449"/>
      <c r="G110" s="449"/>
      <c r="H110" s="449"/>
      <c r="I110" s="449"/>
      <c r="J110" s="449"/>
      <c r="K110" s="449"/>
      <c r="L110" s="449"/>
      <c r="M110" s="449"/>
      <c r="N110" s="449"/>
      <c r="O110" s="449"/>
      <c r="P110" s="449"/>
      <c r="Q110" s="449"/>
      <c r="R110" s="449"/>
      <c r="S110" s="449"/>
      <c r="T110" s="449"/>
      <c r="U110" s="449"/>
      <c r="V110" s="449"/>
      <c r="W110" s="449"/>
      <c r="X110" s="449"/>
      <c r="Y110" s="449"/>
      <c r="Z110" s="449"/>
      <c r="AA110" s="449"/>
      <c r="AB110" s="449"/>
      <c r="AC110" s="449"/>
      <c r="AD110" s="449"/>
      <c r="AE110" s="449"/>
      <c r="AF110" s="449"/>
      <c r="AG110" s="449"/>
      <c r="AH110" s="449"/>
      <c r="AI110" s="449"/>
      <c r="AJ110" s="449"/>
      <c r="AK110" s="449"/>
    </row>
    <row r="111" spans="1:37" x14ac:dyDescent="0.25">
      <c r="A111" s="449"/>
      <c r="B111" s="449"/>
      <c r="C111" s="449"/>
      <c r="D111" s="449"/>
      <c r="E111" s="449"/>
      <c r="F111" s="449"/>
      <c r="G111" s="449"/>
      <c r="H111" s="449"/>
      <c r="I111" s="449"/>
      <c r="J111" s="449"/>
      <c r="K111" s="449"/>
      <c r="L111" s="449"/>
      <c r="M111" s="449"/>
      <c r="N111" s="449"/>
      <c r="O111" s="449"/>
      <c r="P111" s="449"/>
      <c r="Q111" s="449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49"/>
      <c r="AC111" s="449"/>
      <c r="AD111" s="449"/>
      <c r="AE111" s="449"/>
      <c r="AF111" s="449"/>
      <c r="AG111" s="449"/>
      <c r="AH111" s="449"/>
      <c r="AI111" s="449"/>
      <c r="AJ111" s="449"/>
      <c r="AK111" s="449"/>
    </row>
    <row r="112" spans="1:37" x14ac:dyDescent="0.25">
      <c r="A112" s="449"/>
      <c r="B112" s="449"/>
      <c r="C112" s="449"/>
      <c r="D112" s="449"/>
      <c r="E112" s="449"/>
      <c r="F112" s="449"/>
      <c r="G112" s="449"/>
      <c r="H112" s="449"/>
      <c r="I112" s="449"/>
      <c r="J112" s="449"/>
      <c r="K112" s="449"/>
      <c r="L112" s="449"/>
      <c r="M112" s="449"/>
      <c r="N112" s="449"/>
      <c r="O112" s="449"/>
      <c r="P112" s="449"/>
      <c r="Q112" s="449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49"/>
      <c r="AC112" s="449"/>
      <c r="AD112" s="449"/>
      <c r="AE112" s="449"/>
      <c r="AF112" s="449"/>
      <c r="AG112" s="449"/>
      <c r="AH112" s="449"/>
      <c r="AI112" s="449"/>
      <c r="AJ112" s="449"/>
      <c r="AK112" s="449"/>
    </row>
    <row r="113" spans="1:37" x14ac:dyDescent="0.25">
      <c r="A113" s="449"/>
      <c r="B113" s="449"/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  <c r="Z113" s="449"/>
      <c r="AA113" s="449"/>
      <c r="AB113" s="449"/>
      <c r="AC113" s="449"/>
      <c r="AD113" s="449"/>
      <c r="AE113" s="449"/>
      <c r="AF113" s="449"/>
      <c r="AG113" s="449"/>
      <c r="AH113" s="449"/>
      <c r="AI113" s="449"/>
      <c r="AJ113" s="449"/>
      <c r="AK113" s="449"/>
    </row>
    <row r="114" spans="1:37" x14ac:dyDescent="0.25">
      <c r="A114" s="449"/>
      <c r="B114" s="449"/>
      <c r="C114" s="449"/>
      <c r="D114" s="449"/>
      <c r="E114" s="449"/>
      <c r="F114" s="449"/>
      <c r="G114" s="449"/>
      <c r="H114" s="449"/>
      <c r="I114" s="449"/>
      <c r="J114" s="449"/>
      <c r="K114" s="44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  <c r="AD114" s="449"/>
      <c r="AE114" s="449"/>
      <c r="AF114" s="449"/>
      <c r="AG114" s="449"/>
      <c r="AH114" s="449"/>
      <c r="AI114" s="449"/>
      <c r="AJ114" s="449"/>
      <c r="AK114" s="449"/>
    </row>
    <row r="115" spans="1:37" x14ac:dyDescent="0.25">
      <c r="A115" s="449"/>
      <c r="B115" s="449"/>
      <c r="C115" s="449"/>
      <c r="D115" s="449"/>
      <c r="E115" s="449"/>
      <c r="F115" s="449"/>
      <c r="G115" s="449"/>
      <c r="H115" s="449"/>
      <c r="I115" s="449"/>
      <c r="J115" s="449"/>
      <c r="K115" s="449"/>
      <c r="L115" s="449"/>
      <c r="M115" s="449"/>
      <c r="N115" s="449"/>
      <c r="O115" s="449"/>
      <c r="P115" s="449"/>
      <c r="Q115" s="449"/>
      <c r="R115" s="449"/>
      <c r="S115" s="449"/>
      <c r="T115" s="449"/>
      <c r="U115" s="449"/>
      <c r="V115" s="449"/>
      <c r="W115" s="449"/>
      <c r="X115" s="449"/>
      <c r="Y115" s="449"/>
      <c r="Z115" s="449"/>
      <c r="AA115" s="449"/>
      <c r="AB115" s="449"/>
      <c r="AC115" s="449"/>
      <c r="AD115" s="449"/>
      <c r="AE115" s="449"/>
      <c r="AF115" s="449"/>
      <c r="AG115" s="449"/>
      <c r="AH115" s="449"/>
      <c r="AI115" s="449"/>
      <c r="AJ115" s="449"/>
      <c r="AK115" s="449"/>
    </row>
    <row r="116" spans="1:37" x14ac:dyDescent="0.25">
      <c r="A116" s="449"/>
      <c r="B116" s="449"/>
      <c r="C116" s="449"/>
      <c r="D116" s="449"/>
      <c r="E116" s="449"/>
      <c r="F116" s="449"/>
      <c r="G116" s="449"/>
      <c r="H116" s="449"/>
      <c r="I116" s="449"/>
      <c r="J116" s="449"/>
      <c r="K116" s="449"/>
      <c r="L116" s="449"/>
      <c r="M116" s="449"/>
      <c r="N116" s="449"/>
      <c r="O116" s="449"/>
      <c r="P116" s="449"/>
      <c r="Q116" s="449"/>
      <c r="R116" s="449"/>
      <c r="S116" s="449"/>
      <c r="T116" s="449"/>
      <c r="U116" s="449"/>
      <c r="V116" s="449"/>
      <c r="W116" s="449"/>
      <c r="X116" s="449"/>
      <c r="Y116" s="449"/>
      <c r="Z116" s="449"/>
      <c r="AA116" s="449"/>
      <c r="AB116" s="449"/>
      <c r="AC116" s="449"/>
      <c r="AD116" s="449"/>
      <c r="AE116" s="449"/>
      <c r="AF116" s="449"/>
      <c r="AG116" s="449"/>
      <c r="AH116" s="449"/>
      <c r="AI116" s="449"/>
      <c r="AJ116" s="449"/>
      <c r="AK116" s="449"/>
    </row>
    <row r="117" spans="1:37" x14ac:dyDescent="0.25">
      <c r="A117" s="449"/>
      <c r="B117" s="449"/>
      <c r="C117" s="449"/>
      <c r="D117" s="449"/>
      <c r="E117" s="449"/>
      <c r="F117" s="449"/>
      <c r="G117" s="449"/>
      <c r="H117" s="449"/>
      <c r="I117" s="449"/>
      <c r="J117" s="449"/>
      <c r="K117" s="449"/>
      <c r="L117" s="449"/>
      <c r="M117" s="449"/>
      <c r="N117" s="449"/>
      <c r="O117" s="449"/>
      <c r="P117" s="449"/>
      <c r="Q117" s="449"/>
      <c r="R117" s="449"/>
      <c r="S117" s="449"/>
      <c r="T117" s="449"/>
      <c r="U117" s="449"/>
      <c r="V117" s="449"/>
      <c r="W117" s="449"/>
      <c r="X117" s="449"/>
      <c r="Y117" s="449"/>
      <c r="Z117" s="449"/>
      <c r="AA117" s="449"/>
      <c r="AB117" s="449"/>
      <c r="AC117" s="449"/>
      <c r="AD117" s="449"/>
      <c r="AE117" s="449"/>
      <c r="AF117" s="449"/>
      <c r="AG117" s="449"/>
      <c r="AH117" s="449"/>
      <c r="AI117" s="449"/>
      <c r="AJ117" s="449"/>
      <c r="AK117" s="449"/>
    </row>
    <row r="118" spans="1:37" x14ac:dyDescent="0.25">
      <c r="A118" s="449"/>
      <c r="B118" s="449"/>
      <c r="C118" s="449"/>
      <c r="D118" s="449"/>
      <c r="E118" s="449"/>
      <c r="F118" s="449"/>
      <c r="G118" s="449"/>
      <c r="H118" s="449"/>
      <c r="I118" s="449"/>
      <c r="J118" s="449"/>
      <c r="K118" s="449"/>
      <c r="L118" s="449"/>
      <c r="M118" s="449"/>
      <c r="N118" s="449"/>
      <c r="O118" s="449"/>
      <c r="P118" s="449"/>
      <c r="Q118" s="449"/>
      <c r="R118" s="449"/>
      <c r="S118" s="449"/>
      <c r="T118" s="449"/>
      <c r="U118" s="449"/>
      <c r="V118" s="449"/>
      <c r="W118" s="449"/>
      <c r="X118" s="449"/>
      <c r="Y118" s="449"/>
      <c r="Z118" s="449"/>
      <c r="AA118" s="449"/>
      <c r="AB118" s="449"/>
      <c r="AC118" s="449"/>
      <c r="AD118" s="449"/>
      <c r="AE118" s="449"/>
      <c r="AF118" s="449"/>
      <c r="AG118" s="449"/>
      <c r="AH118" s="449"/>
      <c r="AI118" s="449"/>
      <c r="AJ118" s="449"/>
      <c r="AK118" s="449"/>
    </row>
    <row r="119" spans="1:37" x14ac:dyDescent="0.25">
      <c r="A119" s="449"/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49"/>
      <c r="Z119" s="449"/>
      <c r="AA119" s="449"/>
      <c r="AB119" s="449"/>
      <c r="AC119" s="449"/>
      <c r="AD119" s="449"/>
      <c r="AE119" s="449"/>
      <c r="AF119" s="449"/>
      <c r="AG119" s="449"/>
      <c r="AH119" s="449"/>
      <c r="AI119" s="449"/>
      <c r="AJ119" s="449"/>
      <c r="AK119" s="449"/>
    </row>
    <row r="120" spans="1:37" x14ac:dyDescent="0.25">
      <c r="A120" s="449"/>
      <c r="B120" s="449"/>
      <c r="C120" s="449"/>
      <c r="D120" s="449"/>
      <c r="E120" s="449"/>
      <c r="F120" s="449"/>
      <c r="G120" s="449"/>
      <c r="H120" s="449"/>
      <c r="I120" s="449"/>
      <c r="J120" s="449"/>
      <c r="K120" s="449"/>
      <c r="L120" s="449"/>
      <c r="M120" s="449"/>
      <c r="N120" s="449"/>
      <c r="O120" s="449"/>
      <c r="P120" s="449"/>
      <c r="Q120" s="449"/>
      <c r="R120" s="449"/>
      <c r="S120" s="449"/>
      <c r="T120" s="449"/>
      <c r="U120" s="449"/>
      <c r="V120" s="449"/>
      <c r="W120" s="449"/>
      <c r="X120" s="449"/>
      <c r="Y120" s="449"/>
      <c r="Z120" s="449"/>
      <c r="AA120" s="449"/>
      <c r="AB120" s="449"/>
      <c r="AC120" s="449"/>
      <c r="AD120" s="449"/>
      <c r="AE120" s="449"/>
      <c r="AF120" s="449"/>
      <c r="AG120" s="449"/>
      <c r="AH120" s="449"/>
      <c r="AI120" s="449"/>
      <c r="AJ120" s="449"/>
      <c r="AK120" s="449"/>
    </row>
    <row r="121" spans="1:37" x14ac:dyDescent="0.25">
      <c r="A121" s="449"/>
      <c r="B121" s="449"/>
      <c r="C121" s="449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49"/>
      <c r="O121" s="449"/>
      <c r="P121" s="449"/>
      <c r="Q121" s="449"/>
      <c r="R121" s="449"/>
      <c r="S121" s="449"/>
      <c r="T121" s="449"/>
      <c r="U121" s="449"/>
      <c r="V121" s="449"/>
      <c r="W121" s="449"/>
      <c r="X121" s="449"/>
      <c r="Y121" s="449"/>
      <c r="Z121" s="449"/>
      <c r="AA121" s="449"/>
      <c r="AB121" s="449"/>
      <c r="AC121" s="449"/>
      <c r="AD121" s="449"/>
      <c r="AE121" s="449"/>
      <c r="AF121" s="449"/>
      <c r="AG121" s="449"/>
      <c r="AH121" s="449"/>
      <c r="AI121" s="449"/>
      <c r="AJ121" s="449"/>
      <c r="AK121" s="449"/>
    </row>
    <row r="122" spans="1:37" x14ac:dyDescent="0.25">
      <c r="A122" s="449"/>
      <c r="B122" s="449"/>
      <c r="C122" s="449"/>
      <c r="D122" s="449"/>
      <c r="E122" s="449"/>
      <c r="F122" s="449"/>
      <c r="G122" s="449"/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  <c r="Z122" s="449"/>
      <c r="AA122" s="449"/>
      <c r="AB122" s="449"/>
      <c r="AC122" s="449"/>
      <c r="AD122" s="449"/>
      <c r="AE122" s="449"/>
      <c r="AF122" s="449"/>
      <c r="AG122" s="449"/>
      <c r="AH122" s="449"/>
      <c r="AI122" s="449"/>
      <c r="AJ122" s="449"/>
      <c r="AK122" s="449"/>
    </row>
    <row r="123" spans="1:37" x14ac:dyDescent="0.25">
      <c r="A123" s="449"/>
      <c r="B123" s="449"/>
      <c r="C123" s="449"/>
      <c r="D123" s="449"/>
      <c r="E123" s="449"/>
      <c r="F123" s="449"/>
      <c r="G123" s="449"/>
      <c r="H123" s="449"/>
      <c r="I123" s="449"/>
      <c r="J123" s="449"/>
      <c r="K123" s="449"/>
      <c r="L123" s="449"/>
      <c r="M123" s="449"/>
      <c r="N123" s="449"/>
      <c r="O123" s="449"/>
      <c r="P123" s="449"/>
      <c r="Q123" s="449"/>
      <c r="R123" s="449"/>
      <c r="S123" s="449"/>
      <c r="T123" s="449"/>
      <c r="U123" s="449"/>
      <c r="V123" s="449"/>
      <c r="W123" s="449"/>
      <c r="X123" s="449"/>
      <c r="Y123" s="449"/>
      <c r="Z123" s="449"/>
      <c r="AA123" s="449"/>
      <c r="AB123" s="449"/>
      <c r="AC123" s="449"/>
      <c r="AD123" s="449"/>
      <c r="AE123" s="449"/>
      <c r="AF123" s="449"/>
      <c r="AG123" s="449"/>
      <c r="AH123" s="449"/>
      <c r="AI123" s="449"/>
      <c r="AJ123" s="449"/>
      <c r="AK123" s="449"/>
    </row>
  </sheetData>
  <sheetProtection objects="1"/>
  <phoneticPr fontId="0" type="noConversion"/>
  <pageMargins left="0.56000000000000005" right="0.59" top="0.44" bottom="0.13" header="0.89" footer="0.35"/>
  <pageSetup paperSize="9" scale="94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2">
    <pageSetUpPr fitToPage="1"/>
  </sheetPr>
  <dimension ref="A1:V74"/>
  <sheetViews>
    <sheetView view="pageBreakPreview" topLeftCell="A4" zoomScale="80" zoomScaleNormal="100" workbookViewId="0">
      <selection activeCell="B17" sqref="B11:B17"/>
    </sheetView>
  </sheetViews>
  <sheetFormatPr defaultRowHeight="23.25" customHeight="1" x14ac:dyDescent="0.25"/>
  <cols>
    <col min="1" max="1" width="30.26953125" customWidth="1"/>
    <col min="2" max="2" width="12.26953125" bestFit="1" customWidth="1"/>
    <col min="3" max="22" width="4.81640625" customWidth="1"/>
    <col min="23" max="59" width="4.1796875" customWidth="1"/>
  </cols>
  <sheetData>
    <row r="1" spans="1:22" ht="13.5" customHeight="1" x14ac:dyDescent="0.25">
      <c r="A1" t="str">
        <f>TECNOLOGIAS!A1</f>
        <v>Proponente: TransPolitécnica</v>
      </c>
    </row>
    <row r="2" spans="1:22" ht="13.5" customHeight="1" x14ac:dyDescent="0.25">
      <c r="A2" t="str">
        <f>TECNOLOGIAS!A2</f>
        <v>Área de Concessão: 5 (Cinco)</v>
      </c>
    </row>
    <row r="4" spans="1:22" ht="23.25" customHeight="1" x14ac:dyDescent="0.3">
      <c r="A4" s="438" t="s">
        <v>661</v>
      </c>
      <c r="B4" s="438"/>
      <c r="C4" s="439"/>
    </row>
    <row r="6" spans="1:22" s="3" customFormat="1" ht="23.25" customHeight="1" x14ac:dyDescent="0.25">
      <c r="A6" s="482" t="s">
        <v>475</v>
      </c>
      <c r="B6" s="454"/>
    </row>
    <row r="7" spans="1:22" ht="23.25" customHeight="1" x14ac:dyDescent="0.25">
      <c r="A7" s="317" t="s">
        <v>568</v>
      </c>
      <c r="B7" s="317"/>
    </row>
    <row r="8" spans="1:22" ht="23.25" customHeight="1" x14ac:dyDescent="0.25">
      <c r="A8" s="317"/>
      <c r="B8" s="317"/>
    </row>
    <row r="9" spans="1:22" ht="23.25" customHeight="1" x14ac:dyDescent="0.25">
      <c r="A9" s="689" t="s">
        <v>569</v>
      </c>
      <c r="B9" s="695" t="s">
        <v>764</v>
      </c>
      <c r="C9" s="694" t="s">
        <v>570</v>
      </c>
      <c r="D9" s="693"/>
      <c r="E9" s="691" t="s">
        <v>571</v>
      </c>
      <c r="F9" s="691"/>
      <c r="G9" s="691" t="s">
        <v>572</v>
      </c>
      <c r="H9" s="691"/>
      <c r="I9" s="691" t="s">
        <v>573</v>
      </c>
      <c r="J9" s="691"/>
      <c r="K9" s="691" t="s">
        <v>574</v>
      </c>
      <c r="L9" s="691"/>
      <c r="M9" s="691" t="s">
        <v>575</v>
      </c>
      <c r="N9" s="691"/>
      <c r="O9" s="691" t="s">
        <v>576</v>
      </c>
      <c r="P9" s="691"/>
      <c r="Q9" s="691" t="s">
        <v>577</v>
      </c>
      <c r="R9" s="691"/>
      <c r="S9" s="691" t="s">
        <v>578</v>
      </c>
      <c r="T9" s="691"/>
      <c r="U9" s="691" t="s">
        <v>579</v>
      </c>
      <c r="V9" s="691"/>
    </row>
    <row r="10" spans="1:22" ht="23.25" customHeight="1" x14ac:dyDescent="0.25">
      <c r="A10" s="689"/>
      <c r="B10" s="696"/>
      <c r="C10" s="442" t="s">
        <v>580</v>
      </c>
      <c r="D10" s="442" t="s">
        <v>581</v>
      </c>
      <c r="E10" s="442" t="s">
        <v>582</v>
      </c>
      <c r="F10" s="442" t="s">
        <v>583</v>
      </c>
      <c r="G10" s="442" t="s">
        <v>584</v>
      </c>
      <c r="H10" s="442" t="s">
        <v>585</v>
      </c>
      <c r="I10" s="442" t="s">
        <v>586</v>
      </c>
      <c r="J10" s="442" t="s">
        <v>587</v>
      </c>
      <c r="K10" s="442" t="s">
        <v>588</v>
      </c>
      <c r="L10" s="442" t="s">
        <v>589</v>
      </c>
      <c r="M10" s="442" t="s">
        <v>590</v>
      </c>
      <c r="N10" s="442" t="s">
        <v>591</v>
      </c>
      <c r="O10" s="442" t="s">
        <v>592</v>
      </c>
      <c r="P10" s="442" t="s">
        <v>593</v>
      </c>
      <c r="Q10" s="442" t="s">
        <v>594</v>
      </c>
      <c r="R10" s="442" t="s">
        <v>595</v>
      </c>
      <c r="S10" s="442" t="s">
        <v>596</v>
      </c>
      <c r="T10" s="442" t="s">
        <v>597</v>
      </c>
      <c r="U10" s="442" t="s">
        <v>598</v>
      </c>
      <c r="V10" s="442" t="s">
        <v>599</v>
      </c>
    </row>
    <row r="11" spans="1:22" ht="23.25" customHeight="1" x14ac:dyDescent="0.25">
      <c r="A11" s="444" t="s">
        <v>662</v>
      </c>
      <c r="B11" s="626">
        <f t="shared" ref="B11:B16" si="0">$B$17/6</f>
        <v>23399.166666666668</v>
      </c>
      <c r="C11" s="455"/>
      <c r="D11" s="455"/>
      <c r="E11" s="455"/>
      <c r="F11" s="455"/>
      <c r="G11" s="455"/>
      <c r="H11" s="455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</row>
    <row r="12" spans="1:22" ht="23.25" customHeight="1" x14ac:dyDescent="0.25">
      <c r="A12" s="444" t="s">
        <v>663</v>
      </c>
      <c r="B12" s="626">
        <f t="shared" si="0"/>
        <v>23399.166666666668</v>
      </c>
      <c r="C12" s="455"/>
      <c r="D12" s="455"/>
      <c r="E12" s="455"/>
      <c r="F12" s="455"/>
      <c r="G12" s="455"/>
      <c r="H12" s="455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  <c r="V12" s="444"/>
    </row>
    <row r="13" spans="1:22" ht="23.25" customHeight="1" x14ac:dyDescent="0.25">
      <c r="A13" s="444" t="s">
        <v>664</v>
      </c>
      <c r="B13" s="626">
        <f t="shared" si="0"/>
        <v>23399.166666666668</v>
      </c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  <c r="V13" s="444"/>
    </row>
    <row r="14" spans="1:22" ht="23.25" customHeight="1" x14ac:dyDescent="0.25">
      <c r="A14" s="444" t="s">
        <v>665</v>
      </c>
      <c r="B14" s="626">
        <f t="shared" si="0"/>
        <v>23399.166666666668</v>
      </c>
      <c r="C14" s="444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</row>
    <row r="15" spans="1:22" ht="23.25" customHeight="1" x14ac:dyDescent="0.25">
      <c r="A15" s="444" t="s">
        <v>666</v>
      </c>
      <c r="B15" s="626">
        <f t="shared" si="0"/>
        <v>23399.166666666668</v>
      </c>
      <c r="C15" s="444"/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444"/>
      <c r="U15" s="444"/>
      <c r="V15" s="444"/>
    </row>
    <row r="16" spans="1:22" ht="23.25" customHeight="1" x14ac:dyDescent="0.25">
      <c r="A16" s="444" t="s">
        <v>667</v>
      </c>
      <c r="B16" s="626">
        <f t="shared" si="0"/>
        <v>23399.166666666668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U16" s="444"/>
      <c r="V16" s="444"/>
    </row>
    <row r="17" spans="1:22" ht="23.25" customHeight="1" x14ac:dyDescent="0.3">
      <c r="A17" s="456" t="s">
        <v>614</v>
      </c>
      <c r="B17" s="627">
        <v>140395</v>
      </c>
      <c r="C17" s="445">
        <f t="shared" ref="C17:I17" si="1">SUM(C11:C16)</f>
        <v>0</v>
      </c>
      <c r="D17" s="445">
        <f t="shared" si="1"/>
        <v>0</v>
      </c>
      <c r="E17" s="445">
        <f t="shared" si="1"/>
        <v>0</v>
      </c>
      <c r="F17" s="445">
        <f t="shared" si="1"/>
        <v>0</v>
      </c>
      <c r="G17" s="445">
        <f t="shared" si="1"/>
        <v>0</v>
      </c>
      <c r="H17" s="445">
        <f t="shared" si="1"/>
        <v>0</v>
      </c>
      <c r="I17" s="445">
        <f t="shared" si="1"/>
        <v>0</v>
      </c>
      <c r="J17" s="445">
        <f t="shared" ref="J17:V17" si="2">SUM(J11:J16)</f>
        <v>0</v>
      </c>
      <c r="K17" s="445">
        <f t="shared" si="2"/>
        <v>0</v>
      </c>
      <c r="L17" s="445">
        <f t="shared" si="2"/>
        <v>0</v>
      </c>
      <c r="M17" s="445">
        <f t="shared" si="2"/>
        <v>0</v>
      </c>
      <c r="N17" s="445">
        <f t="shared" si="2"/>
        <v>0</v>
      </c>
      <c r="O17" s="445">
        <f t="shared" si="2"/>
        <v>0</v>
      </c>
      <c r="P17" s="445">
        <f t="shared" si="2"/>
        <v>0</v>
      </c>
      <c r="Q17" s="445">
        <f t="shared" si="2"/>
        <v>0</v>
      </c>
      <c r="R17" s="445">
        <f t="shared" si="2"/>
        <v>0</v>
      </c>
      <c r="S17" s="445">
        <f t="shared" si="2"/>
        <v>0</v>
      </c>
      <c r="T17" s="445">
        <f t="shared" si="2"/>
        <v>0</v>
      </c>
      <c r="U17" s="445">
        <f t="shared" si="2"/>
        <v>0</v>
      </c>
      <c r="V17" s="445">
        <f t="shared" si="2"/>
        <v>0</v>
      </c>
    </row>
    <row r="18" spans="1:22" ht="23.25" customHeight="1" x14ac:dyDescent="0.25">
      <c r="A18" s="449"/>
      <c r="B18" s="449"/>
      <c r="C18" s="449"/>
      <c r="D18" s="449"/>
      <c r="E18" s="449"/>
      <c r="F18" s="449"/>
      <c r="G18" s="449"/>
      <c r="H18" s="449"/>
    </row>
    <row r="19" spans="1:22" ht="23.25" customHeight="1" x14ac:dyDescent="0.25">
      <c r="A19" t="s">
        <v>447</v>
      </c>
      <c r="C19" s="449"/>
      <c r="D19" s="449"/>
      <c r="E19" s="449"/>
      <c r="F19" s="449"/>
      <c r="G19" s="449"/>
      <c r="H19" s="449"/>
    </row>
    <row r="20" spans="1:22" ht="23.25" customHeight="1" x14ac:dyDescent="0.25">
      <c r="A20" s="449"/>
      <c r="B20" s="449"/>
      <c r="C20" s="449"/>
      <c r="D20" s="449"/>
      <c r="E20" s="449"/>
      <c r="F20" s="449"/>
      <c r="G20" s="449"/>
      <c r="H20" s="449"/>
    </row>
    <row r="21" spans="1:22" ht="23.25" customHeight="1" x14ac:dyDescent="0.25">
      <c r="A21" s="449"/>
      <c r="B21" s="449"/>
      <c r="C21" s="449"/>
      <c r="D21" s="449"/>
      <c r="E21" s="449"/>
      <c r="F21" s="449"/>
      <c r="G21" s="449"/>
      <c r="H21" s="449"/>
    </row>
    <row r="22" spans="1:22" ht="23.25" customHeight="1" x14ac:dyDescent="0.25">
      <c r="A22" s="449"/>
      <c r="B22" s="449"/>
      <c r="C22" s="449"/>
      <c r="D22" s="449"/>
      <c r="E22" s="449"/>
      <c r="F22" s="449"/>
      <c r="G22" s="449"/>
      <c r="H22" s="449"/>
    </row>
    <row r="23" spans="1:22" ht="23.25" customHeight="1" x14ac:dyDescent="0.25">
      <c r="A23" s="449"/>
      <c r="B23" s="449"/>
      <c r="C23" s="449"/>
      <c r="D23" s="449"/>
      <c r="E23" s="449"/>
      <c r="F23" s="449"/>
      <c r="G23" s="449"/>
      <c r="H23" s="449"/>
    </row>
    <row r="24" spans="1:22" ht="23.25" customHeight="1" x14ac:dyDescent="0.25">
      <c r="A24" s="449"/>
      <c r="B24" s="449"/>
      <c r="C24" s="449"/>
      <c r="D24" s="449"/>
      <c r="E24" s="449"/>
      <c r="F24" s="449"/>
      <c r="G24" s="449"/>
      <c r="H24" s="449"/>
    </row>
    <row r="25" spans="1:22" ht="23.25" customHeight="1" x14ac:dyDescent="0.25">
      <c r="A25" s="449"/>
      <c r="B25" s="449"/>
      <c r="C25" s="449"/>
      <c r="D25" s="449"/>
      <c r="E25" s="449"/>
      <c r="F25" s="449"/>
      <c r="G25" s="449"/>
      <c r="H25" s="449"/>
    </row>
    <row r="26" spans="1:22" ht="23.25" customHeight="1" x14ac:dyDescent="0.25">
      <c r="A26" s="449"/>
      <c r="B26" s="449"/>
      <c r="C26" s="449"/>
      <c r="D26" s="449"/>
      <c r="E26" s="449"/>
      <c r="F26" s="449"/>
      <c r="G26" s="449"/>
      <c r="H26" s="449"/>
    </row>
    <row r="27" spans="1:22" ht="23.25" customHeight="1" x14ac:dyDescent="0.25">
      <c r="A27" s="449"/>
      <c r="B27" s="449"/>
      <c r="C27" s="449"/>
      <c r="D27" s="449"/>
      <c r="E27" s="449"/>
      <c r="F27" s="449"/>
      <c r="G27" s="449"/>
      <c r="H27" s="449"/>
    </row>
    <row r="28" spans="1:22" ht="23.25" customHeight="1" x14ac:dyDescent="0.25">
      <c r="A28" s="449"/>
      <c r="B28" s="449"/>
      <c r="C28" s="449"/>
      <c r="D28" s="449"/>
      <c r="E28" s="449"/>
      <c r="F28" s="449"/>
      <c r="G28" s="449"/>
      <c r="H28" s="449"/>
    </row>
    <row r="29" spans="1:22" ht="23.25" customHeight="1" x14ac:dyDescent="0.25">
      <c r="A29" s="449"/>
      <c r="B29" s="449"/>
      <c r="C29" s="449"/>
      <c r="D29" s="449"/>
      <c r="E29" s="449"/>
      <c r="F29" s="449"/>
      <c r="G29" s="449"/>
      <c r="H29" s="449"/>
    </row>
    <row r="30" spans="1:22" ht="23.25" customHeight="1" x14ac:dyDescent="0.25">
      <c r="A30" s="449"/>
      <c r="B30" s="449"/>
      <c r="C30" s="449"/>
      <c r="D30" s="449"/>
      <c r="E30" s="449"/>
      <c r="F30" s="449"/>
      <c r="G30" s="449"/>
      <c r="H30" s="449"/>
    </row>
    <row r="31" spans="1:22" ht="23.25" customHeight="1" x14ac:dyDescent="0.25">
      <c r="A31" s="449"/>
      <c r="B31" s="449"/>
      <c r="C31" s="449"/>
      <c r="D31" s="449"/>
      <c r="E31" s="449"/>
      <c r="F31" s="449"/>
      <c r="G31" s="449"/>
      <c r="H31" s="449"/>
    </row>
    <row r="32" spans="1:22" ht="23.25" customHeight="1" x14ac:dyDescent="0.25">
      <c r="A32" s="449"/>
      <c r="B32" s="449"/>
      <c r="C32" s="449"/>
      <c r="D32" s="449"/>
      <c r="E32" s="449"/>
      <c r="F32" s="449"/>
      <c r="G32" s="449"/>
      <c r="H32" s="449"/>
    </row>
    <row r="33" spans="1:8" ht="23.25" customHeight="1" x14ac:dyDescent="0.25">
      <c r="A33" s="449"/>
      <c r="B33" s="449"/>
      <c r="C33" s="449"/>
      <c r="D33" s="449"/>
      <c r="E33" s="449"/>
      <c r="F33" s="449"/>
      <c r="G33" s="449"/>
      <c r="H33" s="449"/>
    </row>
    <row r="34" spans="1:8" ht="23.25" customHeight="1" x14ac:dyDescent="0.25">
      <c r="A34" s="449"/>
      <c r="B34" s="449"/>
      <c r="C34" s="449"/>
      <c r="D34" s="449"/>
      <c r="E34" s="449"/>
      <c r="F34" s="449"/>
      <c r="G34" s="449"/>
      <c r="H34" s="449"/>
    </row>
    <row r="35" spans="1:8" ht="23.25" customHeight="1" x14ac:dyDescent="0.25">
      <c r="A35" s="449"/>
      <c r="B35" s="449"/>
      <c r="C35" s="449"/>
      <c r="D35" s="449"/>
      <c r="E35" s="449"/>
      <c r="F35" s="449"/>
      <c r="G35" s="449"/>
      <c r="H35" s="449"/>
    </row>
    <row r="36" spans="1:8" ht="23.25" customHeight="1" x14ac:dyDescent="0.25">
      <c r="A36" s="449"/>
      <c r="B36" s="449"/>
      <c r="C36" s="449"/>
      <c r="D36" s="449"/>
      <c r="E36" s="449"/>
      <c r="F36" s="449"/>
      <c r="G36" s="449"/>
      <c r="H36" s="449"/>
    </row>
    <row r="37" spans="1:8" ht="23.25" customHeight="1" x14ac:dyDescent="0.25">
      <c r="A37" s="449"/>
      <c r="B37" s="449"/>
      <c r="C37" s="449"/>
      <c r="D37" s="449"/>
      <c r="E37" s="449"/>
      <c r="F37" s="449"/>
      <c r="G37" s="449"/>
      <c r="H37" s="449"/>
    </row>
    <row r="38" spans="1:8" ht="23.25" customHeight="1" x14ac:dyDescent="0.25">
      <c r="A38" s="449"/>
      <c r="B38" s="449"/>
      <c r="C38" s="449"/>
      <c r="D38" s="449"/>
      <c r="E38" s="449"/>
      <c r="F38" s="449"/>
      <c r="G38" s="449"/>
      <c r="H38" s="449"/>
    </row>
    <row r="39" spans="1:8" ht="23.25" customHeight="1" x14ac:dyDescent="0.25">
      <c r="A39" s="449"/>
      <c r="B39" s="449"/>
      <c r="C39" s="449"/>
      <c r="D39" s="449"/>
      <c r="E39" s="449"/>
      <c r="F39" s="449"/>
      <c r="G39" s="449"/>
      <c r="H39" s="449"/>
    </row>
    <row r="40" spans="1:8" ht="23.25" customHeight="1" x14ac:dyDescent="0.25">
      <c r="A40" s="449"/>
      <c r="B40" s="449"/>
      <c r="C40" s="449"/>
      <c r="D40" s="449"/>
      <c r="E40" s="449"/>
      <c r="F40" s="449"/>
      <c r="G40" s="449"/>
      <c r="H40" s="449"/>
    </row>
    <row r="41" spans="1:8" ht="23.25" customHeight="1" x14ac:dyDescent="0.25">
      <c r="A41" s="449"/>
      <c r="B41" s="449"/>
      <c r="C41" s="449"/>
      <c r="D41" s="449"/>
      <c r="E41" s="449"/>
      <c r="F41" s="449"/>
      <c r="G41" s="449"/>
      <c r="H41" s="449"/>
    </row>
    <row r="42" spans="1:8" ht="23.25" customHeight="1" x14ac:dyDescent="0.25">
      <c r="A42" s="449"/>
      <c r="B42" s="449"/>
      <c r="C42" s="449"/>
      <c r="D42" s="449"/>
      <c r="E42" s="449"/>
      <c r="F42" s="449"/>
      <c r="G42" s="449"/>
      <c r="H42" s="449"/>
    </row>
    <row r="43" spans="1:8" ht="23.25" customHeight="1" x14ac:dyDescent="0.25">
      <c r="A43" s="449"/>
      <c r="B43" s="449"/>
      <c r="C43" s="449"/>
      <c r="D43" s="449"/>
      <c r="E43" s="449"/>
      <c r="F43" s="449"/>
      <c r="G43" s="449"/>
      <c r="H43" s="449"/>
    </row>
    <row r="44" spans="1:8" ht="23.25" customHeight="1" x14ac:dyDescent="0.25">
      <c r="A44" s="449"/>
      <c r="B44" s="449"/>
      <c r="C44" s="449"/>
      <c r="D44" s="449"/>
      <c r="E44" s="449"/>
      <c r="F44" s="449"/>
      <c r="G44" s="449"/>
      <c r="H44" s="449"/>
    </row>
    <row r="45" spans="1:8" ht="23.25" customHeight="1" x14ac:dyDescent="0.25">
      <c r="A45" s="449"/>
      <c r="B45" s="449"/>
      <c r="C45" s="449"/>
      <c r="D45" s="449"/>
      <c r="E45" s="449"/>
      <c r="F45" s="449"/>
      <c r="G45" s="449"/>
      <c r="H45" s="449"/>
    </row>
    <row r="46" spans="1:8" ht="23.25" customHeight="1" x14ac:dyDescent="0.25">
      <c r="A46" s="449"/>
      <c r="B46" s="449"/>
      <c r="C46" s="449"/>
      <c r="D46" s="449"/>
      <c r="E46" s="449"/>
      <c r="F46" s="449"/>
      <c r="G46" s="449"/>
      <c r="H46" s="449"/>
    </row>
    <row r="47" spans="1:8" ht="23.25" customHeight="1" x14ac:dyDescent="0.25">
      <c r="A47" s="449"/>
      <c r="B47" s="449"/>
      <c r="C47" s="449"/>
      <c r="D47" s="449"/>
      <c r="E47" s="449"/>
      <c r="F47" s="449"/>
      <c r="G47" s="449"/>
      <c r="H47" s="449"/>
    </row>
    <row r="48" spans="1:8" ht="23.25" customHeight="1" x14ac:dyDescent="0.25">
      <c r="A48" s="449"/>
      <c r="B48" s="449"/>
      <c r="C48" s="449"/>
      <c r="D48" s="449"/>
      <c r="E48" s="449"/>
      <c r="F48" s="449"/>
      <c r="G48" s="449"/>
      <c r="H48" s="449"/>
    </row>
    <row r="49" spans="1:8" ht="23.25" customHeight="1" x14ac:dyDescent="0.25">
      <c r="A49" s="449"/>
      <c r="B49" s="449"/>
      <c r="C49" s="449"/>
      <c r="D49" s="449"/>
      <c r="E49" s="449"/>
      <c r="F49" s="449"/>
      <c r="G49" s="449"/>
      <c r="H49" s="449"/>
    </row>
    <row r="50" spans="1:8" ht="23.25" customHeight="1" x14ac:dyDescent="0.25">
      <c r="A50" s="449"/>
      <c r="B50" s="449"/>
      <c r="C50" s="449"/>
      <c r="D50" s="449"/>
      <c r="E50" s="449"/>
      <c r="F50" s="449"/>
      <c r="G50" s="449"/>
      <c r="H50" s="449"/>
    </row>
    <row r="51" spans="1:8" ht="23.25" customHeight="1" x14ac:dyDescent="0.25">
      <c r="A51" s="449"/>
      <c r="B51" s="449"/>
      <c r="C51" s="449"/>
      <c r="D51" s="449"/>
      <c r="E51" s="449"/>
      <c r="F51" s="449"/>
      <c r="G51" s="449"/>
      <c r="H51" s="449"/>
    </row>
    <row r="52" spans="1:8" ht="23.25" customHeight="1" x14ac:dyDescent="0.25">
      <c r="A52" s="449"/>
      <c r="B52" s="449"/>
      <c r="C52" s="449"/>
      <c r="D52" s="449"/>
      <c r="E52" s="449"/>
      <c r="F52" s="449"/>
      <c r="G52" s="449"/>
      <c r="H52" s="449"/>
    </row>
    <row r="53" spans="1:8" ht="23.25" customHeight="1" x14ac:dyDescent="0.25">
      <c r="A53" s="449"/>
      <c r="B53" s="449"/>
      <c r="C53" s="449"/>
      <c r="D53" s="449"/>
      <c r="E53" s="449"/>
      <c r="F53" s="449"/>
      <c r="G53" s="449"/>
      <c r="H53" s="449"/>
    </row>
    <row r="54" spans="1:8" ht="23.25" customHeight="1" x14ac:dyDescent="0.25">
      <c r="A54" s="449"/>
      <c r="B54" s="449"/>
      <c r="C54" s="449"/>
      <c r="D54" s="449"/>
      <c r="E54" s="449"/>
      <c r="F54" s="449"/>
      <c r="G54" s="449"/>
      <c r="H54" s="449"/>
    </row>
    <row r="55" spans="1:8" ht="23.25" customHeight="1" x14ac:dyDescent="0.25">
      <c r="A55" s="449"/>
      <c r="B55" s="449"/>
      <c r="C55" s="449"/>
      <c r="D55" s="449"/>
      <c r="E55" s="449"/>
      <c r="F55" s="449"/>
      <c r="G55" s="449"/>
      <c r="H55" s="449"/>
    </row>
    <row r="56" spans="1:8" ht="23.25" customHeight="1" x14ac:dyDescent="0.25">
      <c r="A56" s="449"/>
      <c r="B56" s="449"/>
      <c r="C56" s="449"/>
      <c r="D56" s="449"/>
      <c r="E56" s="449"/>
      <c r="F56" s="449"/>
      <c r="G56" s="449"/>
      <c r="H56" s="449"/>
    </row>
    <row r="57" spans="1:8" ht="23.25" customHeight="1" x14ac:dyDescent="0.25">
      <c r="A57" s="449"/>
      <c r="B57" s="449"/>
      <c r="C57" s="449"/>
      <c r="D57" s="449"/>
      <c r="E57" s="449"/>
      <c r="F57" s="449"/>
      <c r="G57" s="449"/>
      <c r="H57" s="449"/>
    </row>
    <row r="58" spans="1:8" ht="23.25" customHeight="1" x14ac:dyDescent="0.25">
      <c r="A58" s="449"/>
      <c r="B58" s="449"/>
      <c r="C58" s="449"/>
      <c r="D58" s="449"/>
      <c r="E58" s="449"/>
      <c r="F58" s="449"/>
      <c r="G58" s="449"/>
      <c r="H58" s="449"/>
    </row>
    <row r="59" spans="1:8" ht="23.25" customHeight="1" x14ac:dyDescent="0.25">
      <c r="A59" s="449"/>
      <c r="B59" s="449"/>
      <c r="C59" s="449"/>
      <c r="D59" s="449"/>
      <c r="E59" s="449"/>
      <c r="F59" s="449"/>
      <c r="G59" s="449"/>
      <c r="H59" s="449"/>
    </row>
    <row r="60" spans="1:8" ht="23.25" customHeight="1" x14ac:dyDescent="0.25">
      <c r="A60" s="449"/>
      <c r="B60" s="449"/>
      <c r="C60" s="449"/>
      <c r="D60" s="449"/>
      <c r="E60" s="449"/>
      <c r="F60" s="449"/>
      <c r="G60" s="449"/>
      <c r="H60" s="449"/>
    </row>
    <row r="61" spans="1:8" ht="23.25" customHeight="1" x14ac:dyDescent="0.25">
      <c r="A61" s="449"/>
      <c r="B61" s="449"/>
      <c r="C61" s="449"/>
      <c r="D61" s="449"/>
      <c r="E61" s="449"/>
      <c r="F61" s="449"/>
      <c r="G61" s="449"/>
      <c r="H61" s="449"/>
    </row>
    <row r="62" spans="1:8" ht="23.25" customHeight="1" x14ac:dyDescent="0.25">
      <c r="A62" s="449"/>
      <c r="B62" s="449"/>
      <c r="C62" s="449"/>
      <c r="D62" s="449"/>
      <c r="E62" s="449"/>
      <c r="F62" s="449"/>
      <c r="G62" s="449"/>
      <c r="H62" s="449"/>
    </row>
    <row r="63" spans="1:8" ht="23.25" customHeight="1" x14ac:dyDescent="0.25">
      <c r="A63" s="449"/>
      <c r="B63" s="449"/>
      <c r="C63" s="449"/>
      <c r="D63" s="449"/>
      <c r="E63" s="449"/>
      <c r="F63" s="449"/>
      <c r="G63" s="449"/>
      <c r="H63" s="449"/>
    </row>
    <row r="64" spans="1:8" ht="23.25" customHeight="1" x14ac:dyDescent="0.25">
      <c r="A64" s="449"/>
      <c r="B64" s="449"/>
      <c r="C64" s="449"/>
      <c r="D64" s="449"/>
      <c r="E64" s="449"/>
      <c r="F64" s="449"/>
      <c r="G64" s="449"/>
      <c r="H64" s="449"/>
    </row>
    <row r="65" spans="1:8" ht="23.25" customHeight="1" x14ac:dyDescent="0.25">
      <c r="A65" s="449"/>
      <c r="B65" s="449"/>
      <c r="C65" s="449"/>
      <c r="D65" s="449"/>
      <c r="E65" s="449"/>
      <c r="F65" s="449"/>
      <c r="G65" s="449"/>
      <c r="H65" s="449"/>
    </row>
    <row r="66" spans="1:8" ht="23.25" customHeight="1" x14ac:dyDescent="0.25">
      <c r="A66" s="449"/>
      <c r="B66" s="449"/>
      <c r="C66" s="449"/>
      <c r="D66" s="449"/>
      <c r="E66" s="449"/>
      <c r="F66" s="449"/>
      <c r="G66" s="449"/>
      <c r="H66" s="449"/>
    </row>
    <row r="67" spans="1:8" ht="23.25" customHeight="1" x14ac:dyDescent="0.25">
      <c r="A67" s="449"/>
      <c r="B67" s="449"/>
      <c r="C67" s="449"/>
      <c r="D67" s="449"/>
      <c r="E67" s="449"/>
      <c r="F67" s="449"/>
      <c r="G67" s="449"/>
      <c r="H67" s="449"/>
    </row>
    <row r="68" spans="1:8" ht="23.25" customHeight="1" x14ac:dyDescent="0.25">
      <c r="A68" s="449"/>
      <c r="B68" s="449"/>
      <c r="C68" s="449"/>
      <c r="D68" s="449"/>
      <c r="E68" s="449"/>
      <c r="F68" s="449"/>
      <c r="G68" s="449"/>
      <c r="H68" s="449"/>
    </row>
    <row r="69" spans="1:8" ht="23.25" customHeight="1" x14ac:dyDescent="0.25">
      <c r="A69" s="449"/>
      <c r="B69" s="449"/>
      <c r="C69" s="449"/>
      <c r="D69" s="449"/>
      <c r="E69" s="449"/>
      <c r="F69" s="449"/>
      <c r="G69" s="449"/>
      <c r="H69" s="449"/>
    </row>
    <row r="70" spans="1:8" ht="23.25" customHeight="1" x14ac:dyDescent="0.25">
      <c r="A70" s="449"/>
      <c r="B70" s="449"/>
      <c r="C70" s="449"/>
      <c r="D70" s="449"/>
      <c r="E70" s="449"/>
      <c r="F70" s="449"/>
      <c r="G70" s="449"/>
      <c r="H70" s="449"/>
    </row>
    <row r="71" spans="1:8" ht="23.25" customHeight="1" x14ac:dyDescent="0.25">
      <c r="A71" s="449"/>
      <c r="B71" s="449"/>
      <c r="C71" s="449"/>
      <c r="D71" s="449"/>
      <c r="E71" s="449"/>
      <c r="F71" s="449"/>
      <c r="G71" s="449"/>
      <c r="H71" s="449"/>
    </row>
    <row r="72" spans="1:8" ht="23.25" customHeight="1" x14ac:dyDescent="0.25">
      <c r="A72" s="449"/>
      <c r="B72" s="449"/>
      <c r="C72" s="449"/>
      <c r="D72" s="449"/>
      <c r="E72" s="449"/>
      <c r="F72" s="449"/>
      <c r="G72" s="449"/>
      <c r="H72" s="449"/>
    </row>
    <row r="73" spans="1:8" ht="23.25" customHeight="1" x14ac:dyDescent="0.25">
      <c r="A73" s="449"/>
      <c r="B73" s="449"/>
      <c r="C73" s="449"/>
      <c r="D73" s="449"/>
      <c r="E73" s="449"/>
      <c r="F73" s="449"/>
      <c r="G73" s="449"/>
      <c r="H73" s="449"/>
    </row>
    <row r="74" spans="1:8" ht="23.25" customHeight="1" x14ac:dyDescent="0.25">
      <c r="A74" s="449"/>
      <c r="B74" s="449"/>
      <c r="C74" s="449"/>
      <c r="D74" s="449"/>
      <c r="E74" s="449"/>
      <c r="F74" s="449"/>
      <c r="G74" s="449"/>
      <c r="H74" s="449"/>
    </row>
  </sheetData>
  <sheetProtection objects="1"/>
  <mergeCells count="12">
    <mergeCell ref="A9:A10"/>
    <mergeCell ref="E9:F9"/>
    <mergeCell ref="G9:H9"/>
    <mergeCell ref="C9:D9"/>
    <mergeCell ref="B9:B10"/>
    <mergeCell ref="Q9:R9"/>
    <mergeCell ref="S9:T9"/>
    <mergeCell ref="U9:V9"/>
    <mergeCell ref="I9:J9"/>
    <mergeCell ref="K9:L9"/>
    <mergeCell ref="M9:N9"/>
    <mergeCell ref="O9:P9"/>
  </mergeCells>
  <phoneticPr fontId="0" type="noConversion"/>
  <pageMargins left="0.61" right="0.78740157499999996" top="0.48" bottom="0.13" header="0.49212598499999999" footer="0.49212598499999999"/>
  <pageSetup paperSize="9" scale="96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3">
    <pageSetUpPr fitToPage="1"/>
  </sheetPr>
  <dimension ref="A1:V72"/>
  <sheetViews>
    <sheetView view="pageBreakPreview" topLeftCell="A4" zoomScale="80" zoomScaleNormal="100" workbookViewId="0">
      <selection activeCell="C11" sqref="C11:C17"/>
    </sheetView>
  </sheetViews>
  <sheetFormatPr defaultRowHeight="23.25" customHeight="1" x14ac:dyDescent="0.25"/>
  <cols>
    <col min="1" max="1" width="30.26953125" customWidth="1"/>
    <col min="2" max="2" width="5.1796875" customWidth="1"/>
    <col min="3" max="3" width="12.26953125" bestFit="1" customWidth="1"/>
    <col min="4" max="22" width="4.81640625" customWidth="1"/>
    <col min="23" max="59" width="4.1796875" customWidth="1"/>
  </cols>
  <sheetData>
    <row r="1" spans="1:22" ht="13.5" customHeight="1" x14ac:dyDescent="0.25">
      <c r="A1" t="str">
        <f>TECNOLOGIAS!A1</f>
        <v>Proponente: TransPolitécnica</v>
      </c>
    </row>
    <row r="2" spans="1:22" ht="13.5" customHeight="1" x14ac:dyDescent="0.25">
      <c r="A2" t="str">
        <f>TECNOLOGIAS!A2</f>
        <v>Área de Concessão: 5 (Cinco)</v>
      </c>
    </row>
    <row r="4" spans="1:22" ht="23.25" customHeight="1" x14ac:dyDescent="0.3">
      <c r="A4" s="438" t="s">
        <v>668</v>
      </c>
      <c r="B4" s="438"/>
      <c r="C4" s="439"/>
    </row>
    <row r="6" spans="1:22" s="3" customFormat="1" ht="23.25" customHeight="1" x14ac:dyDescent="0.25">
      <c r="A6" s="482" t="s">
        <v>476</v>
      </c>
      <c r="B6" s="454"/>
      <c r="C6" s="449"/>
      <c r="D6" s="449"/>
      <c r="E6" s="449"/>
      <c r="F6" s="449"/>
      <c r="G6" s="449"/>
      <c r="H6" s="449"/>
    </row>
    <row r="7" spans="1:22" ht="23.25" customHeight="1" x14ac:dyDescent="0.25">
      <c r="A7" s="317" t="s">
        <v>568</v>
      </c>
      <c r="B7" s="317"/>
      <c r="C7" s="317"/>
      <c r="D7" s="317"/>
      <c r="E7" s="317"/>
      <c r="F7" s="317"/>
      <c r="G7" s="317"/>
      <c r="H7" s="317"/>
    </row>
    <row r="8" spans="1:22" ht="23.25" customHeight="1" x14ac:dyDescent="0.3">
      <c r="A8" s="440"/>
      <c r="B8" s="440"/>
      <c r="C8" s="317"/>
      <c r="D8" s="317"/>
      <c r="E8" s="317"/>
      <c r="F8" s="317"/>
      <c r="G8" s="317"/>
      <c r="H8" s="317"/>
    </row>
    <row r="9" spans="1:22" ht="23.25" customHeight="1" x14ac:dyDescent="0.25">
      <c r="A9" s="697" t="s">
        <v>569</v>
      </c>
      <c r="B9" s="695" t="s">
        <v>764</v>
      </c>
      <c r="C9" s="694" t="s">
        <v>570</v>
      </c>
      <c r="D9" s="693"/>
      <c r="E9" s="691" t="s">
        <v>571</v>
      </c>
      <c r="F9" s="691"/>
      <c r="G9" s="691" t="s">
        <v>572</v>
      </c>
      <c r="H9" s="691"/>
      <c r="I9" s="691" t="s">
        <v>573</v>
      </c>
      <c r="J9" s="691"/>
      <c r="K9" s="691" t="s">
        <v>574</v>
      </c>
      <c r="L9" s="691"/>
      <c r="M9" s="691" t="s">
        <v>575</v>
      </c>
      <c r="N9" s="691"/>
      <c r="O9" s="691" t="s">
        <v>576</v>
      </c>
      <c r="P9" s="691"/>
      <c r="Q9" s="691" t="s">
        <v>577</v>
      </c>
      <c r="R9" s="691"/>
      <c r="S9" s="691" t="s">
        <v>578</v>
      </c>
      <c r="T9" s="691"/>
      <c r="U9" s="691" t="s">
        <v>579</v>
      </c>
      <c r="V9" s="691"/>
    </row>
    <row r="10" spans="1:22" ht="23.25" customHeight="1" x14ac:dyDescent="0.25">
      <c r="A10" s="698"/>
      <c r="B10" s="696"/>
      <c r="C10" s="442" t="s">
        <v>580</v>
      </c>
      <c r="D10" s="442" t="s">
        <v>581</v>
      </c>
      <c r="E10" s="442" t="s">
        <v>582</v>
      </c>
      <c r="F10" s="442" t="s">
        <v>583</v>
      </c>
      <c r="G10" s="442" t="s">
        <v>584</v>
      </c>
      <c r="H10" s="442" t="s">
        <v>585</v>
      </c>
      <c r="I10" s="442" t="s">
        <v>586</v>
      </c>
      <c r="J10" s="442" t="s">
        <v>587</v>
      </c>
      <c r="K10" s="442" t="s">
        <v>588</v>
      </c>
      <c r="L10" s="442" t="s">
        <v>589</v>
      </c>
      <c r="M10" s="442" t="s">
        <v>590</v>
      </c>
      <c r="N10" s="442" t="s">
        <v>591</v>
      </c>
      <c r="O10" s="442" t="s">
        <v>592</v>
      </c>
      <c r="P10" s="442" t="s">
        <v>593</v>
      </c>
      <c r="Q10" s="442" t="s">
        <v>594</v>
      </c>
      <c r="R10" s="442" t="s">
        <v>595</v>
      </c>
      <c r="S10" s="442" t="s">
        <v>596</v>
      </c>
      <c r="T10" s="442" t="s">
        <v>597</v>
      </c>
      <c r="U10" s="442" t="s">
        <v>598</v>
      </c>
      <c r="V10" s="442" t="s">
        <v>599</v>
      </c>
    </row>
    <row r="11" spans="1:22" ht="23.25" customHeight="1" x14ac:dyDescent="0.25">
      <c r="A11" s="457" t="s">
        <v>662</v>
      </c>
      <c r="B11" s="457"/>
      <c r="C11" s="626">
        <f t="shared" ref="C11:C16" si="0">$C$17/6</f>
        <v>47131.666666666664</v>
      </c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</row>
    <row r="12" spans="1:22" ht="23.25" customHeight="1" x14ac:dyDescent="0.25">
      <c r="A12" s="457" t="s">
        <v>663</v>
      </c>
      <c r="B12" s="457"/>
      <c r="C12" s="626">
        <f t="shared" si="0"/>
        <v>47131.666666666664</v>
      </c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  <c r="V12" s="444"/>
    </row>
    <row r="13" spans="1:22" ht="23.25" customHeight="1" x14ac:dyDescent="0.25">
      <c r="A13" s="457" t="s">
        <v>664</v>
      </c>
      <c r="B13" s="457"/>
      <c r="C13" s="626">
        <f t="shared" si="0"/>
        <v>47131.666666666664</v>
      </c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  <c r="V13" s="444"/>
    </row>
    <row r="14" spans="1:22" ht="23.25" customHeight="1" x14ac:dyDescent="0.25">
      <c r="A14" s="457" t="s">
        <v>665</v>
      </c>
      <c r="B14" s="457"/>
      <c r="C14" s="626">
        <f t="shared" si="0"/>
        <v>47131.666666666664</v>
      </c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</row>
    <row r="15" spans="1:22" ht="23.25" customHeight="1" x14ac:dyDescent="0.25">
      <c r="A15" s="457" t="s">
        <v>666</v>
      </c>
      <c r="B15" s="457"/>
      <c r="C15" s="626">
        <f t="shared" si="0"/>
        <v>47131.666666666664</v>
      </c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444"/>
      <c r="U15" s="444"/>
      <c r="V15" s="444"/>
    </row>
    <row r="16" spans="1:22" ht="23.25" customHeight="1" x14ac:dyDescent="0.25">
      <c r="A16" s="458" t="s">
        <v>667</v>
      </c>
      <c r="B16" s="458"/>
      <c r="C16" s="626">
        <f t="shared" si="0"/>
        <v>47131.666666666664</v>
      </c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U16" s="444"/>
      <c r="V16" s="444"/>
    </row>
    <row r="17" spans="1:22" ht="23.25" customHeight="1" x14ac:dyDescent="0.3">
      <c r="A17" s="459" t="s">
        <v>614</v>
      </c>
      <c r="B17" s="445">
        <f>SUM(B11:B16)</f>
        <v>0</v>
      </c>
      <c r="C17" s="627">
        <f>140395+142395</f>
        <v>282790</v>
      </c>
      <c r="D17" s="445">
        <f t="shared" ref="D17:V17" si="1">SUM(D11:D16)</f>
        <v>0</v>
      </c>
      <c r="E17" s="445">
        <f t="shared" si="1"/>
        <v>0</v>
      </c>
      <c r="F17" s="445">
        <f t="shared" si="1"/>
        <v>0</v>
      </c>
      <c r="G17" s="445">
        <f t="shared" si="1"/>
        <v>0</v>
      </c>
      <c r="H17" s="445">
        <f t="shared" si="1"/>
        <v>0</v>
      </c>
      <c r="I17" s="445">
        <f t="shared" si="1"/>
        <v>0</v>
      </c>
      <c r="J17" s="445">
        <f t="shared" si="1"/>
        <v>0</v>
      </c>
      <c r="K17" s="445">
        <f t="shared" si="1"/>
        <v>0</v>
      </c>
      <c r="L17" s="445">
        <f t="shared" si="1"/>
        <v>0</v>
      </c>
      <c r="M17" s="445">
        <f t="shared" si="1"/>
        <v>0</v>
      </c>
      <c r="N17" s="445">
        <f t="shared" si="1"/>
        <v>0</v>
      </c>
      <c r="O17" s="445">
        <f t="shared" si="1"/>
        <v>0</v>
      </c>
      <c r="P17" s="445">
        <f t="shared" si="1"/>
        <v>0</v>
      </c>
      <c r="Q17" s="445">
        <f t="shared" si="1"/>
        <v>0</v>
      </c>
      <c r="R17" s="445">
        <f t="shared" si="1"/>
        <v>0</v>
      </c>
      <c r="S17" s="445">
        <f t="shared" si="1"/>
        <v>0</v>
      </c>
      <c r="T17" s="445">
        <f t="shared" si="1"/>
        <v>0</v>
      </c>
      <c r="U17" s="445">
        <f t="shared" si="1"/>
        <v>0</v>
      </c>
      <c r="V17" s="445">
        <f t="shared" si="1"/>
        <v>0</v>
      </c>
    </row>
    <row r="18" spans="1:22" ht="23.25" customHeight="1" x14ac:dyDescent="0.25">
      <c r="A18" s="449"/>
      <c r="B18" s="449"/>
      <c r="C18" s="449"/>
      <c r="D18" s="449"/>
      <c r="E18" s="449"/>
      <c r="F18" s="449"/>
      <c r="G18" s="449"/>
      <c r="H18" s="449"/>
    </row>
    <row r="19" spans="1:22" ht="23.25" customHeight="1" x14ac:dyDescent="0.25">
      <c r="A19" t="s">
        <v>447</v>
      </c>
      <c r="C19" s="449"/>
      <c r="D19" s="449"/>
      <c r="E19" s="449"/>
      <c r="F19" s="449"/>
      <c r="G19" s="449"/>
      <c r="H19" s="449"/>
    </row>
    <row r="20" spans="1:22" ht="23.25" customHeight="1" x14ac:dyDescent="0.25">
      <c r="A20" s="449"/>
      <c r="B20" s="449"/>
      <c r="C20" s="449"/>
      <c r="D20" s="449"/>
      <c r="E20" s="449"/>
      <c r="F20" s="449"/>
      <c r="G20" s="449"/>
      <c r="H20" s="449"/>
    </row>
    <row r="21" spans="1:22" ht="23.25" customHeight="1" x14ac:dyDescent="0.25">
      <c r="A21" s="449"/>
      <c r="B21" s="449"/>
      <c r="C21" s="449"/>
      <c r="D21" s="449"/>
      <c r="E21" s="449"/>
      <c r="F21" s="449"/>
      <c r="G21" s="449"/>
      <c r="H21" s="449"/>
    </row>
    <row r="22" spans="1:22" ht="23.25" customHeight="1" x14ac:dyDescent="0.25">
      <c r="A22" s="449"/>
      <c r="B22" s="449"/>
      <c r="C22" s="449"/>
      <c r="D22" s="449"/>
      <c r="E22" s="449"/>
      <c r="F22" s="449"/>
      <c r="G22" s="449"/>
      <c r="H22" s="449"/>
    </row>
    <row r="23" spans="1:22" ht="23.25" customHeight="1" x14ac:dyDescent="0.25">
      <c r="A23" s="449"/>
      <c r="B23" s="449"/>
      <c r="C23" s="449"/>
      <c r="D23" s="449"/>
      <c r="E23" s="449"/>
      <c r="F23" s="449"/>
      <c r="G23" s="449"/>
      <c r="H23" s="449"/>
    </row>
    <row r="24" spans="1:22" ht="23.25" customHeight="1" x14ac:dyDescent="0.25">
      <c r="A24" s="449"/>
      <c r="B24" s="449"/>
      <c r="C24" s="449"/>
      <c r="D24" s="449"/>
      <c r="E24" s="449"/>
      <c r="F24" s="449"/>
      <c r="G24" s="449"/>
      <c r="H24" s="449"/>
    </row>
    <row r="25" spans="1:22" ht="23.25" customHeight="1" x14ac:dyDescent="0.25">
      <c r="A25" s="449"/>
      <c r="B25" s="449"/>
      <c r="C25" s="449"/>
      <c r="D25" s="449"/>
      <c r="E25" s="449"/>
      <c r="F25" s="449"/>
      <c r="G25" s="449"/>
      <c r="H25" s="449"/>
    </row>
    <row r="26" spans="1:22" ht="23.25" customHeight="1" x14ac:dyDescent="0.25">
      <c r="A26" s="449"/>
      <c r="B26" s="449"/>
      <c r="C26" s="449"/>
      <c r="D26" s="449"/>
      <c r="E26" s="449"/>
      <c r="F26" s="449"/>
      <c r="G26" s="449"/>
      <c r="H26" s="449"/>
    </row>
    <row r="27" spans="1:22" ht="23.25" customHeight="1" x14ac:dyDescent="0.25">
      <c r="A27" s="449"/>
      <c r="B27" s="449"/>
      <c r="C27" s="449"/>
      <c r="D27" s="449"/>
      <c r="E27" s="449"/>
      <c r="F27" s="449"/>
      <c r="G27" s="449"/>
      <c r="H27" s="449"/>
    </row>
    <row r="28" spans="1:22" ht="23.25" customHeight="1" x14ac:dyDescent="0.25">
      <c r="A28" s="449"/>
      <c r="B28" s="449"/>
      <c r="C28" s="449"/>
      <c r="D28" s="449"/>
      <c r="E28" s="449"/>
      <c r="F28" s="449"/>
      <c r="G28" s="449"/>
      <c r="H28" s="449"/>
    </row>
    <row r="29" spans="1:22" ht="23.25" customHeight="1" x14ac:dyDescent="0.25">
      <c r="A29" s="449"/>
      <c r="B29" s="449"/>
      <c r="C29" s="449"/>
      <c r="D29" s="449"/>
      <c r="E29" s="449"/>
      <c r="F29" s="449"/>
      <c r="G29" s="449"/>
      <c r="H29" s="449"/>
    </row>
    <row r="30" spans="1:22" ht="23.25" customHeight="1" x14ac:dyDescent="0.25">
      <c r="A30" s="449"/>
      <c r="B30" s="449"/>
      <c r="C30" s="449"/>
      <c r="D30" s="449"/>
      <c r="E30" s="449"/>
      <c r="F30" s="449"/>
      <c r="G30" s="449"/>
      <c r="H30" s="449"/>
    </row>
    <row r="31" spans="1:22" ht="23.25" customHeight="1" x14ac:dyDescent="0.25">
      <c r="A31" s="449"/>
      <c r="B31" s="449"/>
      <c r="C31" s="449"/>
      <c r="D31" s="449"/>
      <c r="E31" s="449"/>
      <c r="F31" s="449"/>
      <c r="G31" s="449"/>
      <c r="H31" s="449"/>
    </row>
    <row r="32" spans="1:22" ht="23.25" customHeight="1" x14ac:dyDescent="0.25">
      <c r="A32" s="449"/>
      <c r="B32" s="449"/>
      <c r="C32" s="449"/>
      <c r="D32" s="449"/>
      <c r="E32" s="449"/>
      <c r="F32" s="449"/>
      <c r="G32" s="449"/>
      <c r="H32" s="449"/>
    </row>
    <row r="33" spans="1:8" ht="23.25" customHeight="1" x14ac:dyDescent="0.25">
      <c r="A33" s="449"/>
      <c r="B33" s="449"/>
      <c r="C33" s="449"/>
      <c r="D33" s="449"/>
      <c r="E33" s="449"/>
      <c r="F33" s="449"/>
      <c r="G33" s="449"/>
      <c r="H33" s="449"/>
    </row>
    <row r="34" spans="1:8" ht="23.25" customHeight="1" x14ac:dyDescent="0.25">
      <c r="A34" s="449"/>
      <c r="B34" s="449"/>
      <c r="C34" s="449"/>
      <c r="D34" s="449"/>
      <c r="E34" s="449"/>
      <c r="F34" s="449"/>
      <c r="G34" s="449"/>
      <c r="H34" s="449"/>
    </row>
    <row r="35" spans="1:8" ht="23.25" customHeight="1" x14ac:dyDescent="0.25">
      <c r="A35" s="449"/>
      <c r="B35" s="449"/>
      <c r="C35" s="449"/>
      <c r="D35" s="449"/>
      <c r="E35" s="449"/>
      <c r="F35" s="449"/>
      <c r="G35" s="449"/>
      <c r="H35" s="449"/>
    </row>
    <row r="36" spans="1:8" ht="23.25" customHeight="1" x14ac:dyDescent="0.25">
      <c r="A36" s="449"/>
      <c r="B36" s="449"/>
      <c r="C36" s="449"/>
      <c r="D36" s="449"/>
      <c r="E36" s="449"/>
      <c r="F36" s="449"/>
      <c r="G36" s="449"/>
      <c r="H36" s="449"/>
    </row>
    <row r="37" spans="1:8" ht="23.25" customHeight="1" x14ac:dyDescent="0.25">
      <c r="A37" s="449"/>
      <c r="B37" s="449"/>
      <c r="C37" s="449"/>
      <c r="D37" s="449"/>
      <c r="E37" s="449"/>
      <c r="F37" s="449"/>
      <c r="G37" s="449"/>
      <c r="H37" s="449"/>
    </row>
    <row r="38" spans="1:8" ht="23.25" customHeight="1" x14ac:dyDescent="0.25">
      <c r="A38" s="449"/>
      <c r="B38" s="449"/>
      <c r="C38" s="449"/>
      <c r="D38" s="449"/>
      <c r="E38" s="449"/>
      <c r="F38" s="449"/>
      <c r="G38" s="449"/>
      <c r="H38" s="449"/>
    </row>
    <row r="39" spans="1:8" ht="23.25" customHeight="1" x14ac:dyDescent="0.25">
      <c r="A39" s="449"/>
      <c r="B39" s="449"/>
      <c r="C39" s="449"/>
      <c r="D39" s="449"/>
      <c r="E39" s="449"/>
      <c r="F39" s="449"/>
      <c r="G39" s="449"/>
      <c r="H39" s="449"/>
    </row>
    <row r="40" spans="1:8" ht="23.25" customHeight="1" x14ac:dyDescent="0.25">
      <c r="A40" s="449"/>
      <c r="B40" s="449"/>
      <c r="C40" s="449"/>
      <c r="D40" s="449"/>
      <c r="E40" s="449"/>
      <c r="F40" s="449"/>
      <c r="G40" s="449"/>
      <c r="H40" s="449"/>
    </row>
    <row r="41" spans="1:8" ht="23.25" customHeight="1" x14ac:dyDescent="0.25">
      <c r="A41" s="449"/>
      <c r="B41" s="449"/>
      <c r="C41" s="449"/>
      <c r="D41" s="449"/>
      <c r="E41" s="449"/>
      <c r="F41" s="449"/>
      <c r="G41" s="449"/>
      <c r="H41" s="449"/>
    </row>
    <row r="42" spans="1:8" ht="23.25" customHeight="1" x14ac:dyDescent="0.25">
      <c r="A42" s="449"/>
      <c r="B42" s="449"/>
      <c r="C42" s="449"/>
      <c r="D42" s="449"/>
      <c r="E42" s="449"/>
      <c r="F42" s="449"/>
      <c r="G42" s="449"/>
      <c r="H42" s="449"/>
    </row>
    <row r="43" spans="1:8" ht="23.25" customHeight="1" x14ac:dyDescent="0.25">
      <c r="A43" s="449"/>
      <c r="B43" s="449"/>
      <c r="C43" s="449"/>
      <c r="D43" s="449"/>
      <c r="E43" s="449"/>
      <c r="F43" s="449"/>
      <c r="G43" s="449"/>
      <c r="H43" s="449"/>
    </row>
    <row r="44" spans="1:8" ht="23.25" customHeight="1" x14ac:dyDescent="0.25">
      <c r="A44" s="449"/>
      <c r="B44" s="449"/>
      <c r="C44" s="449"/>
      <c r="D44" s="449"/>
      <c r="E44" s="449"/>
      <c r="F44" s="449"/>
      <c r="G44" s="449"/>
      <c r="H44" s="449"/>
    </row>
    <row r="45" spans="1:8" ht="23.25" customHeight="1" x14ac:dyDescent="0.25">
      <c r="A45" s="449"/>
      <c r="B45" s="449"/>
      <c r="C45" s="449"/>
      <c r="D45" s="449"/>
      <c r="E45" s="449"/>
      <c r="F45" s="449"/>
      <c r="G45" s="449"/>
      <c r="H45" s="449"/>
    </row>
    <row r="46" spans="1:8" ht="23.25" customHeight="1" x14ac:dyDescent="0.25">
      <c r="A46" s="449"/>
      <c r="B46" s="449"/>
      <c r="C46" s="449"/>
      <c r="D46" s="449"/>
      <c r="E46" s="449"/>
      <c r="F46" s="449"/>
      <c r="G46" s="449"/>
      <c r="H46" s="449"/>
    </row>
    <row r="47" spans="1:8" ht="23.25" customHeight="1" x14ac:dyDescent="0.25">
      <c r="A47" s="449"/>
      <c r="B47" s="449"/>
      <c r="C47" s="449"/>
      <c r="D47" s="449"/>
      <c r="E47" s="449"/>
      <c r="F47" s="449"/>
      <c r="G47" s="449"/>
      <c r="H47" s="449"/>
    </row>
    <row r="48" spans="1:8" ht="23.25" customHeight="1" x14ac:dyDescent="0.25">
      <c r="A48" s="449"/>
      <c r="B48" s="449"/>
      <c r="C48" s="449"/>
      <c r="D48" s="449"/>
      <c r="E48" s="449"/>
      <c r="F48" s="449"/>
      <c r="G48" s="449"/>
      <c r="H48" s="449"/>
    </row>
    <row r="49" spans="1:8" ht="23.25" customHeight="1" x14ac:dyDescent="0.25">
      <c r="A49" s="449"/>
      <c r="B49" s="449"/>
      <c r="C49" s="449"/>
      <c r="D49" s="449"/>
      <c r="E49" s="449"/>
      <c r="F49" s="449"/>
      <c r="G49" s="449"/>
      <c r="H49" s="449"/>
    </row>
    <row r="50" spans="1:8" ht="23.25" customHeight="1" x14ac:dyDescent="0.25">
      <c r="A50" s="449"/>
      <c r="B50" s="449"/>
      <c r="C50" s="449"/>
      <c r="D50" s="449"/>
      <c r="E50" s="449"/>
      <c r="F50" s="449"/>
      <c r="G50" s="449"/>
      <c r="H50" s="449"/>
    </row>
    <row r="51" spans="1:8" ht="23.25" customHeight="1" x14ac:dyDescent="0.25">
      <c r="A51" s="449"/>
      <c r="B51" s="449"/>
      <c r="C51" s="449"/>
      <c r="D51" s="449"/>
      <c r="E51" s="449"/>
      <c r="F51" s="449"/>
      <c r="G51" s="449"/>
      <c r="H51" s="449"/>
    </row>
    <row r="52" spans="1:8" ht="23.25" customHeight="1" x14ac:dyDescent="0.25">
      <c r="A52" s="449"/>
      <c r="B52" s="449"/>
      <c r="C52" s="449"/>
      <c r="D52" s="449"/>
      <c r="E52" s="449"/>
      <c r="F52" s="449"/>
      <c r="G52" s="449"/>
      <c r="H52" s="449"/>
    </row>
    <row r="53" spans="1:8" ht="23.25" customHeight="1" x14ac:dyDescent="0.25">
      <c r="A53" s="449"/>
      <c r="B53" s="449"/>
      <c r="C53" s="449"/>
      <c r="D53" s="449"/>
      <c r="E53" s="449"/>
      <c r="F53" s="449"/>
      <c r="G53" s="449"/>
      <c r="H53" s="449"/>
    </row>
    <row r="54" spans="1:8" ht="23.25" customHeight="1" x14ac:dyDescent="0.25">
      <c r="A54" s="449"/>
      <c r="B54" s="449"/>
      <c r="C54" s="449"/>
      <c r="D54" s="449"/>
      <c r="E54" s="449"/>
      <c r="F54" s="449"/>
      <c r="G54" s="449"/>
      <c r="H54" s="449"/>
    </row>
    <row r="55" spans="1:8" ht="23.25" customHeight="1" x14ac:dyDescent="0.25">
      <c r="A55" s="449"/>
      <c r="B55" s="449"/>
      <c r="C55" s="449"/>
      <c r="D55" s="449"/>
      <c r="E55" s="449"/>
      <c r="F55" s="449"/>
      <c r="G55" s="449"/>
      <c r="H55" s="449"/>
    </row>
    <row r="56" spans="1:8" ht="23.25" customHeight="1" x14ac:dyDescent="0.25">
      <c r="A56" s="449"/>
      <c r="B56" s="449"/>
      <c r="C56" s="449"/>
      <c r="D56" s="449"/>
      <c r="E56" s="449"/>
      <c r="F56" s="449"/>
      <c r="G56" s="449"/>
      <c r="H56" s="449"/>
    </row>
    <row r="57" spans="1:8" ht="23.25" customHeight="1" x14ac:dyDescent="0.25">
      <c r="A57" s="449"/>
      <c r="B57" s="449"/>
      <c r="C57" s="449"/>
      <c r="D57" s="449"/>
      <c r="E57" s="449"/>
      <c r="F57" s="449"/>
      <c r="G57" s="449"/>
      <c r="H57" s="449"/>
    </row>
    <row r="58" spans="1:8" ht="23.25" customHeight="1" x14ac:dyDescent="0.25">
      <c r="A58" s="449"/>
      <c r="B58" s="449"/>
      <c r="C58" s="449"/>
      <c r="D58" s="449"/>
      <c r="E58" s="449"/>
      <c r="F58" s="449"/>
      <c r="G58" s="449"/>
      <c r="H58" s="449"/>
    </row>
    <row r="59" spans="1:8" ht="23.25" customHeight="1" x14ac:dyDescent="0.25">
      <c r="A59" s="449"/>
      <c r="B59" s="449"/>
      <c r="C59" s="449"/>
      <c r="D59" s="449"/>
      <c r="E59" s="449"/>
      <c r="F59" s="449"/>
      <c r="G59" s="449"/>
      <c r="H59" s="449"/>
    </row>
    <row r="60" spans="1:8" ht="23.25" customHeight="1" x14ac:dyDescent="0.25">
      <c r="A60" s="449"/>
      <c r="B60" s="449"/>
      <c r="C60" s="449"/>
      <c r="D60" s="449"/>
      <c r="E60" s="449"/>
      <c r="F60" s="449"/>
      <c r="G60" s="449"/>
      <c r="H60" s="449"/>
    </row>
    <row r="61" spans="1:8" ht="23.25" customHeight="1" x14ac:dyDescent="0.25">
      <c r="A61" s="449"/>
      <c r="B61" s="449"/>
      <c r="C61" s="449"/>
      <c r="D61" s="449"/>
      <c r="E61" s="449"/>
      <c r="F61" s="449"/>
      <c r="G61" s="449"/>
      <c r="H61" s="449"/>
    </row>
    <row r="62" spans="1:8" ht="23.25" customHeight="1" x14ac:dyDescent="0.25">
      <c r="A62" s="449"/>
      <c r="B62" s="449"/>
      <c r="C62" s="449"/>
      <c r="D62" s="449"/>
      <c r="E62" s="449"/>
      <c r="F62" s="449"/>
      <c r="G62" s="449"/>
      <c r="H62" s="449"/>
    </row>
    <row r="63" spans="1:8" ht="23.25" customHeight="1" x14ac:dyDescent="0.25">
      <c r="A63" s="449"/>
      <c r="B63" s="449"/>
      <c r="C63" s="449"/>
      <c r="D63" s="449"/>
      <c r="E63" s="449"/>
      <c r="F63" s="449"/>
      <c r="G63" s="449"/>
      <c r="H63" s="449"/>
    </row>
    <row r="64" spans="1:8" ht="23.25" customHeight="1" x14ac:dyDescent="0.25">
      <c r="A64" s="449"/>
      <c r="B64" s="449"/>
      <c r="C64" s="449"/>
      <c r="D64" s="449"/>
      <c r="E64" s="449"/>
      <c r="F64" s="449"/>
      <c r="G64" s="449"/>
      <c r="H64" s="449"/>
    </row>
    <row r="65" spans="1:8" ht="23.25" customHeight="1" x14ac:dyDescent="0.25">
      <c r="A65" s="449"/>
      <c r="B65" s="449"/>
      <c r="C65" s="449"/>
      <c r="D65" s="449"/>
      <c r="E65" s="449"/>
      <c r="F65" s="449"/>
      <c r="G65" s="449"/>
      <c r="H65" s="449"/>
    </row>
    <row r="66" spans="1:8" ht="23.25" customHeight="1" x14ac:dyDescent="0.25">
      <c r="A66" s="449"/>
      <c r="B66" s="449"/>
      <c r="C66" s="449"/>
      <c r="D66" s="449"/>
      <c r="E66" s="449"/>
      <c r="F66" s="449"/>
      <c r="G66" s="449"/>
      <c r="H66" s="449"/>
    </row>
    <row r="67" spans="1:8" ht="23.25" customHeight="1" x14ac:dyDescent="0.25">
      <c r="A67" s="449"/>
      <c r="B67" s="449"/>
      <c r="C67" s="449"/>
      <c r="D67" s="449"/>
      <c r="E67" s="449"/>
      <c r="F67" s="449"/>
      <c r="G67" s="449"/>
      <c r="H67" s="449"/>
    </row>
    <row r="68" spans="1:8" ht="23.25" customHeight="1" x14ac:dyDescent="0.25">
      <c r="A68" s="449"/>
      <c r="B68" s="449"/>
      <c r="C68" s="449"/>
      <c r="D68" s="449"/>
      <c r="E68" s="449"/>
      <c r="F68" s="449"/>
      <c r="G68" s="449"/>
      <c r="H68" s="449"/>
    </row>
    <row r="69" spans="1:8" ht="23.25" customHeight="1" x14ac:dyDescent="0.25">
      <c r="A69" s="449"/>
      <c r="B69" s="449"/>
      <c r="C69" s="449"/>
      <c r="D69" s="449"/>
      <c r="E69" s="449"/>
      <c r="F69" s="449"/>
      <c r="G69" s="449"/>
      <c r="H69" s="449"/>
    </row>
    <row r="70" spans="1:8" ht="23.25" customHeight="1" x14ac:dyDescent="0.25">
      <c r="A70" s="449"/>
      <c r="B70" s="449"/>
      <c r="C70" s="449"/>
      <c r="D70" s="449"/>
      <c r="E70" s="449"/>
      <c r="F70" s="449"/>
      <c r="G70" s="449"/>
      <c r="H70" s="449"/>
    </row>
    <row r="71" spans="1:8" ht="23.25" customHeight="1" x14ac:dyDescent="0.25">
      <c r="A71" s="449"/>
      <c r="B71" s="449"/>
      <c r="C71" s="449"/>
      <c r="D71" s="449"/>
      <c r="E71" s="449"/>
      <c r="F71" s="449"/>
      <c r="G71" s="449"/>
      <c r="H71" s="449"/>
    </row>
    <row r="72" spans="1:8" ht="23.25" customHeight="1" x14ac:dyDescent="0.25">
      <c r="A72" s="449"/>
      <c r="B72" s="449"/>
      <c r="C72" s="449"/>
      <c r="D72" s="449"/>
      <c r="E72" s="449"/>
      <c r="F72" s="449"/>
      <c r="G72" s="449"/>
      <c r="H72" s="449"/>
    </row>
  </sheetData>
  <sheetProtection objects="1"/>
  <mergeCells count="12">
    <mergeCell ref="U9:V9"/>
    <mergeCell ref="G9:H9"/>
    <mergeCell ref="I9:J9"/>
    <mergeCell ref="K9:L9"/>
    <mergeCell ref="M9:N9"/>
    <mergeCell ref="O9:P9"/>
    <mergeCell ref="Q9:R9"/>
    <mergeCell ref="S9:T9"/>
    <mergeCell ref="A9:A10"/>
    <mergeCell ref="E9:F9"/>
    <mergeCell ref="B9:B10"/>
    <mergeCell ref="C9:D9"/>
  </mergeCells>
  <phoneticPr fontId="0" type="noConversion"/>
  <pageMargins left="0.61" right="0.78740157499999996" top="0.48" bottom="0.13" header="0.49212598499999999" footer="0.49212598499999999"/>
  <pageSetup paperSize="9" scale="96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4">
    <pageSetUpPr fitToPage="1"/>
  </sheetPr>
  <dimension ref="A1:V70"/>
  <sheetViews>
    <sheetView view="pageBreakPreview" zoomScale="60" zoomScaleNormal="100" workbookViewId="0">
      <selection activeCell="I11" sqref="I11:I17"/>
    </sheetView>
  </sheetViews>
  <sheetFormatPr defaultRowHeight="23.25" customHeight="1" x14ac:dyDescent="0.25"/>
  <cols>
    <col min="1" max="1" width="30.26953125" customWidth="1"/>
    <col min="2" max="2" width="5.54296875" customWidth="1"/>
    <col min="3" max="8" width="4.81640625" customWidth="1"/>
    <col min="9" max="9" width="13.453125" bestFit="1" customWidth="1"/>
    <col min="10" max="22" width="4.81640625" customWidth="1"/>
    <col min="23" max="59" width="4.1796875" customWidth="1"/>
  </cols>
  <sheetData>
    <row r="1" spans="1:22" ht="13.5" customHeight="1" x14ac:dyDescent="0.25">
      <c r="A1" t="str">
        <f>TECNOLOGIAS!A1</f>
        <v>Proponente: TransPolitécnica</v>
      </c>
    </row>
    <row r="2" spans="1:22" ht="13.5" customHeight="1" x14ac:dyDescent="0.25">
      <c r="A2" t="str">
        <f>TECNOLOGIAS!A2</f>
        <v>Área de Concessão: 5 (Cinco)</v>
      </c>
    </row>
    <row r="4" spans="1:22" ht="23.25" customHeight="1" x14ac:dyDescent="0.3">
      <c r="A4" s="438" t="s">
        <v>669</v>
      </c>
      <c r="B4" s="438"/>
      <c r="C4" s="439"/>
    </row>
    <row r="6" spans="1:22" s="3" customFormat="1" ht="23.25" customHeight="1" x14ac:dyDescent="0.25">
      <c r="A6" s="482" t="s">
        <v>477</v>
      </c>
      <c r="B6" s="454"/>
      <c r="C6" s="449"/>
      <c r="D6" s="449"/>
      <c r="E6" s="449"/>
      <c r="F6" s="449"/>
      <c r="G6" s="449"/>
      <c r="H6" s="449"/>
    </row>
    <row r="7" spans="1:22" ht="23.25" customHeight="1" x14ac:dyDescent="0.25">
      <c r="A7" s="317" t="s">
        <v>568</v>
      </c>
      <c r="B7" s="317"/>
      <c r="C7" s="449"/>
      <c r="D7" s="449"/>
      <c r="E7" s="449"/>
      <c r="F7" s="449"/>
      <c r="G7" s="449"/>
      <c r="H7" s="449"/>
    </row>
    <row r="8" spans="1:22" ht="23.25" customHeight="1" x14ac:dyDescent="0.25">
      <c r="A8" s="317"/>
      <c r="B8" s="317"/>
      <c r="C8" s="449"/>
      <c r="D8" s="449"/>
      <c r="E8" s="449"/>
      <c r="F8" s="449"/>
      <c r="G8" s="449"/>
      <c r="H8" s="449"/>
    </row>
    <row r="9" spans="1:22" ht="23.25" customHeight="1" x14ac:dyDescent="0.25">
      <c r="A9" s="697" t="s">
        <v>569</v>
      </c>
      <c r="B9" s="695" t="s">
        <v>764</v>
      </c>
      <c r="C9" s="694" t="s">
        <v>570</v>
      </c>
      <c r="D9" s="693"/>
      <c r="E9" s="691" t="s">
        <v>571</v>
      </c>
      <c r="F9" s="691"/>
      <c r="G9" s="691" t="s">
        <v>572</v>
      </c>
      <c r="H9" s="691"/>
      <c r="I9" s="691" t="s">
        <v>573</v>
      </c>
      <c r="J9" s="691"/>
      <c r="K9" s="691" t="s">
        <v>574</v>
      </c>
      <c r="L9" s="691"/>
      <c r="M9" s="691" t="s">
        <v>575</v>
      </c>
      <c r="N9" s="691"/>
      <c r="O9" s="691" t="s">
        <v>576</v>
      </c>
      <c r="P9" s="691"/>
      <c r="Q9" s="691" t="s">
        <v>577</v>
      </c>
      <c r="R9" s="691"/>
      <c r="S9" s="691" t="s">
        <v>578</v>
      </c>
      <c r="T9" s="691"/>
      <c r="U9" s="691" t="s">
        <v>579</v>
      </c>
      <c r="V9" s="691"/>
    </row>
    <row r="10" spans="1:22" ht="23.25" customHeight="1" x14ac:dyDescent="0.25">
      <c r="A10" s="698"/>
      <c r="B10" s="696"/>
      <c r="C10" s="442" t="s">
        <v>580</v>
      </c>
      <c r="D10" s="442" t="s">
        <v>581</v>
      </c>
      <c r="E10" s="442" t="s">
        <v>582</v>
      </c>
      <c r="F10" s="442" t="s">
        <v>583</v>
      </c>
      <c r="G10" s="442" t="s">
        <v>584</v>
      </c>
      <c r="H10" s="442" t="s">
        <v>585</v>
      </c>
      <c r="I10" s="442" t="s">
        <v>586</v>
      </c>
      <c r="J10" s="442" t="s">
        <v>587</v>
      </c>
      <c r="K10" s="442" t="s">
        <v>588</v>
      </c>
      <c r="L10" s="442" t="s">
        <v>589</v>
      </c>
      <c r="M10" s="442" t="s">
        <v>590</v>
      </c>
      <c r="N10" s="442" t="s">
        <v>591</v>
      </c>
      <c r="O10" s="442" t="s">
        <v>592</v>
      </c>
      <c r="P10" s="442" t="s">
        <v>593</v>
      </c>
      <c r="Q10" s="442" t="s">
        <v>594</v>
      </c>
      <c r="R10" s="442" t="s">
        <v>595</v>
      </c>
      <c r="S10" s="442" t="s">
        <v>596</v>
      </c>
      <c r="T10" s="442" t="s">
        <v>597</v>
      </c>
      <c r="U10" s="442" t="s">
        <v>598</v>
      </c>
      <c r="V10" s="442" t="s">
        <v>599</v>
      </c>
    </row>
    <row r="11" spans="1:22" ht="23.25" customHeight="1" x14ac:dyDescent="0.25">
      <c r="A11" s="457" t="s">
        <v>662</v>
      </c>
      <c r="B11" s="457"/>
      <c r="C11" s="444"/>
      <c r="D11" s="444"/>
      <c r="E11" s="444"/>
      <c r="F11" s="444"/>
      <c r="G11" s="444"/>
      <c r="H11" s="444"/>
      <c r="I11" s="626">
        <f t="shared" ref="I11:I16" si="0">$I$17/6</f>
        <v>46798.333333333336</v>
      </c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</row>
    <row r="12" spans="1:22" ht="23.25" customHeight="1" x14ac:dyDescent="0.25">
      <c r="A12" s="457" t="s">
        <v>663</v>
      </c>
      <c r="B12" s="457"/>
      <c r="C12" s="444"/>
      <c r="D12" s="444"/>
      <c r="E12" s="444"/>
      <c r="F12" s="444"/>
      <c r="G12" s="444"/>
      <c r="H12" s="444"/>
      <c r="I12" s="626">
        <f t="shared" si="0"/>
        <v>46798.333333333336</v>
      </c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  <c r="V12" s="444"/>
    </row>
    <row r="13" spans="1:22" ht="23.25" customHeight="1" x14ac:dyDescent="0.25">
      <c r="A13" s="457" t="s">
        <v>664</v>
      </c>
      <c r="B13" s="457"/>
      <c r="C13" s="444"/>
      <c r="D13" s="444"/>
      <c r="E13" s="444"/>
      <c r="F13" s="444"/>
      <c r="G13" s="444"/>
      <c r="H13" s="444"/>
      <c r="I13" s="626">
        <f t="shared" si="0"/>
        <v>46798.333333333336</v>
      </c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  <c r="V13" s="444"/>
    </row>
    <row r="14" spans="1:22" ht="23.25" customHeight="1" x14ac:dyDescent="0.25">
      <c r="A14" s="457" t="s">
        <v>665</v>
      </c>
      <c r="B14" s="457"/>
      <c r="C14" s="444"/>
      <c r="D14" s="444"/>
      <c r="E14" s="444"/>
      <c r="F14" s="444"/>
      <c r="G14" s="444"/>
      <c r="H14" s="444"/>
      <c r="I14" s="626">
        <f t="shared" si="0"/>
        <v>46798.333333333336</v>
      </c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</row>
    <row r="15" spans="1:22" ht="23.25" customHeight="1" x14ac:dyDescent="0.25">
      <c r="A15" s="457" t="s">
        <v>666</v>
      </c>
      <c r="B15" s="457"/>
      <c r="C15" s="444"/>
      <c r="D15" s="444"/>
      <c r="E15" s="444"/>
      <c r="F15" s="444"/>
      <c r="G15" s="444"/>
      <c r="H15" s="444"/>
      <c r="I15" s="626">
        <f t="shared" si="0"/>
        <v>46798.333333333336</v>
      </c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444"/>
      <c r="U15" s="444"/>
      <c r="V15" s="444"/>
    </row>
    <row r="16" spans="1:22" ht="23.25" customHeight="1" x14ac:dyDescent="0.25">
      <c r="A16" s="458" t="s">
        <v>667</v>
      </c>
      <c r="B16" s="458"/>
      <c r="C16" s="444"/>
      <c r="D16" s="444"/>
      <c r="E16" s="444"/>
      <c r="F16" s="444"/>
      <c r="G16" s="444"/>
      <c r="H16" s="444"/>
      <c r="I16" s="626">
        <f t="shared" si="0"/>
        <v>46798.333333333336</v>
      </c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U16" s="444"/>
      <c r="V16" s="444"/>
    </row>
    <row r="17" spans="1:22" ht="23.25" customHeight="1" x14ac:dyDescent="0.3">
      <c r="A17" s="459" t="s">
        <v>614</v>
      </c>
      <c r="B17" s="445">
        <f>SUM(B11:B16)</f>
        <v>0</v>
      </c>
      <c r="C17" s="445">
        <f>SUM(C11:C16)</f>
        <v>0</v>
      </c>
      <c r="D17" s="445">
        <f t="shared" ref="D17:V17" si="1">SUM(D11:D16)</f>
        <v>0</v>
      </c>
      <c r="E17" s="445">
        <f t="shared" si="1"/>
        <v>0</v>
      </c>
      <c r="F17" s="445">
        <f t="shared" si="1"/>
        <v>0</v>
      </c>
      <c r="G17" s="445">
        <f t="shared" si="1"/>
        <v>0</v>
      </c>
      <c r="H17" s="445">
        <f t="shared" si="1"/>
        <v>0</v>
      </c>
      <c r="I17" s="627">
        <v>280790</v>
      </c>
      <c r="J17" s="445">
        <f t="shared" si="1"/>
        <v>0</v>
      </c>
      <c r="K17" s="445">
        <f t="shared" si="1"/>
        <v>0</v>
      </c>
      <c r="L17" s="445">
        <f t="shared" si="1"/>
        <v>0</v>
      </c>
      <c r="M17" s="445">
        <f t="shared" si="1"/>
        <v>0</v>
      </c>
      <c r="N17" s="445">
        <f t="shared" si="1"/>
        <v>0</v>
      </c>
      <c r="O17" s="445">
        <f t="shared" si="1"/>
        <v>0</v>
      </c>
      <c r="P17" s="445">
        <f t="shared" si="1"/>
        <v>0</v>
      </c>
      <c r="Q17" s="445">
        <f t="shared" si="1"/>
        <v>0</v>
      </c>
      <c r="R17" s="445">
        <f t="shared" si="1"/>
        <v>0</v>
      </c>
      <c r="S17" s="445">
        <f t="shared" si="1"/>
        <v>0</v>
      </c>
      <c r="T17" s="445">
        <f t="shared" si="1"/>
        <v>0</v>
      </c>
      <c r="U17" s="445">
        <f t="shared" si="1"/>
        <v>0</v>
      </c>
      <c r="V17" s="445">
        <f t="shared" si="1"/>
        <v>0</v>
      </c>
    </row>
    <row r="18" spans="1:22" ht="23.25" customHeight="1" x14ac:dyDescent="0.25">
      <c r="A18" s="449"/>
      <c r="B18" s="449"/>
      <c r="C18" s="449"/>
      <c r="D18" s="449"/>
      <c r="E18" s="449"/>
      <c r="F18" s="449"/>
      <c r="G18" s="449"/>
      <c r="H18" s="449"/>
    </row>
    <row r="19" spans="1:22" ht="23.25" customHeight="1" x14ac:dyDescent="0.25">
      <c r="A19" t="s">
        <v>447</v>
      </c>
      <c r="C19" s="449"/>
      <c r="D19" s="449"/>
      <c r="E19" s="449"/>
      <c r="F19" s="449"/>
      <c r="G19" s="449"/>
      <c r="H19" s="449"/>
    </row>
    <row r="20" spans="1:22" ht="23.25" customHeight="1" x14ac:dyDescent="0.25">
      <c r="A20" s="449"/>
      <c r="B20" s="449"/>
      <c r="C20" s="449"/>
      <c r="D20" s="449"/>
      <c r="E20" s="449"/>
      <c r="F20" s="449"/>
      <c r="G20" s="449"/>
      <c r="H20" s="449"/>
    </row>
    <row r="21" spans="1:22" ht="23.25" customHeight="1" x14ac:dyDescent="0.25">
      <c r="A21" s="449"/>
      <c r="B21" s="449"/>
      <c r="C21" s="449"/>
      <c r="D21" s="449"/>
      <c r="E21" s="449"/>
      <c r="F21" s="449"/>
      <c r="G21" s="449"/>
      <c r="H21" s="449"/>
    </row>
    <row r="22" spans="1:22" ht="23.25" customHeight="1" x14ac:dyDescent="0.25">
      <c r="A22" s="449"/>
      <c r="B22" s="449"/>
      <c r="C22" s="449"/>
      <c r="D22" s="449"/>
      <c r="E22" s="449"/>
      <c r="F22" s="449"/>
      <c r="G22" s="449"/>
      <c r="H22" s="449"/>
    </row>
    <row r="23" spans="1:22" ht="23.25" customHeight="1" x14ac:dyDescent="0.25">
      <c r="A23" s="449"/>
      <c r="B23" s="449"/>
      <c r="C23" s="449"/>
      <c r="D23" s="449"/>
      <c r="E23" s="449"/>
      <c r="F23" s="449"/>
      <c r="G23" s="449"/>
      <c r="H23" s="449"/>
    </row>
    <row r="24" spans="1:22" ht="23.25" customHeight="1" x14ac:dyDescent="0.25">
      <c r="A24" s="449"/>
      <c r="B24" s="449"/>
      <c r="C24" s="449"/>
      <c r="D24" s="449"/>
      <c r="E24" s="449"/>
      <c r="F24" s="449"/>
      <c r="G24" s="449"/>
      <c r="H24" s="449"/>
    </row>
    <row r="25" spans="1:22" ht="23.25" customHeight="1" x14ac:dyDescent="0.25">
      <c r="A25" s="449"/>
      <c r="B25" s="449"/>
      <c r="C25" s="449"/>
      <c r="D25" s="449"/>
      <c r="E25" s="449"/>
      <c r="F25" s="449"/>
      <c r="G25" s="449"/>
      <c r="H25" s="449"/>
    </row>
    <row r="26" spans="1:22" ht="23.25" customHeight="1" x14ac:dyDescent="0.25">
      <c r="A26" s="449"/>
      <c r="B26" s="449"/>
      <c r="C26" s="449"/>
      <c r="D26" s="449"/>
      <c r="E26" s="449"/>
      <c r="F26" s="449"/>
      <c r="G26" s="449"/>
      <c r="H26" s="449"/>
    </row>
    <row r="27" spans="1:22" ht="23.25" customHeight="1" x14ac:dyDescent="0.25">
      <c r="A27" s="449"/>
      <c r="B27" s="449"/>
      <c r="C27" s="449"/>
      <c r="D27" s="449"/>
      <c r="E27" s="449"/>
      <c r="F27" s="449"/>
      <c r="G27" s="449"/>
      <c r="H27" s="449"/>
    </row>
    <row r="28" spans="1:22" ht="23.25" customHeight="1" x14ac:dyDescent="0.25">
      <c r="A28" s="449"/>
      <c r="B28" s="449"/>
      <c r="C28" s="449"/>
      <c r="D28" s="449"/>
      <c r="E28" s="449"/>
      <c r="F28" s="449"/>
      <c r="G28" s="449"/>
      <c r="H28" s="449"/>
    </row>
    <row r="29" spans="1:22" ht="23.25" customHeight="1" x14ac:dyDescent="0.25">
      <c r="A29" s="449"/>
      <c r="B29" s="449"/>
      <c r="C29" s="449"/>
      <c r="D29" s="449"/>
      <c r="E29" s="449"/>
      <c r="F29" s="449"/>
      <c r="G29" s="449"/>
      <c r="H29" s="449"/>
    </row>
    <row r="30" spans="1:22" ht="23.25" customHeight="1" x14ac:dyDescent="0.25">
      <c r="A30" s="449"/>
      <c r="B30" s="449"/>
      <c r="C30" s="449"/>
      <c r="D30" s="449"/>
      <c r="E30" s="449"/>
      <c r="F30" s="449"/>
      <c r="G30" s="449"/>
      <c r="H30" s="449"/>
    </row>
    <row r="31" spans="1:22" ht="23.25" customHeight="1" x14ac:dyDescent="0.25">
      <c r="A31" s="449"/>
      <c r="B31" s="449"/>
      <c r="C31" s="449"/>
      <c r="D31" s="449"/>
      <c r="E31" s="449"/>
      <c r="F31" s="449"/>
      <c r="G31" s="449"/>
      <c r="H31" s="449"/>
    </row>
    <row r="32" spans="1:22" ht="23.25" customHeight="1" x14ac:dyDescent="0.25">
      <c r="A32" s="449"/>
      <c r="B32" s="449"/>
      <c r="C32" s="449"/>
      <c r="D32" s="449"/>
      <c r="E32" s="449"/>
      <c r="F32" s="449"/>
      <c r="G32" s="449"/>
      <c r="H32" s="449"/>
    </row>
    <row r="33" spans="1:8" ht="23.25" customHeight="1" x14ac:dyDescent="0.25">
      <c r="A33" s="449"/>
      <c r="B33" s="449"/>
      <c r="C33" s="449"/>
      <c r="D33" s="449"/>
      <c r="E33" s="449"/>
      <c r="F33" s="449"/>
      <c r="G33" s="449"/>
      <c r="H33" s="449"/>
    </row>
    <row r="34" spans="1:8" ht="23.25" customHeight="1" x14ac:dyDescent="0.25">
      <c r="A34" s="449"/>
      <c r="B34" s="449"/>
      <c r="C34" s="449"/>
      <c r="D34" s="449"/>
      <c r="E34" s="449"/>
      <c r="F34" s="449"/>
      <c r="G34" s="449"/>
      <c r="H34" s="449"/>
    </row>
    <row r="35" spans="1:8" ht="23.25" customHeight="1" x14ac:dyDescent="0.25">
      <c r="A35" s="449"/>
      <c r="B35" s="449"/>
      <c r="C35" s="449"/>
      <c r="D35" s="449"/>
      <c r="E35" s="449"/>
      <c r="F35" s="449"/>
      <c r="G35" s="449"/>
      <c r="H35" s="449"/>
    </row>
    <row r="36" spans="1:8" ht="23.25" customHeight="1" x14ac:dyDescent="0.25">
      <c r="A36" s="449"/>
      <c r="B36" s="449"/>
      <c r="C36" s="449"/>
      <c r="D36" s="449"/>
      <c r="E36" s="449"/>
      <c r="F36" s="449"/>
      <c r="G36" s="449"/>
      <c r="H36" s="449"/>
    </row>
    <row r="37" spans="1:8" ht="23.25" customHeight="1" x14ac:dyDescent="0.25">
      <c r="A37" s="449"/>
      <c r="B37" s="449"/>
      <c r="C37" s="449"/>
      <c r="D37" s="449"/>
      <c r="E37" s="449"/>
      <c r="F37" s="449"/>
      <c r="G37" s="449"/>
      <c r="H37" s="449"/>
    </row>
    <row r="38" spans="1:8" ht="23.25" customHeight="1" x14ac:dyDescent="0.25">
      <c r="A38" s="449"/>
      <c r="B38" s="449"/>
      <c r="C38" s="449"/>
      <c r="D38" s="449"/>
      <c r="E38" s="449"/>
      <c r="F38" s="449"/>
      <c r="G38" s="449"/>
      <c r="H38" s="449"/>
    </row>
    <row r="39" spans="1:8" ht="23.25" customHeight="1" x14ac:dyDescent="0.25">
      <c r="A39" s="449"/>
      <c r="B39" s="449"/>
      <c r="C39" s="449"/>
      <c r="D39" s="449"/>
      <c r="E39" s="449"/>
      <c r="F39" s="449"/>
      <c r="G39" s="449"/>
      <c r="H39" s="449"/>
    </row>
    <row r="40" spans="1:8" ht="23.25" customHeight="1" x14ac:dyDescent="0.25">
      <c r="A40" s="449"/>
      <c r="B40" s="449"/>
      <c r="C40" s="449"/>
      <c r="D40" s="449"/>
      <c r="E40" s="449"/>
      <c r="F40" s="449"/>
      <c r="G40" s="449"/>
      <c r="H40" s="449"/>
    </row>
    <row r="41" spans="1:8" ht="23.25" customHeight="1" x14ac:dyDescent="0.25">
      <c r="A41" s="449"/>
      <c r="B41" s="449"/>
      <c r="C41" s="449"/>
      <c r="D41" s="449"/>
      <c r="E41" s="449"/>
      <c r="F41" s="449"/>
      <c r="G41" s="449"/>
      <c r="H41" s="449"/>
    </row>
    <row r="42" spans="1:8" ht="23.25" customHeight="1" x14ac:dyDescent="0.25">
      <c r="A42" s="449"/>
      <c r="B42" s="449"/>
      <c r="C42" s="449"/>
      <c r="D42" s="449"/>
      <c r="E42" s="449"/>
      <c r="F42" s="449"/>
      <c r="G42" s="449"/>
      <c r="H42" s="449"/>
    </row>
    <row r="43" spans="1:8" ht="23.25" customHeight="1" x14ac:dyDescent="0.25">
      <c r="A43" s="449"/>
      <c r="B43" s="449"/>
      <c r="C43" s="449"/>
      <c r="D43" s="449"/>
      <c r="E43" s="449"/>
      <c r="F43" s="449"/>
      <c r="G43" s="449"/>
      <c r="H43" s="449"/>
    </row>
    <row r="44" spans="1:8" ht="23.25" customHeight="1" x14ac:dyDescent="0.25">
      <c r="A44" s="449"/>
      <c r="B44" s="449"/>
      <c r="C44" s="449"/>
      <c r="D44" s="449"/>
      <c r="E44" s="449"/>
      <c r="F44" s="449"/>
      <c r="G44" s="449"/>
      <c r="H44" s="449"/>
    </row>
    <row r="45" spans="1:8" ht="23.25" customHeight="1" x14ac:dyDescent="0.25">
      <c r="A45" s="449"/>
      <c r="B45" s="449"/>
      <c r="C45" s="449"/>
      <c r="D45" s="449"/>
      <c r="E45" s="449"/>
      <c r="F45" s="449"/>
      <c r="G45" s="449"/>
      <c r="H45" s="449"/>
    </row>
    <row r="46" spans="1:8" ht="23.25" customHeight="1" x14ac:dyDescent="0.25">
      <c r="A46" s="449"/>
      <c r="B46" s="449"/>
      <c r="C46" s="449"/>
      <c r="D46" s="449"/>
      <c r="E46" s="449"/>
      <c r="F46" s="449"/>
      <c r="G46" s="449"/>
      <c r="H46" s="449"/>
    </row>
    <row r="47" spans="1:8" ht="23.25" customHeight="1" x14ac:dyDescent="0.25">
      <c r="A47" s="449"/>
      <c r="B47" s="449"/>
      <c r="C47" s="449"/>
      <c r="D47" s="449"/>
      <c r="E47" s="449"/>
      <c r="F47" s="449"/>
      <c r="G47" s="449"/>
      <c r="H47" s="449"/>
    </row>
    <row r="48" spans="1:8" ht="23.25" customHeight="1" x14ac:dyDescent="0.25">
      <c r="A48" s="449"/>
      <c r="B48" s="449"/>
      <c r="C48" s="449"/>
      <c r="D48" s="449"/>
      <c r="E48" s="449"/>
      <c r="F48" s="449"/>
      <c r="G48" s="449"/>
      <c r="H48" s="449"/>
    </row>
    <row r="49" spans="1:8" ht="23.25" customHeight="1" x14ac:dyDescent="0.25">
      <c r="A49" s="449"/>
      <c r="B49" s="449"/>
      <c r="C49" s="449"/>
      <c r="D49" s="449"/>
      <c r="E49" s="449"/>
      <c r="F49" s="449"/>
      <c r="G49" s="449"/>
      <c r="H49" s="449"/>
    </row>
    <row r="50" spans="1:8" ht="23.25" customHeight="1" x14ac:dyDescent="0.25">
      <c r="A50" s="449"/>
      <c r="B50" s="449"/>
      <c r="C50" s="449"/>
      <c r="D50" s="449"/>
      <c r="E50" s="449"/>
      <c r="F50" s="449"/>
      <c r="G50" s="449"/>
      <c r="H50" s="449"/>
    </row>
    <row r="51" spans="1:8" ht="23.25" customHeight="1" x14ac:dyDescent="0.25">
      <c r="A51" s="449"/>
      <c r="B51" s="449"/>
      <c r="C51" s="449"/>
      <c r="D51" s="449"/>
      <c r="E51" s="449"/>
      <c r="F51" s="449"/>
      <c r="G51" s="449"/>
      <c r="H51" s="449"/>
    </row>
    <row r="52" spans="1:8" ht="23.25" customHeight="1" x14ac:dyDescent="0.25">
      <c r="A52" s="449"/>
      <c r="B52" s="449"/>
      <c r="C52" s="449"/>
      <c r="D52" s="449"/>
      <c r="E52" s="449"/>
      <c r="F52" s="449"/>
      <c r="G52" s="449"/>
      <c r="H52" s="449"/>
    </row>
    <row r="53" spans="1:8" ht="23.25" customHeight="1" x14ac:dyDescent="0.25">
      <c r="A53" s="449"/>
      <c r="B53" s="449"/>
      <c r="C53" s="449"/>
      <c r="D53" s="449"/>
      <c r="E53" s="449"/>
      <c r="F53" s="449"/>
      <c r="G53" s="449"/>
      <c r="H53" s="449"/>
    </row>
    <row r="54" spans="1:8" ht="23.25" customHeight="1" x14ac:dyDescent="0.25">
      <c r="A54" s="449"/>
      <c r="B54" s="449"/>
      <c r="C54" s="449"/>
      <c r="D54" s="449"/>
      <c r="E54" s="449"/>
      <c r="F54" s="449"/>
      <c r="G54" s="449"/>
      <c r="H54" s="449"/>
    </row>
    <row r="55" spans="1:8" ht="23.25" customHeight="1" x14ac:dyDescent="0.25">
      <c r="A55" s="449"/>
      <c r="B55" s="449"/>
      <c r="C55" s="449"/>
      <c r="D55" s="449"/>
      <c r="E55" s="449"/>
      <c r="F55" s="449"/>
      <c r="G55" s="449"/>
      <c r="H55" s="449"/>
    </row>
    <row r="56" spans="1:8" ht="23.25" customHeight="1" x14ac:dyDescent="0.25">
      <c r="A56" s="449"/>
      <c r="B56" s="449"/>
      <c r="C56" s="449"/>
      <c r="D56" s="449"/>
      <c r="E56" s="449"/>
      <c r="F56" s="449"/>
      <c r="G56" s="449"/>
      <c r="H56" s="449"/>
    </row>
    <row r="57" spans="1:8" ht="23.25" customHeight="1" x14ac:dyDescent="0.25">
      <c r="A57" s="449"/>
      <c r="B57" s="449"/>
      <c r="C57" s="449"/>
      <c r="D57" s="449"/>
      <c r="E57" s="449"/>
      <c r="F57" s="449"/>
      <c r="G57" s="449"/>
      <c r="H57" s="449"/>
    </row>
    <row r="58" spans="1:8" ht="23.25" customHeight="1" x14ac:dyDescent="0.25">
      <c r="A58" s="449"/>
      <c r="B58" s="449"/>
      <c r="C58" s="449"/>
      <c r="D58" s="449"/>
      <c r="E58" s="449"/>
      <c r="F58" s="449"/>
      <c r="G58" s="449"/>
      <c r="H58" s="449"/>
    </row>
    <row r="59" spans="1:8" ht="23.25" customHeight="1" x14ac:dyDescent="0.25">
      <c r="A59" s="449"/>
      <c r="B59" s="449"/>
      <c r="C59" s="449"/>
      <c r="D59" s="449"/>
      <c r="E59" s="449"/>
      <c r="F59" s="449"/>
      <c r="G59" s="449"/>
      <c r="H59" s="449"/>
    </row>
    <row r="60" spans="1:8" ht="23.25" customHeight="1" x14ac:dyDescent="0.25">
      <c r="A60" s="449"/>
      <c r="B60" s="449"/>
      <c r="C60" s="449"/>
      <c r="D60" s="449"/>
      <c r="E60" s="449"/>
      <c r="F60" s="449"/>
      <c r="G60" s="449"/>
      <c r="H60" s="449"/>
    </row>
    <row r="61" spans="1:8" ht="23.25" customHeight="1" x14ac:dyDescent="0.25">
      <c r="A61" s="449"/>
      <c r="B61" s="449"/>
      <c r="C61" s="449"/>
      <c r="D61" s="449"/>
      <c r="E61" s="449"/>
      <c r="F61" s="449"/>
      <c r="G61" s="449"/>
      <c r="H61" s="449"/>
    </row>
    <row r="62" spans="1:8" ht="23.25" customHeight="1" x14ac:dyDescent="0.25">
      <c r="A62" s="449"/>
      <c r="B62" s="449"/>
      <c r="C62" s="449"/>
      <c r="D62" s="449"/>
      <c r="E62" s="449"/>
      <c r="F62" s="449"/>
      <c r="G62" s="449"/>
      <c r="H62" s="449"/>
    </row>
    <row r="63" spans="1:8" ht="23.25" customHeight="1" x14ac:dyDescent="0.25">
      <c r="A63" s="449"/>
      <c r="B63" s="449"/>
      <c r="C63" s="449"/>
      <c r="D63" s="449"/>
      <c r="E63" s="449"/>
      <c r="F63" s="449"/>
      <c r="G63" s="449"/>
      <c r="H63" s="449"/>
    </row>
    <row r="64" spans="1:8" ht="23.25" customHeight="1" x14ac:dyDescent="0.25">
      <c r="A64" s="449"/>
      <c r="B64" s="449"/>
      <c r="C64" s="449"/>
      <c r="D64" s="449"/>
      <c r="E64" s="449"/>
      <c r="F64" s="449"/>
      <c r="G64" s="449"/>
      <c r="H64" s="449"/>
    </row>
    <row r="65" spans="1:8" ht="23.25" customHeight="1" x14ac:dyDescent="0.25">
      <c r="A65" s="449"/>
      <c r="B65" s="449"/>
      <c r="C65" s="449"/>
      <c r="D65" s="449"/>
      <c r="E65" s="449"/>
      <c r="F65" s="449"/>
      <c r="G65" s="449"/>
      <c r="H65" s="449"/>
    </row>
    <row r="66" spans="1:8" ht="23.25" customHeight="1" x14ac:dyDescent="0.25">
      <c r="A66" s="449"/>
      <c r="B66" s="449"/>
      <c r="C66" s="449"/>
      <c r="D66" s="449"/>
      <c r="E66" s="449"/>
      <c r="F66" s="449"/>
      <c r="G66" s="449"/>
      <c r="H66" s="449"/>
    </row>
    <row r="67" spans="1:8" ht="23.25" customHeight="1" x14ac:dyDescent="0.25">
      <c r="A67" s="449"/>
      <c r="B67" s="449"/>
      <c r="C67" s="449"/>
      <c r="D67" s="449"/>
      <c r="E67" s="449"/>
      <c r="F67" s="449"/>
      <c r="G67" s="449"/>
      <c r="H67" s="449"/>
    </row>
    <row r="68" spans="1:8" ht="23.25" customHeight="1" x14ac:dyDescent="0.25">
      <c r="A68" s="449"/>
      <c r="B68" s="449"/>
      <c r="C68" s="449"/>
      <c r="D68" s="449"/>
      <c r="E68" s="449"/>
      <c r="F68" s="449"/>
      <c r="G68" s="449"/>
      <c r="H68" s="449"/>
    </row>
    <row r="69" spans="1:8" ht="23.25" customHeight="1" x14ac:dyDescent="0.25">
      <c r="A69" s="449"/>
      <c r="B69" s="449"/>
      <c r="C69" s="449"/>
      <c r="D69" s="449"/>
      <c r="E69" s="449"/>
      <c r="F69" s="449"/>
      <c r="G69" s="449"/>
      <c r="H69" s="449"/>
    </row>
    <row r="70" spans="1:8" ht="23.25" customHeight="1" x14ac:dyDescent="0.25">
      <c r="A70" s="449"/>
      <c r="B70" s="449"/>
      <c r="C70" s="449"/>
      <c r="D70" s="449"/>
      <c r="E70" s="449"/>
      <c r="F70" s="449"/>
      <c r="G70" s="449"/>
      <c r="H70" s="449"/>
    </row>
  </sheetData>
  <sheetProtection objects="1"/>
  <mergeCells count="12">
    <mergeCell ref="C9:D9"/>
    <mergeCell ref="B9:B10"/>
    <mergeCell ref="U9:V9"/>
    <mergeCell ref="I9:J9"/>
    <mergeCell ref="K9:L9"/>
    <mergeCell ref="M9:N9"/>
    <mergeCell ref="O9:P9"/>
    <mergeCell ref="A9:A10"/>
    <mergeCell ref="Q9:R9"/>
    <mergeCell ref="S9:T9"/>
    <mergeCell ref="E9:F9"/>
    <mergeCell ref="G9:H9"/>
  </mergeCells>
  <phoneticPr fontId="0" type="noConversion"/>
  <pageMargins left="0.61" right="0.78740157499999996" top="0.48" bottom="0.13" header="0.49212598499999999" footer="0.49212598499999999"/>
  <pageSetup paperSize="9" scale="95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5">
    <pageSetUpPr fitToPage="1"/>
  </sheetPr>
  <dimension ref="A1:V82"/>
  <sheetViews>
    <sheetView view="pageBreakPreview" zoomScale="60" zoomScaleNormal="100" workbookViewId="0"/>
  </sheetViews>
  <sheetFormatPr defaultRowHeight="23.25" customHeight="1" x14ac:dyDescent="0.25"/>
  <cols>
    <col min="1" max="1" width="30.26953125" customWidth="1"/>
    <col min="2" max="3" width="17" bestFit="1" customWidth="1"/>
    <col min="4" max="8" width="4.81640625" customWidth="1"/>
    <col min="9" max="9" width="17" bestFit="1" customWidth="1"/>
    <col min="10" max="22" width="4.81640625" customWidth="1"/>
    <col min="23" max="59" width="4.1796875" customWidth="1"/>
  </cols>
  <sheetData>
    <row r="1" spans="1:22" ht="13.5" customHeight="1" x14ac:dyDescent="0.25">
      <c r="A1" t="str">
        <f>TECNOLOGIAS!A1</f>
        <v>Proponente: TransPolitécnica</v>
      </c>
    </row>
    <row r="2" spans="1:22" ht="13.5" customHeight="1" x14ac:dyDescent="0.25">
      <c r="A2" t="str">
        <f>TECNOLOGIAS!A2</f>
        <v>Área de Concessão: 5 (Cinco)</v>
      </c>
    </row>
    <row r="4" spans="1:22" ht="23.25" customHeight="1" x14ac:dyDescent="0.3">
      <c r="A4" s="438" t="s">
        <v>670</v>
      </c>
      <c r="B4" s="438"/>
      <c r="C4" s="439"/>
    </row>
    <row r="6" spans="1:22" s="3" customFormat="1" ht="23.25" customHeight="1" x14ac:dyDescent="0.25">
      <c r="A6" s="482" t="s">
        <v>671</v>
      </c>
      <c r="B6" s="454"/>
      <c r="C6" s="449"/>
      <c r="D6" s="449"/>
      <c r="E6" s="449"/>
      <c r="F6" s="449"/>
      <c r="G6" s="449"/>
      <c r="H6" s="449"/>
    </row>
    <row r="7" spans="1:22" ht="23.25" customHeight="1" x14ac:dyDescent="0.25">
      <c r="A7" s="317" t="s">
        <v>568</v>
      </c>
      <c r="B7" s="317"/>
      <c r="C7" s="449"/>
      <c r="D7" s="449"/>
      <c r="E7" s="449"/>
      <c r="F7" s="449"/>
      <c r="G7" s="449"/>
      <c r="H7" s="449"/>
    </row>
    <row r="8" spans="1:22" ht="23.25" customHeight="1" x14ac:dyDescent="0.25">
      <c r="A8" s="317"/>
      <c r="B8" s="317"/>
      <c r="C8" s="449"/>
      <c r="D8" s="449"/>
      <c r="E8" s="449"/>
      <c r="F8" s="449"/>
      <c r="G8" s="449"/>
      <c r="H8" s="449"/>
    </row>
    <row r="9" spans="1:22" ht="23.25" customHeight="1" x14ac:dyDescent="0.25">
      <c r="A9" s="697" t="s">
        <v>569</v>
      </c>
      <c r="B9" s="695" t="s">
        <v>764</v>
      </c>
      <c r="C9" s="694" t="s">
        <v>570</v>
      </c>
      <c r="D9" s="693"/>
      <c r="E9" s="691" t="s">
        <v>571</v>
      </c>
      <c r="F9" s="691"/>
      <c r="G9" s="691" t="s">
        <v>572</v>
      </c>
      <c r="H9" s="691"/>
      <c r="I9" s="691" t="s">
        <v>573</v>
      </c>
      <c r="J9" s="691"/>
      <c r="K9" s="691" t="s">
        <v>574</v>
      </c>
      <c r="L9" s="691"/>
      <c r="M9" s="691" t="s">
        <v>575</v>
      </c>
      <c r="N9" s="691"/>
      <c r="O9" s="691" t="s">
        <v>576</v>
      </c>
      <c r="P9" s="691"/>
      <c r="Q9" s="691" t="s">
        <v>577</v>
      </c>
      <c r="R9" s="691"/>
      <c r="S9" s="691" t="s">
        <v>578</v>
      </c>
      <c r="T9" s="691"/>
      <c r="U9" s="691" t="s">
        <v>579</v>
      </c>
      <c r="V9" s="691"/>
    </row>
    <row r="10" spans="1:22" ht="23.25" customHeight="1" x14ac:dyDescent="0.25">
      <c r="A10" s="698"/>
      <c r="B10" s="696"/>
      <c r="C10" s="442" t="s">
        <v>580</v>
      </c>
      <c r="D10" s="442" t="s">
        <v>581</v>
      </c>
      <c r="E10" s="442" t="s">
        <v>582</v>
      </c>
      <c r="F10" s="442" t="s">
        <v>583</v>
      </c>
      <c r="G10" s="442" t="s">
        <v>584</v>
      </c>
      <c r="H10" s="442" t="s">
        <v>585</v>
      </c>
      <c r="I10" s="442" t="s">
        <v>586</v>
      </c>
      <c r="J10" s="442" t="s">
        <v>587</v>
      </c>
      <c r="K10" s="442" t="s">
        <v>588</v>
      </c>
      <c r="L10" s="442" t="s">
        <v>589</v>
      </c>
      <c r="M10" s="442" t="s">
        <v>590</v>
      </c>
      <c r="N10" s="442" t="s">
        <v>591</v>
      </c>
      <c r="O10" s="442" t="s">
        <v>592</v>
      </c>
      <c r="P10" s="442" t="s">
        <v>593</v>
      </c>
      <c r="Q10" s="442" t="s">
        <v>594</v>
      </c>
      <c r="R10" s="442" t="s">
        <v>595</v>
      </c>
      <c r="S10" s="442" t="s">
        <v>596</v>
      </c>
      <c r="T10" s="442" t="s">
        <v>597</v>
      </c>
      <c r="U10" s="442" t="s">
        <v>598</v>
      </c>
      <c r="V10" s="442" t="s">
        <v>599</v>
      </c>
    </row>
    <row r="11" spans="1:22" ht="23.25" customHeight="1" x14ac:dyDescent="0.25">
      <c r="A11" s="457" t="s">
        <v>662</v>
      </c>
      <c r="B11" s="627">
        <f>'39A'!B11+'39B'!B11+'39C'!B11</f>
        <v>23399.166666666668</v>
      </c>
      <c r="C11" s="627">
        <f>'39A'!C11+'39B'!C11+'39C'!C11</f>
        <v>47131.666666666664</v>
      </c>
      <c r="D11" s="445">
        <f>'39A'!D11+'39B'!D11+'39C'!D11</f>
        <v>0</v>
      </c>
      <c r="E11" s="445">
        <f>'39A'!E11+'39B'!E11+'39C'!E11</f>
        <v>0</v>
      </c>
      <c r="F11" s="445">
        <f>'39A'!F11+'39B'!F11+'39C'!F11</f>
        <v>0</v>
      </c>
      <c r="G11" s="445">
        <f>'39A'!G11+'39B'!G11+'39C'!G11</f>
        <v>0</v>
      </c>
      <c r="H11" s="445">
        <f>'39A'!H11+'39B'!H11+'39C'!H11</f>
        <v>0</v>
      </c>
      <c r="I11" s="627">
        <f>'39A'!I11+'39B'!I11+'39C'!I11</f>
        <v>46798.333333333336</v>
      </c>
      <c r="J11" s="445">
        <f>'39A'!J11+'39B'!J11+'39C'!J11</f>
        <v>0</v>
      </c>
      <c r="K11" s="445">
        <f>'39A'!K11+'39B'!K11+'39C'!K11</f>
        <v>0</v>
      </c>
      <c r="L11" s="445">
        <f>'39A'!L11+'39B'!L11+'39C'!L11</f>
        <v>0</v>
      </c>
      <c r="M11" s="445">
        <f>'39A'!M11+'39B'!M11+'39C'!M11</f>
        <v>0</v>
      </c>
      <c r="N11" s="445">
        <f>'39A'!N11+'39B'!N11+'39C'!N11</f>
        <v>0</v>
      </c>
      <c r="O11" s="445">
        <f>'39A'!O11+'39B'!O11+'39C'!O11</f>
        <v>0</v>
      </c>
      <c r="P11" s="445">
        <f>'39A'!P11+'39B'!P11+'39C'!P11</f>
        <v>0</v>
      </c>
      <c r="Q11" s="445">
        <f>'39A'!Q11+'39B'!Q11+'39C'!Q11</f>
        <v>0</v>
      </c>
      <c r="R11" s="445">
        <f>'39A'!R11+'39B'!R11+'39C'!R11</f>
        <v>0</v>
      </c>
      <c r="S11" s="445">
        <f>'39A'!S11+'39B'!S11+'39C'!S11</f>
        <v>0</v>
      </c>
      <c r="T11" s="445">
        <f>'39A'!T11+'39B'!T11+'39C'!T11</f>
        <v>0</v>
      </c>
      <c r="U11" s="445">
        <f>'39A'!U11+'39B'!U11+'39C'!U11</f>
        <v>0</v>
      </c>
      <c r="V11" s="445">
        <f>'39A'!V11+'39B'!V11+'39C'!V11</f>
        <v>0</v>
      </c>
    </row>
    <row r="12" spans="1:22" ht="23.25" customHeight="1" x14ac:dyDescent="0.25">
      <c r="A12" s="457" t="s">
        <v>663</v>
      </c>
      <c r="B12" s="627">
        <f>'39A'!B12+'39B'!B12+'39C'!B12</f>
        <v>23399.166666666668</v>
      </c>
      <c r="C12" s="627">
        <f>'39A'!C12+'39B'!C12+'39C'!C12</f>
        <v>47131.666666666664</v>
      </c>
      <c r="D12" s="445">
        <f>'39A'!D12+'39B'!D12+'39C'!D12</f>
        <v>0</v>
      </c>
      <c r="E12" s="445">
        <f>'39A'!E12+'39B'!E12+'39C'!E12</f>
        <v>0</v>
      </c>
      <c r="F12" s="445">
        <f>'39A'!F12+'39B'!F12+'39C'!F12</f>
        <v>0</v>
      </c>
      <c r="G12" s="445">
        <f>'39A'!G12+'39B'!G12+'39C'!G12</f>
        <v>0</v>
      </c>
      <c r="H12" s="445">
        <f>'39A'!H12+'39B'!H12+'39C'!H12</f>
        <v>0</v>
      </c>
      <c r="I12" s="627">
        <f>'39A'!I12+'39B'!I12+'39C'!I12</f>
        <v>46798.333333333336</v>
      </c>
      <c r="J12" s="445">
        <f>'39A'!J12+'39B'!J12+'39C'!J12</f>
        <v>0</v>
      </c>
      <c r="K12" s="445">
        <f>'39A'!K12+'39B'!K12+'39C'!K12</f>
        <v>0</v>
      </c>
      <c r="L12" s="445">
        <f>'39A'!L12+'39B'!L12+'39C'!L12</f>
        <v>0</v>
      </c>
      <c r="M12" s="445">
        <f>'39A'!M12+'39B'!M12+'39C'!M12</f>
        <v>0</v>
      </c>
      <c r="N12" s="445">
        <f>'39A'!N12+'39B'!N12+'39C'!N12</f>
        <v>0</v>
      </c>
      <c r="O12" s="445">
        <f>'39A'!O12+'39B'!O12+'39C'!O12</f>
        <v>0</v>
      </c>
      <c r="P12" s="445">
        <f>'39A'!P12+'39B'!P12+'39C'!P12</f>
        <v>0</v>
      </c>
      <c r="Q12" s="445">
        <f>'39A'!Q12+'39B'!Q12+'39C'!Q12</f>
        <v>0</v>
      </c>
      <c r="R12" s="445">
        <f>'39A'!R12+'39B'!R12+'39C'!R12</f>
        <v>0</v>
      </c>
      <c r="S12" s="445">
        <f>'39A'!S12+'39B'!S12+'39C'!S12</f>
        <v>0</v>
      </c>
      <c r="T12" s="445">
        <f>'39A'!T12+'39B'!T12+'39C'!T12</f>
        <v>0</v>
      </c>
      <c r="U12" s="445">
        <f>'39A'!U12+'39B'!U12+'39C'!U12</f>
        <v>0</v>
      </c>
      <c r="V12" s="445">
        <f>'39A'!V12+'39B'!V12+'39C'!V12</f>
        <v>0</v>
      </c>
    </row>
    <row r="13" spans="1:22" ht="23.25" customHeight="1" x14ac:dyDescent="0.25">
      <c r="A13" s="457" t="s">
        <v>664</v>
      </c>
      <c r="B13" s="627">
        <f>'39A'!B13+'39B'!B13+'39C'!B13</f>
        <v>23399.166666666668</v>
      </c>
      <c r="C13" s="627">
        <f>'39A'!C13+'39B'!C13+'39C'!C13</f>
        <v>47131.666666666664</v>
      </c>
      <c r="D13" s="445">
        <f>'39A'!D13+'39B'!D13+'39C'!D13</f>
        <v>0</v>
      </c>
      <c r="E13" s="445">
        <f>'39A'!E13+'39B'!E13+'39C'!E13</f>
        <v>0</v>
      </c>
      <c r="F13" s="445">
        <f>'39A'!F13+'39B'!F13+'39C'!F13</f>
        <v>0</v>
      </c>
      <c r="G13" s="445">
        <f>'39A'!G13+'39B'!G13+'39C'!G13</f>
        <v>0</v>
      </c>
      <c r="H13" s="445">
        <f>'39A'!H13+'39B'!H13+'39C'!H13</f>
        <v>0</v>
      </c>
      <c r="I13" s="627">
        <f>'39A'!I13+'39B'!I13+'39C'!I13</f>
        <v>46798.333333333336</v>
      </c>
      <c r="J13" s="445">
        <f>'39A'!J13+'39B'!J13+'39C'!J13</f>
        <v>0</v>
      </c>
      <c r="K13" s="445">
        <f>'39A'!K13+'39B'!K13+'39C'!K13</f>
        <v>0</v>
      </c>
      <c r="L13" s="445">
        <f>'39A'!L13+'39B'!L13+'39C'!L13</f>
        <v>0</v>
      </c>
      <c r="M13" s="445">
        <f>'39A'!M13+'39B'!M13+'39C'!M13</f>
        <v>0</v>
      </c>
      <c r="N13" s="445">
        <f>'39A'!N13+'39B'!N13+'39C'!N13</f>
        <v>0</v>
      </c>
      <c r="O13" s="445">
        <f>'39A'!O13+'39B'!O13+'39C'!O13</f>
        <v>0</v>
      </c>
      <c r="P13" s="445">
        <f>'39A'!P13+'39B'!P13+'39C'!P13</f>
        <v>0</v>
      </c>
      <c r="Q13" s="445">
        <f>'39A'!Q13+'39B'!Q13+'39C'!Q13</f>
        <v>0</v>
      </c>
      <c r="R13" s="445">
        <f>'39A'!R13+'39B'!R13+'39C'!R13</f>
        <v>0</v>
      </c>
      <c r="S13" s="445">
        <f>'39A'!S13+'39B'!S13+'39C'!S13</f>
        <v>0</v>
      </c>
      <c r="T13" s="445">
        <f>'39A'!T13+'39B'!T13+'39C'!T13</f>
        <v>0</v>
      </c>
      <c r="U13" s="445">
        <f>'39A'!U13+'39B'!U13+'39C'!U13</f>
        <v>0</v>
      </c>
      <c r="V13" s="445">
        <f>'39A'!V13+'39B'!V13+'39C'!V13</f>
        <v>0</v>
      </c>
    </row>
    <row r="14" spans="1:22" ht="23.25" customHeight="1" x14ac:dyDescent="0.25">
      <c r="A14" s="457" t="s">
        <v>665</v>
      </c>
      <c r="B14" s="627">
        <f>'39A'!B14+'39B'!B14+'39C'!B14</f>
        <v>23399.166666666668</v>
      </c>
      <c r="C14" s="627">
        <f>'39A'!C14+'39B'!C14+'39C'!C14</f>
        <v>47131.666666666664</v>
      </c>
      <c r="D14" s="445">
        <f>'39A'!D14+'39B'!D14+'39C'!D14</f>
        <v>0</v>
      </c>
      <c r="E14" s="445">
        <f>'39A'!E14+'39B'!E14+'39C'!E14</f>
        <v>0</v>
      </c>
      <c r="F14" s="445">
        <f>'39A'!F14+'39B'!F14+'39C'!F14</f>
        <v>0</v>
      </c>
      <c r="G14" s="445">
        <f>'39A'!G14+'39B'!G14+'39C'!G14</f>
        <v>0</v>
      </c>
      <c r="H14" s="445">
        <f>'39A'!H14+'39B'!H14+'39C'!H14</f>
        <v>0</v>
      </c>
      <c r="I14" s="627">
        <f>'39A'!I14+'39B'!I14+'39C'!I14</f>
        <v>46798.333333333336</v>
      </c>
      <c r="J14" s="445">
        <f>'39A'!J14+'39B'!J14+'39C'!J14</f>
        <v>0</v>
      </c>
      <c r="K14" s="445">
        <f>'39A'!K14+'39B'!K14+'39C'!K14</f>
        <v>0</v>
      </c>
      <c r="L14" s="445">
        <f>'39A'!L14+'39B'!L14+'39C'!L14</f>
        <v>0</v>
      </c>
      <c r="M14" s="445">
        <f>'39A'!M14+'39B'!M14+'39C'!M14</f>
        <v>0</v>
      </c>
      <c r="N14" s="445">
        <f>'39A'!N14+'39B'!N14+'39C'!N14</f>
        <v>0</v>
      </c>
      <c r="O14" s="445">
        <f>'39A'!O14+'39B'!O14+'39C'!O14</f>
        <v>0</v>
      </c>
      <c r="P14" s="445">
        <f>'39A'!P14+'39B'!P14+'39C'!P14</f>
        <v>0</v>
      </c>
      <c r="Q14" s="445">
        <f>'39A'!Q14+'39B'!Q14+'39C'!Q14</f>
        <v>0</v>
      </c>
      <c r="R14" s="445">
        <f>'39A'!R14+'39B'!R14+'39C'!R14</f>
        <v>0</v>
      </c>
      <c r="S14" s="445">
        <f>'39A'!S14+'39B'!S14+'39C'!S14</f>
        <v>0</v>
      </c>
      <c r="T14" s="445">
        <f>'39A'!T14+'39B'!T14+'39C'!T14</f>
        <v>0</v>
      </c>
      <c r="U14" s="445">
        <f>'39A'!U14+'39B'!U14+'39C'!U14</f>
        <v>0</v>
      </c>
      <c r="V14" s="445">
        <f>'39A'!V14+'39B'!V14+'39C'!V14</f>
        <v>0</v>
      </c>
    </row>
    <row r="15" spans="1:22" ht="23.25" customHeight="1" x14ac:dyDescent="0.25">
      <c r="A15" s="457" t="s">
        <v>666</v>
      </c>
      <c r="B15" s="627">
        <f>'39A'!B15+'39B'!B15+'39C'!B15</f>
        <v>23399.166666666668</v>
      </c>
      <c r="C15" s="627">
        <f>'39A'!C15+'39B'!C15+'39C'!C15</f>
        <v>47131.666666666664</v>
      </c>
      <c r="D15" s="445">
        <f>'39A'!D15+'39B'!D15+'39C'!D15</f>
        <v>0</v>
      </c>
      <c r="E15" s="445">
        <f>'39A'!E15+'39B'!E15+'39C'!E15</f>
        <v>0</v>
      </c>
      <c r="F15" s="445">
        <f>'39A'!F15+'39B'!F15+'39C'!F15</f>
        <v>0</v>
      </c>
      <c r="G15" s="445">
        <f>'39A'!G15+'39B'!G15+'39C'!G15</f>
        <v>0</v>
      </c>
      <c r="H15" s="445">
        <f>'39A'!H15+'39B'!H15+'39C'!H15</f>
        <v>0</v>
      </c>
      <c r="I15" s="627">
        <f>'39A'!I15+'39B'!I15+'39C'!I15</f>
        <v>46798.333333333336</v>
      </c>
      <c r="J15" s="445">
        <f>'39A'!J15+'39B'!J15+'39C'!J15</f>
        <v>0</v>
      </c>
      <c r="K15" s="445">
        <f>'39A'!K15+'39B'!K15+'39C'!K15</f>
        <v>0</v>
      </c>
      <c r="L15" s="445">
        <f>'39A'!L15+'39B'!L15+'39C'!L15</f>
        <v>0</v>
      </c>
      <c r="M15" s="445">
        <f>'39A'!M15+'39B'!M15+'39C'!M15</f>
        <v>0</v>
      </c>
      <c r="N15" s="445">
        <f>'39A'!N15+'39B'!N15+'39C'!N15</f>
        <v>0</v>
      </c>
      <c r="O15" s="445">
        <f>'39A'!O15+'39B'!O15+'39C'!O15</f>
        <v>0</v>
      </c>
      <c r="P15" s="445">
        <f>'39A'!P15+'39B'!P15+'39C'!P15</f>
        <v>0</v>
      </c>
      <c r="Q15" s="445">
        <f>'39A'!Q15+'39B'!Q15+'39C'!Q15</f>
        <v>0</v>
      </c>
      <c r="R15" s="445">
        <f>'39A'!R15+'39B'!R15+'39C'!R15</f>
        <v>0</v>
      </c>
      <c r="S15" s="445">
        <f>'39A'!S15+'39B'!S15+'39C'!S15</f>
        <v>0</v>
      </c>
      <c r="T15" s="445">
        <f>'39A'!T15+'39B'!T15+'39C'!T15</f>
        <v>0</v>
      </c>
      <c r="U15" s="445">
        <f>'39A'!U15+'39B'!U15+'39C'!U15</f>
        <v>0</v>
      </c>
      <c r="V15" s="445">
        <f>'39A'!V15+'39B'!V15+'39C'!V15</f>
        <v>0</v>
      </c>
    </row>
    <row r="16" spans="1:22" ht="23.25" customHeight="1" x14ac:dyDescent="0.25">
      <c r="A16" s="458" t="s">
        <v>667</v>
      </c>
      <c r="B16" s="627">
        <f>'39A'!B16+'39B'!B16+'39C'!B16</f>
        <v>23399.166666666668</v>
      </c>
      <c r="C16" s="627">
        <f>'39A'!C16+'39B'!C16+'39C'!C16</f>
        <v>47131.666666666664</v>
      </c>
      <c r="D16" s="445">
        <f>'39A'!D16+'39B'!D16+'39C'!D16</f>
        <v>0</v>
      </c>
      <c r="E16" s="445">
        <f>'39A'!E16+'39B'!E16+'39C'!E16</f>
        <v>0</v>
      </c>
      <c r="F16" s="445">
        <f>'39A'!F16+'39B'!F16+'39C'!F16</f>
        <v>0</v>
      </c>
      <c r="G16" s="445">
        <f>'39A'!G16+'39B'!G16+'39C'!G16</f>
        <v>0</v>
      </c>
      <c r="H16" s="445">
        <f>'39A'!H16+'39B'!H16+'39C'!H16</f>
        <v>0</v>
      </c>
      <c r="I16" s="627">
        <f>'39A'!I16+'39B'!I16+'39C'!I16</f>
        <v>46798.333333333336</v>
      </c>
      <c r="J16" s="445">
        <f>'39A'!J16+'39B'!J16+'39C'!J16</f>
        <v>0</v>
      </c>
      <c r="K16" s="445">
        <f>'39A'!K16+'39B'!K16+'39C'!K16</f>
        <v>0</v>
      </c>
      <c r="L16" s="445">
        <f>'39A'!L16+'39B'!L16+'39C'!L16</f>
        <v>0</v>
      </c>
      <c r="M16" s="445">
        <f>'39A'!M16+'39B'!M16+'39C'!M16</f>
        <v>0</v>
      </c>
      <c r="N16" s="445">
        <f>'39A'!N16+'39B'!N16+'39C'!N16</f>
        <v>0</v>
      </c>
      <c r="O16" s="445">
        <f>'39A'!O16+'39B'!O16+'39C'!O16</f>
        <v>0</v>
      </c>
      <c r="P16" s="445">
        <f>'39A'!P16+'39B'!P16+'39C'!P16</f>
        <v>0</v>
      </c>
      <c r="Q16" s="445">
        <f>'39A'!Q16+'39B'!Q16+'39C'!Q16</f>
        <v>0</v>
      </c>
      <c r="R16" s="445">
        <f>'39A'!R16+'39B'!R16+'39C'!R16</f>
        <v>0</v>
      </c>
      <c r="S16" s="445">
        <f>'39A'!S16+'39B'!S16+'39C'!S16</f>
        <v>0</v>
      </c>
      <c r="T16" s="445">
        <f>'39A'!T16+'39B'!T16+'39C'!T16</f>
        <v>0</v>
      </c>
      <c r="U16" s="445">
        <f>'39A'!U16+'39B'!U16+'39C'!U16</f>
        <v>0</v>
      </c>
      <c r="V16" s="445">
        <f>'39A'!V16+'39B'!V16+'39C'!V16</f>
        <v>0</v>
      </c>
    </row>
    <row r="17" spans="1:22" ht="23.25" customHeight="1" x14ac:dyDescent="0.3">
      <c r="A17" s="459" t="s">
        <v>614</v>
      </c>
      <c r="B17" s="628">
        <f>SUM(B11:B16)</f>
        <v>140395</v>
      </c>
      <c r="C17" s="628">
        <f>SUM(C11:C16)</f>
        <v>282790</v>
      </c>
      <c r="D17" s="456">
        <f t="shared" ref="D17:V17" si="0">SUM(D11:D16)</f>
        <v>0</v>
      </c>
      <c r="E17" s="456">
        <f t="shared" si="0"/>
        <v>0</v>
      </c>
      <c r="F17" s="456">
        <f t="shared" si="0"/>
        <v>0</v>
      </c>
      <c r="G17" s="456">
        <f t="shared" si="0"/>
        <v>0</v>
      </c>
      <c r="H17" s="456">
        <f t="shared" si="0"/>
        <v>0</v>
      </c>
      <c r="I17" s="628">
        <f t="shared" si="0"/>
        <v>280790</v>
      </c>
      <c r="J17" s="456">
        <f t="shared" si="0"/>
        <v>0</v>
      </c>
      <c r="K17" s="456">
        <f t="shared" si="0"/>
        <v>0</v>
      </c>
      <c r="L17" s="456">
        <f t="shared" si="0"/>
        <v>0</v>
      </c>
      <c r="M17" s="456">
        <f t="shared" si="0"/>
        <v>0</v>
      </c>
      <c r="N17" s="456">
        <f t="shared" si="0"/>
        <v>0</v>
      </c>
      <c r="O17" s="456">
        <f t="shared" si="0"/>
        <v>0</v>
      </c>
      <c r="P17" s="456">
        <f t="shared" si="0"/>
        <v>0</v>
      </c>
      <c r="Q17" s="456">
        <f t="shared" si="0"/>
        <v>0</v>
      </c>
      <c r="R17" s="456">
        <f t="shared" si="0"/>
        <v>0</v>
      </c>
      <c r="S17" s="456">
        <f t="shared" si="0"/>
        <v>0</v>
      </c>
      <c r="T17" s="456">
        <f t="shared" si="0"/>
        <v>0</v>
      </c>
      <c r="U17" s="456">
        <f t="shared" si="0"/>
        <v>0</v>
      </c>
      <c r="V17" s="456">
        <f t="shared" si="0"/>
        <v>0</v>
      </c>
    </row>
    <row r="18" spans="1:22" ht="23.25" customHeight="1" x14ac:dyDescent="0.3">
      <c r="A18" s="450"/>
      <c r="B18" s="450"/>
      <c r="C18" s="449"/>
      <c r="D18" s="449"/>
      <c r="E18" s="449"/>
      <c r="F18" s="449"/>
      <c r="G18" s="449"/>
      <c r="H18" s="449"/>
    </row>
    <row r="19" spans="1:22" ht="23.25" customHeight="1" x14ac:dyDescent="0.25">
      <c r="A19" t="s">
        <v>447</v>
      </c>
      <c r="C19" s="449"/>
      <c r="D19" s="449"/>
      <c r="E19" s="449"/>
      <c r="F19" s="449"/>
      <c r="G19" s="449"/>
      <c r="H19" s="449"/>
    </row>
    <row r="20" spans="1:22" ht="23.25" customHeight="1" x14ac:dyDescent="0.25">
      <c r="A20" s="449"/>
      <c r="B20" s="449"/>
      <c r="C20" s="449"/>
      <c r="D20" s="449"/>
      <c r="E20" s="449"/>
      <c r="F20" s="449"/>
      <c r="G20" s="449"/>
      <c r="H20" s="449"/>
    </row>
    <row r="21" spans="1:22" ht="23.25" customHeight="1" x14ac:dyDescent="0.25">
      <c r="A21" s="449"/>
      <c r="B21" s="449"/>
      <c r="C21" s="449"/>
      <c r="D21" s="449"/>
      <c r="E21" s="449"/>
      <c r="F21" s="449"/>
      <c r="G21" s="449"/>
      <c r="H21" s="449"/>
    </row>
    <row r="22" spans="1:22" ht="23.25" customHeight="1" x14ac:dyDescent="0.25">
      <c r="A22" s="449"/>
      <c r="B22" s="449"/>
      <c r="C22" s="449"/>
      <c r="D22" s="449"/>
      <c r="E22" s="449"/>
      <c r="F22" s="449"/>
      <c r="G22" s="449"/>
      <c r="H22" s="449"/>
    </row>
    <row r="23" spans="1:22" ht="23.25" customHeight="1" x14ac:dyDescent="0.25">
      <c r="A23" s="449"/>
      <c r="B23" s="449"/>
      <c r="C23" s="449"/>
      <c r="D23" s="449"/>
      <c r="E23" s="449"/>
      <c r="F23" s="449"/>
      <c r="G23" s="449"/>
      <c r="H23" s="449"/>
    </row>
    <row r="24" spans="1:22" ht="23.25" customHeight="1" x14ac:dyDescent="0.25">
      <c r="A24" s="449"/>
      <c r="B24" s="449"/>
      <c r="C24" s="449"/>
      <c r="D24" s="449"/>
      <c r="E24" s="449"/>
      <c r="F24" s="449"/>
      <c r="G24" s="449"/>
      <c r="H24" s="449"/>
    </row>
    <row r="25" spans="1:22" ht="23.25" customHeight="1" x14ac:dyDescent="0.25">
      <c r="A25" s="449"/>
      <c r="B25" s="449"/>
      <c r="C25" s="449"/>
      <c r="D25" s="449"/>
      <c r="E25" s="449"/>
      <c r="F25" s="449"/>
      <c r="G25" s="449"/>
      <c r="H25" s="449"/>
    </row>
    <row r="26" spans="1:22" ht="23.25" customHeight="1" x14ac:dyDescent="0.25">
      <c r="A26" s="449"/>
      <c r="B26" s="449"/>
      <c r="C26" s="449"/>
      <c r="D26" s="449"/>
      <c r="E26" s="449"/>
      <c r="F26" s="449"/>
      <c r="G26" s="449"/>
      <c r="H26" s="449"/>
    </row>
    <row r="27" spans="1:22" ht="23.25" customHeight="1" x14ac:dyDescent="0.25">
      <c r="A27" s="449"/>
      <c r="B27" s="449"/>
      <c r="C27" s="449"/>
      <c r="D27" s="449"/>
      <c r="E27" s="449"/>
      <c r="F27" s="449"/>
      <c r="G27" s="449"/>
      <c r="H27" s="449"/>
    </row>
    <row r="28" spans="1:22" ht="23.25" customHeight="1" x14ac:dyDescent="0.25">
      <c r="A28" s="449"/>
      <c r="B28" s="449"/>
      <c r="C28" s="449"/>
      <c r="D28" s="449"/>
      <c r="E28" s="449"/>
      <c r="F28" s="449"/>
      <c r="G28" s="449"/>
      <c r="H28" s="449"/>
    </row>
    <row r="29" spans="1:22" ht="23.25" customHeight="1" x14ac:dyDescent="0.25">
      <c r="A29" s="449"/>
      <c r="B29" s="449"/>
      <c r="C29" s="449"/>
      <c r="D29" s="449"/>
      <c r="E29" s="449"/>
      <c r="F29" s="449"/>
      <c r="G29" s="449"/>
      <c r="H29" s="449"/>
    </row>
    <row r="30" spans="1:22" ht="23.25" customHeight="1" x14ac:dyDescent="0.25">
      <c r="A30" s="449"/>
      <c r="B30" s="449"/>
      <c r="C30" s="449"/>
      <c r="D30" s="449"/>
      <c r="E30" s="449"/>
      <c r="F30" s="449"/>
      <c r="G30" s="449"/>
      <c r="H30" s="449"/>
    </row>
    <row r="31" spans="1:22" ht="23.25" customHeight="1" x14ac:dyDescent="0.25">
      <c r="A31" s="449"/>
      <c r="B31" s="449"/>
      <c r="C31" s="449"/>
      <c r="D31" s="449"/>
      <c r="E31" s="449"/>
      <c r="F31" s="449"/>
      <c r="G31" s="449"/>
      <c r="H31" s="449"/>
    </row>
    <row r="32" spans="1:22" ht="23.25" customHeight="1" x14ac:dyDescent="0.25">
      <c r="A32" s="449"/>
      <c r="B32" s="449"/>
      <c r="C32" s="449"/>
      <c r="D32" s="449"/>
      <c r="E32" s="449"/>
      <c r="F32" s="449"/>
      <c r="G32" s="449"/>
      <c r="H32" s="449"/>
    </row>
    <row r="33" spans="1:8" ht="23.25" customHeight="1" x14ac:dyDescent="0.25">
      <c r="A33" s="449"/>
      <c r="B33" s="449"/>
      <c r="C33" s="449"/>
      <c r="D33" s="449"/>
      <c r="E33" s="449"/>
      <c r="F33" s="449"/>
      <c r="G33" s="449"/>
      <c r="H33" s="449"/>
    </row>
    <row r="34" spans="1:8" ht="23.25" customHeight="1" x14ac:dyDescent="0.25">
      <c r="A34" s="449"/>
      <c r="B34" s="449"/>
      <c r="C34" s="449"/>
      <c r="D34" s="449"/>
      <c r="E34" s="449"/>
      <c r="F34" s="449"/>
      <c r="G34" s="449"/>
      <c r="H34" s="449"/>
    </row>
    <row r="35" spans="1:8" ht="23.25" customHeight="1" x14ac:dyDescent="0.25">
      <c r="A35" s="449"/>
      <c r="B35" s="449"/>
      <c r="C35" s="449"/>
      <c r="D35" s="449"/>
      <c r="E35" s="449"/>
      <c r="F35" s="449"/>
      <c r="G35" s="449"/>
      <c r="H35" s="449"/>
    </row>
    <row r="36" spans="1:8" ht="23.25" customHeight="1" x14ac:dyDescent="0.25">
      <c r="A36" s="449"/>
      <c r="B36" s="449"/>
      <c r="C36" s="449"/>
      <c r="D36" s="449"/>
      <c r="E36" s="449"/>
      <c r="F36" s="449"/>
      <c r="G36" s="449"/>
      <c r="H36" s="449"/>
    </row>
    <row r="37" spans="1:8" ht="23.25" customHeight="1" x14ac:dyDescent="0.25">
      <c r="A37" s="449"/>
      <c r="B37" s="449"/>
      <c r="C37" s="449"/>
      <c r="D37" s="449"/>
      <c r="E37" s="449"/>
      <c r="F37" s="449"/>
      <c r="G37" s="449"/>
      <c r="H37" s="449"/>
    </row>
    <row r="38" spans="1:8" ht="23.25" customHeight="1" x14ac:dyDescent="0.25">
      <c r="A38" s="449"/>
      <c r="B38" s="449"/>
      <c r="C38" s="449"/>
      <c r="D38" s="449"/>
      <c r="E38" s="449"/>
      <c r="F38" s="449"/>
      <c r="G38" s="449"/>
      <c r="H38" s="449"/>
    </row>
    <row r="39" spans="1:8" ht="23.25" customHeight="1" x14ac:dyDescent="0.25">
      <c r="A39" s="449"/>
      <c r="B39" s="449"/>
      <c r="C39" s="449"/>
      <c r="D39" s="449"/>
      <c r="E39" s="449"/>
      <c r="F39" s="449"/>
      <c r="G39" s="449"/>
      <c r="H39" s="449"/>
    </row>
    <row r="40" spans="1:8" ht="23.25" customHeight="1" x14ac:dyDescent="0.25">
      <c r="A40" s="449"/>
      <c r="B40" s="449"/>
      <c r="C40" s="449"/>
      <c r="D40" s="449"/>
      <c r="E40" s="449"/>
      <c r="F40" s="449"/>
      <c r="G40" s="449"/>
      <c r="H40" s="449"/>
    </row>
    <row r="41" spans="1:8" ht="23.25" customHeight="1" x14ac:dyDescent="0.25">
      <c r="A41" s="449"/>
      <c r="B41" s="449"/>
      <c r="C41" s="449"/>
      <c r="D41" s="449"/>
      <c r="E41" s="449"/>
      <c r="F41" s="449"/>
      <c r="G41" s="449"/>
      <c r="H41" s="449"/>
    </row>
    <row r="42" spans="1:8" ht="23.25" customHeight="1" x14ac:dyDescent="0.25">
      <c r="A42" s="449"/>
      <c r="B42" s="449"/>
      <c r="C42" s="449"/>
      <c r="D42" s="449"/>
      <c r="E42" s="449"/>
      <c r="F42" s="449"/>
      <c r="G42" s="449"/>
      <c r="H42" s="449"/>
    </row>
    <row r="43" spans="1:8" ht="23.25" customHeight="1" x14ac:dyDescent="0.25">
      <c r="A43" s="449"/>
      <c r="B43" s="449"/>
      <c r="C43" s="449"/>
      <c r="D43" s="449"/>
      <c r="E43" s="449"/>
      <c r="F43" s="449"/>
      <c r="G43" s="449"/>
      <c r="H43" s="449"/>
    </row>
    <row r="44" spans="1:8" ht="23.25" customHeight="1" x14ac:dyDescent="0.25">
      <c r="A44" s="449"/>
      <c r="B44" s="449"/>
      <c r="C44" s="449"/>
      <c r="D44" s="449"/>
      <c r="E44" s="449"/>
      <c r="F44" s="449"/>
      <c r="G44" s="449"/>
      <c r="H44" s="449"/>
    </row>
    <row r="45" spans="1:8" ht="23.25" customHeight="1" x14ac:dyDescent="0.25">
      <c r="A45" s="449"/>
      <c r="B45" s="449"/>
      <c r="C45" s="449"/>
      <c r="D45" s="449"/>
      <c r="E45" s="449"/>
      <c r="F45" s="449"/>
      <c r="G45" s="449"/>
      <c r="H45" s="449"/>
    </row>
    <row r="46" spans="1:8" ht="23.25" customHeight="1" x14ac:dyDescent="0.25">
      <c r="A46" s="449"/>
      <c r="B46" s="449"/>
      <c r="C46" s="449"/>
      <c r="D46" s="449"/>
      <c r="E46" s="449"/>
      <c r="F46" s="449"/>
      <c r="G46" s="449"/>
      <c r="H46" s="449"/>
    </row>
    <row r="47" spans="1:8" ht="23.25" customHeight="1" x14ac:dyDescent="0.25">
      <c r="A47" s="449"/>
      <c r="B47" s="449"/>
      <c r="C47" s="449"/>
      <c r="D47" s="449"/>
      <c r="E47" s="449"/>
      <c r="F47" s="449"/>
      <c r="G47" s="449"/>
      <c r="H47" s="449"/>
    </row>
    <row r="48" spans="1:8" ht="23.25" customHeight="1" x14ac:dyDescent="0.25">
      <c r="A48" s="449"/>
      <c r="B48" s="449"/>
      <c r="C48" s="449"/>
      <c r="D48" s="449"/>
      <c r="E48" s="449"/>
      <c r="F48" s="449"/>
      <c r="G48" s="449"/>
      <c r="H48" s="449"/>
    </row>
    <row r="49" spans="1:8" ht="23.25" customHeight="1" x14ac:dyDescent="0.25">
      <c r="A49" s="449"/>
      <c r="B49" s="449"/>
      <c r="C49" s="449"/>
      <c r="D49" s="449"/>
      <c r="E49" s="449"/>
      <c r="F49" s="449"/>
      <c r="G49" s="449"/>
      <c r="H49" s="449"/>
    </row>
    <row r="50" spans="1:8" ht="23.25" customHeight="1" x14ac:dyDescent="0.25">
      <c r="A50" s="449"/>
      <c r="B50" s="449"/>
      <c r="C50" s="449"/>
      <c r="D50" s="449"/>
      <c r="E50" s="449"/>
      <c r="F50" s="449"/>
      <c r="G50" s="449"/>
      <c r="H50" s="449"/>
    </row>
    <row r="51" spans="1:8" ht="23.25" customHeight="1" x14ac:dyDescent="0.25">
      <c r="A51" s="449"/>
      <c r="B51" s="449"/>
      <c r="C51" s="449"/>
      <c r="D51" s="449"/>
      <c r="E51" s="449"/>
      <c r="F51" s="449"/>
      <c r="G51" s="449"/>
      <c r="H51" s="449"/>
    </row>
    <row r="52" spans="1:8" ht="23.25" customHeight="1" x14ac:dyDescent="0.25">
      <c r="A52" s="449"/>
      <c r="B52" s="449"/>
      <c r="C52" s="449"/>
      <c r="D52" s="449"/>
      <c r="E52" s="449"/>
      <c r="F52" s="449"/>
      <c r="G52" s="449"/>
      <c r="H52" s="449"/>
    </row>
    <row r="53" spans="1:8" ht="23.25" customHeight="1" x14ac:dyDescent="0.25">
      <c r="A53" s="449"/>
      <c r="B53" s="449"/>
      <c r="C53" s="449"/>
      <c r="D53" s="449"/>
      <c r="E53" s="449"/>
      <c r="F53" s="449"/>
      <c r="G53" s="449"/>
      <c r="H53" s="449"/>
    </row>
    <row r="54" spans="1:8" ht="23.25" customHeight="1" x14ac:dyDescent="0.25">
      <c r="A54" s="449"/>
      <c r="B54" s="449"/>
      <c r="C54" s="449"/>
      <c r="D54" s="449"/>
      <c r="E54" s="449"/>
      <c r="F54" s="449"/>
      <c r="G54" s="449"/>
      <c r="H54" s="449"/>
    </row>
    <row r="55" spans="1:8" ht="23.25" customHeight="1" x14ac:dyDescent="0.25">
      <c r="A55" s="449"/>
      <c r="B55" s="449"/>
      <c r="C55" s="449"/>
      <c r="D55" s="449"/>
      <c r="E55" s="449"/>
      <c r="F55" s="449"/>
      <c r="G55" s="449"/>
      <c r="H55" s="449"/>
    </row>
    <row r="56" spans="1:8" ht="23.25" customHeight="1" x14ac:dyDescent="0.25">
      <c r="A56" s="449"/>
      <c r="B56" s="449"/>
      <c r="C56" s="449"/>
      <c r="D56" s="449"/>
      <c r="E56" s="449"/>
      <c r="F56" s="449"/>
      <c r="G56" s="449"/>
      <c r="H56" s="449"/>
    </row>
    <row r="57" spans="1:8" ht="23.25" customHeight="1" x14ac:dyDescent="0.25">
      <c r="A57" s="449"/>
      <c r="B57" s="449"/>
      <c r="C57" s="449"/>
      <c r="D57" s="449"/>
      <c r="E57" s="449"/>
      <c r="F57" s="449"/>
      <c r="G57" s="449"/>
      <c r="H57" s="449"/>
    </row>
    <row r="58" spans="1:8" ht="23.25" customHeight="1" x14ac:dyDescent="0.25">
      <c r="A58" s="449"/>
      <c r="B58" s="449"/>
      <c r="C58" s="449"/>
      <c r="D58" s="449"/>
      <c r="E58" s="449"/>
      <c r="F58" s="449"/>
      <c r="G58" s="449"/>
      <c r="H58" s="449"/>
    </row>
    <row r="59" spans="1:8" ht="23.25" customHeight="1" x14ac:dyDescent="0.25">
      <c r="A59" s="449"/>
      <c r="B59" s="449"/>
      <c r="C59" s="449"/>
      <c r="D59" s="449"/>
      <c r="E59" s="449"/>
      <c r="F59" s="449"/>
      <c r="G59" s="449"/>
      <c r="H59" s="449"/>
    </row>
    <row r="60" spans="1:8" ht="23.25" customHeight="1" x14ac:dyDescent="0.25">
      <c r="A60" s="449"/>
      <c r="B60" s="449"/>
      <c r="C60" s="449"/>
      <c r="D60" s="449"/>
      <c r="E60" s="449"/>
      <c r="F60" s="449"/>
      <c r="G60" s="449"/>
      <c r="H60" s="449"/>
    </row>
    <row r="61" spans="1:8" ht="23.25" customHeight="1" x14ac:dyDescent="0.25">
      <c r="A61" s="449"/>
      <c r="B61" s="449"/>
      <c r="C61" s="449"/>
      <c r="D61" s="449"/>
      <c r="E61" s="449"/>
      <c r="F61" s="449"/>
      <c r="G61" s="449"/>
      <c r="H61" s="449"/>
    </row>
    <row r="62" spans="1:8" ht="23.25" customHeight="1" x14ac:dyDescent="0.25">
      <c r="A62" s="449"/>
      <c r="B62" s="449"/>
      <c r="C62" s="449"/>
      <c r="D62" s="449"/>
      <c r="E62" s="449"/>
      <c r="F62" s="449"/>
      <c r="G62" s="449"/>
      <c r="H62" s="449"/>
    </row>
    <row r="63" spans="1:8" ht="23.25" customHeight="1" x14ac:dyDescent="0.25">
      <c r="A63" s="449"/>
      <c r="B63" s="449"/>
      <c r="C63" s="449"/>
      <c r="D63" s="449"/>
      <c r="E63" s="449"/>
      <c r="F63" s="449"/>
      <c r="G63" s="449"/>
      <c r="H63" s="449"/>
    </row>
    <row r="64" spans="1:8" ht="23.25" customHeight="1" x14ac:dyDescent="0.25">
      <c r="A64" s="449"/>
      <c r="B64" s="449"/>
      <c r="C64" s="449"/>
      <c r="D64" s="449"/>
      <c r="E64" s="449"/>
      <c r="F64" s="449"/>
      <c r="G64" s="449"/>
      <c r="H64" s="449"/>
    </row>
    <row r="65" spans="1:8" ht="23.25" customHeight="1" x14ac:dyDescent="0.25">
      <c r="A65" s="449"/>
      <c r="B65" s="449"/>
      <c r="C65" s="449"/>
      <c r="D65" s="449"/>
      <c r="E65" s="449"/>
      <c r="F65" s="449"/>
      <c r="G65" s="449"/>
      <c r="H65" s="449"/>
    </row>
    <row r="66" spans="1:8" ht="23.25" customHeight="1" x14ac:dyDescent="0.25">
      <c r="A66" s="449"/>
      <c r="B66" s="449"/>
      <c r="C66" s="449"/>
      <c r="D66" s="449"/>
      <c r="E66" s="449"/>
      <c r="F66" s="449"/>
      <c r="G66" s="449"/>
      <c r="H66" s="449"/>
    </row>
    <row r="67" spans="1:8" ht="23.25" customHeight="1" x14ac:dyDescent="0.25">
      <c r="A67" s="449"/>
      <c r="B67" s="449"/>
      <c r="C67" s="449"/>
      <c r="D67" s="449"/>
      <c r="E67" s="449"/>
      <c r="F67" s="449"/>
      <c r="G67" s="449"/>
      <c r="H67" s="449"/>
    </row>
    <row r="68" spans="1:8" ht="23.25" customHeight="1" x14ac:dyDescent="0.25">
      <c r="A68" s="449"/>
      <c r="B68" s="449"/>
      <c r="C68" s="449"/>
      <c r="D68" s="449"/>
      <c r="E68" s="449"/>
      <c r="F68" s="449"/>
      <c r="G68" s="449"/>
      <c r="H68" s="449"/>
    </row>
    <row r="69" spans="1:8" ht="23.25" customHeight="1" x14ac:dyDescent="0.25">
      <c r="A69" s="449"/>
      <c r="B69" s="449"/>
      <c r="C69" s="449"/>
      <c r="D69" s="449"/>
      <c r="E69" s="449"/>
      <c r="F69" s="449"/>
      <c r="G69" s="449"/>
      <c r="H69" s="449"/>
    </row>
    <row r="70" spans="1:8" ht="23.25" customHeight="1" x14ac:dyDescent="0.25">
      <c r="A70" s="449"/>
      <c r="B70" s="449"/>
      <c r="C70" s="449"/>
      <c r="D70" s="449"/>
      <c r="E70" s="449"/>
      <c r="F70" s="449"/>
      <c r="G70" s="449"/>
      <c r="H70" s="449"/>
    </row>
    <row r="71" spans="1:8" ht="23.25" customHeight="1" x14ac:dyDescent="0.25">
      <c r="A71" s="449"/>
      <c r="B71" s="449"/>
      <c r="C71" s="449"/>
      <c r="D71" s="449"/>
      <c r="E71" s="449"/>
      <c r="F71" s="449"/>
      <c r="G71" s="449"/>
      <c r="H71" s="449"/>
    </row>
    <row r="72" spans="1:8" ht="23.25" customHeight="1" x14ac:dyDescent="0.25">
      <c r="A72" s="449"/>
      <c r="B72" s="449"/>
      <c r="C72" s="449"/>
      <c r="D72" s="449"/>
      <c r="E72" s="449"/>
      <c r="F72" s="449"/>
      <c r="G72" s="449"/>
      <c r="H72" s="449"/>
    </row>
    <row r="73" spans="1:8" ht="23.25" customHeight="1" x14ac:dyDescent="0.25">
      <c r="A73" s="449"/>
      <c r="B73" s="449"/>
      <c r="C73" s="449"/>
      <c r="D73" s="449"/>
      <c r="E73" s="449"/>
      <c r="F73" s="449"/>
      <c r="G73" s="449"/>
      <c r="H73" s="449"/>
    </row>
    <row r="74" spans="1:8" ht="23.25" customHeight="1" x14ac:dyDescent="0.25">
      <c r="A74" s="449"/>
      <c r="B74" s="449"/>
      <c r="C74" s="449"/>
      <c r="D74" s="449"/>
      <c r="E74" s="449"/>
      <c r="F74" s="449"/>
      <c r="G74" s="449"/>
      <c r="H74" s="449"/>
    </row>
    <row r="75" spans="1:8" ht="23.25" customHeight="1" x14ac:dyDescent="0.25">
      <c r="A75" s="449"/>
      <c r="B75" s="449"/>
      <c r="C75" s="449"/>
      <c r="D75" s="449"/>
      <c r="E75" s="449"/>
      <c r="F75" s="449"/>
      <c r="G75" s="449"/>
      <c r="H75" s="449"/>
    </row>
    <row r="76" spans="1:8" ht="23.25" customHeight="1" x14ac:dyDescent="0.25">
      <c r="A76" s="449"/>
      <c r="B76" s="449"/>
      <c r="C76" s="449"/>
      <c r="D76" s="449"/>
      <c r="E76" s="449"/>
      <c r="F76" s="449"/>
      <c r="G76" s="449"/>
      <c r="H76" s="449"/>
    </row>
    <row r="77" spans="1:8" ht="23.25" customHeight="1" x14ac:dyDescent="0.25">
      <c r="A77" s="449"/>
      <c r="B77" s="449"/>
      <c r="C77" s="449"/>
      <c r="D77" s="449"/>
      <c r="E77" s="449"/>
      <c r="F77" s="449"/>
      <c r="G77" s="449"/>
      <c r="H77" s="449"/>
    </row>
    <row r="78" spans="1:8" ht="23.25" customHeight="1" x14ac:dyDescent="0.25">
      <c r="A78" s="449"/>
      <c r="B78" s="449"/>
      <c r="C78" s="449"/>
      <c r="D78" s="449"/>
      <c r="E78" s="449"/>
      <c r="F78" s="449"/>
      <c r="G78" s="449"/>
      <c r="H78" s="449"/>
    </row>
    <row r="79" spans="1:8" ht="23.25" customHeight="1" x14ac:dyDescent="0.25">
      <c r="A79" s="449"/>
      <c r="B79" s="449"/>
      <c r="C79" s="449"/>
      <c r="D79" s="449"/>
      <c r="E79" s="449"/>
      <c r="F79" s="449"/>
      <c r="G79" s="449"/>
      <c r="H79" s="449"/>
    </row>
    <row r="80" spans="1:8" ht="23.25" customHeight="1" x14ac:dyDescent="0.25">
      <c r="A80" s="449"/>
      <c r="B80" s="449"/>
      <c r="C80" s="449"/>
      <c r="D80" s="449"/>
      <c r="E80" s="449"/>
      <c r="F80" s="449"/>
      <c r="G80" s="449"/>
      <c r="H80" s="449"/>
    </row>
    <row r="81" spans="1:8" ht="23.25" customHeight="1" x14ac:dyDescent="0.25">
      <c r="A81" s="449"/>
      <c r="B81" s="449"/>
      <c r="C81" s="449"/>
      <c r="D81" s="449"/>
      <c r="E81" s="449"/>
      <c r="F81" s="449"/>
      <c r="G81" s="449"/>
      <c r="H81" s="449"/>
    </row>
    <row r="82" spans="1:8" ht="23.25" customHeight="1" x14ac:dyDescent="0.25">
      <c r="A82" s="449"/>
      <c r="B82" s="449"/>
      <c r="C82" s="449"/>
      <c r="D82" s="449"/>
      <c r="E82" s="449"/>
      <c r="F82" s="449"/>
      <c r="G82" s="449"/>
      <c r="H82" s="449"/>
    </row>
  </sheetData>
  <sheetProtection objects="1"/>
  <mergeCells count="12">
    <mergeCell ref="A9:A10"/>
    <mergeCell ref="E9:F9"/>
    <mergeCell ref="G9:H9"/>
    <mergeCell ref="B9:B10"/>
    <mergeCell ref="C9:D9"/>
    <mergeCell ref="Q9:R9"/>
    <mergeCell ref="S9:T9"/>
    <mergeCell ref="U9:V9"/>
    <mergeCell ref="I9:J9"/>
    <mergeCell ref="K9:L9"/>
    <mergeCell ref="M9:N9"/>
    <mergeCell ref="O9:P9"/>
  </mergeCells>
  <phoneticPr fontId="0" type="noConversion"/>
  <pageMargins left="0.59" right="0.78740157499999996" top="0.48" bottom="0.13" header="0.49212598499999999" footer="0.49212598499999999"/>
  <pageSetup paperSize="9" scale="7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6">
    <pageSetUpPr fitToPage="1"/>
  </sheetPr>
  <dimension ref="A1:W77"/>
  <sheetViews>
    <sheetView view="pageBreakPreview" zoomScale="60" zoomScaleNormal="100" workbookViewId="0"/>
  </sheetViews>
  <sheetFormatPr defaultRowHeight="23.25" customHeight="1" x14ac:dyDescent="0.25"/>
  <cols>
    <col min="1" max="1" width="30.26953125" customWidth="1"/>
    <col min="2" max="2" width="15.1796875" bestFit="1" customWidth="1"/>
    <col min="3" max="22" width="4.81640625" customWidth="1"/>
    <col min="23" max="59" width="4.1796875" customWidth="1"/>
  </cols>
  <sheetData>
    <row r="1" spans="1:23" ht="13.5" customHeight="1" x14ac:dyDescent="0.25">
      <c r="A1" t="str">
        <f>TECNOLOGIAS!A1</f>
        <v>Proponente: TransPolitécnica</v>
      </c>
    </row>
    <row r="2" spans="1:23" ht="13.5" customHeight="1" x14ac:dyDescent="0.25">
      <c r="A2" t="str">
        <f>TECNOLOGIAS!A2</f>
        <v>Área de Concessão: 5 (Cinco)</v>
      </c>
    </row>
    <row r="4" spans="1:23" ht="23.25" customHeight="1" x14ac:dyDescent="0.3">
      <c r="A4" s="438" t="s">
        <v>672</v>
      </c>
      <c r="B4" s="438"/>
    </row>
    <row r="6" spans="1:23" ht="23.25" customHeight="1" x14ac:dyDescent="0.25">
      <c r="A6" s="482" t="s">
        <v>499</v>
      </c>
      <c r="B6" s="454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23.25" customHeight="1" x14ac:dyDescent="0.25">
      <c r="A7" s="317" t="s">
        <v>568</v>
      </c>
      <c r="B7" s="317"/>
    </row>
    <row r="8" spans="1:23" ht="23.25" customHeight="1" x14ac:dyDescent="0.25">
      <c r="A8" s="317"/>
      <c r="B8" s="317"/>
    </row>
    <row r="9" spans="1:23" ht="23.25" customHeight="1" x14ac:dyDescent="0.25">
      <c r="A9" s="689" t="s">
        <v>569</v>
      </c>
      <c r="B9" s="695" t="s">
        <v>764</v>
      </c>
      <c r="C9" s="694" t="s">
        <v>570</v>
      </c>
      <c r="D9" s="693"/>
      <c r="E9" s="691" t="s">
        <v>571</v>
      </c>
      <c r="F9" s="691"/>
      <c r="G9" s="691" t="s">
        <v>572</v>
      </c>
      <c r="H9" s="691"/>
      <c r="I9" s="691" t="s">
        <v>573</v>
      </c>
      <c r="J9" s="691"/>
      <c r="K9" s="691" t="s">
        <v>574</v>
      </c>
      <c r="L9" s="691"/>
      <c r="M9" s="691" t="s">
        <v>575</v>
      </c>
      <c r="N9" s="691"/>
      <c r="O9" s="691" t="s">
        <v>576</v>
      </c>
      <c r="P9" s="691"/>
      <c r="Q9" s="691" t="s">
        <v>577</v>
      </c>
      <c r="R9" s="691"/>
      <c r="S9" s="691" t="s">
        <v>578</v>
      </c>
      <c r="T9" s="691"/>
      <c r="U9" s="691" t="s">
        <v>579</v>
      </c>
      <c r="V9" s="691"/>
    </row>
    <row r="10" spans="1:23" ht="23.25" customHeight="1" x14ac:dyDescent="0.25">
      <c r="A10" s="689"/>
      <c r="B10" s="696"/>
      <c r="C10" s="442" t="s">
        <v>580</v>
      </c>
      <c r="D10" s="442" t="s">
        <v>581</v>
      </c>
      <c r="E10" s="442" t="s">
        <v>582</v>
      </c>
      <c r="F10" s="442" t="s">
        <v>583</v>
      </c>
      <c r="G10" s="442" t="s">
        <v>584</v>
      </c>
      <c r="H10" s="442" t="s">
        <v>585</v>
      </c>
      <c r="I10" s="442" t="s">
        <v>586</v>
      </c>
      <c r="J10" s="442" t="s">
        <v>587</v>
      </c>
      <c r="K10" s="442" t="s">
        <v>588</v>
      </c>
      <c r="L10" s="442" t="s">
        <v>589</v>
      </c>
      <c r="M10" s="442" t="s">
        <v>590</v>
      </c>
      <c r="N10" s="442" t="s">
        <v>591</v>
      </c>
      <c r="O10" s="442" t="s">
        <v>592</v>
      </c>
      <c r="P10" s="442" t="s">
        <v>593</v>
      </c>
      <c r="Q10" s="442" t="s">
        <v>594</v>
      </c>
      <c r="R10" s="442" t="s">
        <v>595</v>
      </c>
      <c r="S10" s="442" t="s">
        <v>596</v>
      </c>
      <c r="T10" s="442" t="s">
        <v>597</v>
      </c>
      <c r="U10" s="442" t="s">
        <v>598</v>
      </c>
      <c r="V10" s="442" t="s">
        <v>599</v>
      </c>
    </row>
    <row r="11" spans="1:23" ht="23.25" customHeight="1" x14ac:dyDescent="0.25">
      <c r="A11" s="444" t="s">
        <v>673</v>
      </c>
      <c r="B11" s="626">
        <v>1200000</v>
      </c>
      <c r="C11" s="455"/>
      <c r="D11" s="455"/>
      <c r="E11" s="455"/>
      <c r="F11" s="455"/>
      <c r="G11" s="455"/>
      <c r="H11" s="455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</row>
    <row r="12" spans="1:23" ht="23.25" customHeight="1" x14ac:dyDescent="0.3">
      <c r="A12" s="456" t="s">
        <v>614</v>
      </c>
      <c r="B12" s="627">
        <f>SUM(B11)</f>
        <v>1200000</v>
      </c>
      <c r="C12" s="445">
        <f>SUM(C11)</f>
        <v>0</v>
      </c>
      <c r="D12" s="445">
        <f t="shared" ref="D12:V12" si="0">SUM(D11)</f>
        <v>0</v>
      </c>
      <c r="E12" s="445">
        <f t="shared" si="0"/>
        <v>0</v>
      </c>
      <c r="F12" s="445">
        <f t="shared" si="0"/>
        <v>0</v>
      </c>
      <c r="G12" s="445">
        <f t="shared" si="0"/>
        <v>0</v>
      </c>
      <c r="H12" s="445">
        <f t="shared" si="0"/>
        <v>0</v>
      </c>
      <c r="I12" s="445">
        <f t="shared" si="0"/>
        <v>0</v>
      </c>
      <c r="J12" s="445">
        <f t="shared" si="0"/>
        <v>0</v>
      </c>
      <c r="K12" s="445">
        <f t="shared" si="0"/>
        <v>0</v>
      </c>
      <c r="L12" s="445">
        <f t="shared" si="0"/>
        <v>0</v>
      </c>
      <c r="M12" s="445">
        <f t="shared" si="0"/>
        <v>0</v>
      </c>
      <c r="N12" s="445">
        <f t="shared" si="0"/>
        <v>0</v>
      </c>
      <c r="O12" s="445">
        <f t="shared" si="0"/>
        <v>0</v>
      </c>
      <c r="P12" s="445">
        <f t="shared" si="0"/>
        <v>0</v>
      </c>
      <c r="Q12" s="445">
        <f t="shared" si="0"/>
        <v>0</v>
      </c>
      <c r="R12" s="445">
        <f t="shared" si="0"/>
        <v>0</v>
      </c>
      <c r="S12" s="445">
        <f t="shared" si="0"/>
        <v>0</v>
      </c>
      <c r="T12" s="445">
        <f t="shared" si="0"/>
        <v>0</v>
      </c>
      <c r="U12" s="445">
        <f t="shared" si="0"/>
        <v>0</v>
      </c>
      <c r="V12" s="445">
        <f t="shared" si="0"/>
        <v>0</v>
      </c>
    </row>
    <row r="13" spans="1:23" ht="23.25" customHeight="1" x14ac:dyDescent="0.3">
      <c r="A13" s="450"/>
      <c r="B13" s="450"/>
      <c r="C13" s="449"/>
      <c r="D13" s="449"/>
      <c r="E13" s="449"/>
      <c r="F13" s="449"/>
      <c r="G13" s="449"/>
      <c r="H13" s="449"/>
    </row>
    <row r="14" spans="1:23" ht="23.25" customHeight="1" x14ac:dyDescent="0.25">
      <c r="A14" t="s">
        <v>447</v>
      </c>
      <c r="C14" s="449"/>
      <c r="D14" s="449"/>
      <c r="E14" s="449"/>
      <c r="F14" s="449"/>
      <c r="G14" s="449"/>
      <c r="H14" s="449"/>
    </row>
    <row r="15" spans="1:23" ht="23.25" customHeight="1" x14ac:dyDescent="0.25">
      <c r="A15" s="449"/>
      <c r="B15" s="449"/>
      <c r="C15" s="449"/>
      <c r="D15" s="449"/>
      <c r="E15" s="449"/>
      <c r="F15" s="449"/>
      <c r="G15" s="449"/>
      <c r="H15" s="449"/>
    </row>
    <row r="16" spans="1:23" ht="23.25" customHeight="1" x14ac:dyDescent="0.25">
      <c r="A16" s="449"/>
      <c r="B16" s="449"/>
      <c r="C16" s="449"/>
      <c r="D16" s="449"/>
      <c r="E16" s="449"/>
      <c r="F16" s="449"/>
      <c r="G16" s="449"/>
      <c r="H16" s="449"/>
    </row>
    <row r="17" spans="1:8" ht="23.25" customHeight="1" x14ac:dyDescent="0.25">
      <c r="A17" s="449"/>
      <c r="B17" s="449"/>
      <c r="C17" s="449"/>
      <c r="D17" s="449"/>
      <c r="E17" s="449"/>
      <c r="F17" s="449"/>
      <c r="G17" s="449"/>
      <c r="H17" s="449"/>
    </row>
    <row r="18" spans="1:8" ht="23.25" customHeight="1" x14ac:dyDescent="0.25">
      <c r="A18" s="449"/>
      <c r="B18" s="449"/>
      <c r="C18" s="449"/>
      <c r="D18" s="449"/>
      <c r="E18" s="449"/>
      <c r="F18" s="449"/>
      <c r="G18" s="449"/>
      <c r="H18" s="449"/>
    </row>
    <row r="19" spans="1:8" ht="23.25" customHeight="1" x14ac:dyDescent="0.25">
      <c r="A19" s="449"/>
      <c r="B19" s="449"/>
      <c r="C19" s="449"/>
      <c r="D19" s="449"/>
      <c r="E19" s="449"/>
      <c r="F19" s="449"/>
      <c r="G19" s="449"/>
      <c r="H19" s="449"/>
    </row>
    <row r="20" spans="1:8" ht="23.25" customHeight="1" x14ac:dyDescent="0.25">
      <c r="A20" s="449"/>
      <c r="B20" s="449"/>
      <c r="C20" s="449"/>
      <c r="D20" s="449"/>
      <c r="E20" s="449"/>
      <c r="F20" s="449"/>
      <c r="G20" s="449"/>
      <c r="H20" s="449"/>
    </row>
    <row r="21" spans="1:8" ht="23.25" customHeight="1" x14ac:dyDescent="0.25">
      <c r="A21" s="449"/>
      <c r="B21" s="449"/>
      <c r="C21" s="449"/>
      <c r="D21" s="449"/>
      <c r="E21" s="449"/>
      <c r="F21" s="449"/>
      <c r="G21" s="449"/>
      <c r="H21" s="449"/>
    </row>
    <row r="22" spans="1:8" ht="23.25" customHeight="1" x14ac:dyDescent="0.25">
      <c r="A22" s="449"/>
      <c r="B22" s="449"/>
      <c r="C22" s="449"/>
      <c r="D22" s="449"/>
      <c r="E22" s="449"/>
      <c r="F22" s="449"/>
      <c r="G22" s="449"/>
      <c r="H22" s="449"/>
    </row>
    <row r="23" spans="1:8" ht="23.25" customHeight="1" x14ac:dyDescent="0.25">
      <c r="A23" s="449"/>
      <c r="B23" s="449"/>
      <c r="C23" s="449"/>
      <c r="D23" s="449"/>
      <c r="E23" s="449"/>
      <c r="F23" s="449"/>
      <c r="G23" s="449"/>
      <c r="H23" s="449"/>
    </row>
    <row r="24" spans="1:8" ht="23.25" customHeight="1" x14ac:dyDescent="0.25">
      <c r="A24" s="449"/>
      <c r="B24" s="449"/>
      <c r="C24" s="449"/>
      <c r="D24" s="449"/>
      <c r="E24" s="449"/>
      <c r="F24" s="449"/>
      <c r="G24" s="449"/>
      <c r="H24" s="449"/>
    </row>
    <row r="25" spans="1:8" ht="23.25" customHeight="1" x14ac:dyDescent="0.25">
      <c r="A25" s="449"/>
      <c r="B25" s="449"/>
      <c r="C25" s="449"/>
      <c r="D25" s="449"/>
      <c r="E25" s="449"/>
      <c r="F25" s="449"/>
      <c r="G25" s="449"/>
      <c r="H25" s="449"/>
    </row>
    <row r="26" spans="1:8" ht="23.25" customHeight="1" x14ac:dyDescent="0.25">
      <c r="A26" s="449"/>
      <c r="B26" s="449"/>
      <c r="C26" s="449"/>
      <c r="D26" s="449"/>
      <c r="E26" s="449"/>
      <c r="F26" s="449"/>
      <c r="G26" s="449"/>
      <c r="H26" s="449"/>
    </row>
    <row r="27" spans="1:8" ht="23.25" customHeight="1" x14ac:dyDescent="0.25">
      <c r="A27" s="449"/>
      <c r="B27" s="449"/>
      <c r="C27" s="449"/>
      <c r="D27" s="449"/>
      <c r="E27" s="449"/>
      <c r="F27" s="449"/>
      <c r="G27" s="449"/>
      <c r="H27" s="449"/>
    </row>
    <row r="28" spans="1:8" ht="23.25" customHeight="1" x14ac:dyDescent="0.25">
      <c r="A28" s="449"/>
      <c r="B28" s="449"/>
      <c r="C28" s="449"/>
      <c r="D28" s="449"/>
      <c r="E28" s="449"/>
      <c r="F28" s="449"/>
      <c r="G28" s="449"/>
      <c r="H28" s="449"/>
    </row>
    <row r="29" spans="1:8" ht="23.25" customHeight="1" x14ac:dyDescent="0.25">
      <c r="A29" s="449"/>
      <c r="B29" s="449"/>
      <c r="C29" s="449"/>
      <c r="D29" s="449"/>
      <c r="E29" s="449"/>
      <c r="F29" s="449"/>
      <c r="G29" s="449"/>
      <c r="H29" s="449"/>
    </row>
    <row r="30" spans="1:8" ht="23.25" customHeight="1" x14ac:dyDescent="0.25">
      <c r="A30" s="449"/>
      <c r="B30" s="449"/>
      <c r="C30" s="449"/>
      <c r="D30" s="449"/>
      <c r="E30" s="449"/>
      <c r="F30" s="449"/>
      <c r="G30" s="449"/>
      <c r="H30" s="449"/>
    </row>
    <row r="31" spans="1:8" ht="23.25" customHeight="1" x14ac:dyDescent="0.25">
      <c r="A31" s="449"/>
      <c r="B31" s="449"/>
      <c r="C31" s="449"/>
      <c r="D31" s="449"/>
      <c r="E31" s="449"/>
      <c r="F31" s="449"/>
      <c r="G31" s="449"/>
      <c r="H31" s="449"/>
    </row>
    <row r="32" spans="1:8" ht="23.25" customHeight="1" x14ac:dyDescent="0.25">
      <c r="A32" s="449"/>
      <c r="B32" s="449"/>
      <c r="C32" s="449"/>
      <c r="D32" s="449"/>
      <c r="E32" s="449"/>
      <c r="F32" s="449"/>
      <c r="G32" s="449"/>
      <c r="H32" s="449"/>
    </row>
    <row r="33" spans="1:8" ht="23.25" customHeight="1" x14ac:dyDescent="0.25">
      <c r="A33" s="449"/>
      <c r="B33" s="449"/>
      <c r="C33" s="449"/>
      <c r="D33" s="449"/>
      <c r="E33" s="449"/>
      <c r="F33" s="449"/>
      <c r="G33" s="449"/>
      <c r="H33" s="449"/>
    </row>
    <row r="34" spans="1:8" ht="23.25" customHeight="1" x14ac:dyDescent="0.25">
      <c r="A34" s="449"/>
      <c r="B34" s="449"/>
      <c r="C34" s="449"/>
      <c r="D34" s="449"/>
      <c r="E34" s="449"/>
      <c r="F34" s="449"/>
      <c r="G34" s="449"/>
      <c r="H34" s="449"/>
    </row>
    <row r="35" spans="1:8" ht="23.25" customHeight="1" x14ac:dyDescent="0.25">
      <c r="A35" s="449"/>
      <c r="B35" s="449"/>
      <c r="C35" s="449"/>
      <c r="D35" s="449"/>
      <c r="E35" s="449"/>
      <c r="F35" s="449"/>
      <c r="G35" s="449"/>
      <c r="H35" s="449"/>
    </row>
    <row r="36" spans="1:8" ht="23.25" customHeight="1" x14ac:dyDescent="0.25">
      <c r="A36" s="449"/>
      <c r="B36" s="449"/>
      <c r="C36" s="449"/>
      <c r="D36" s="449"/>
      <c r="E36" s="449"/>
      <c r="F36" s="449"/>
      <c r="G36" s="449"/>
      <c r="H36" s="449"/>
    </row>
    <row r="37" spans="1:8" ht="23.25" customHeight="1" x14ac:dyDescent="0.25">
      <c r="A37" s="449"/>
      <c r="B37" s="449"/>
      <c r="C37" s="449"/>
      <c r="D37" s="449"/>
      <c r="E37" s="449"/>
      <c r="F37" s="449"/>
      <c r="G37" s="449"/>
      <c r="H37" s="449"/>
    </row>
    <row r="38" spans="1:8" ht="23.25" customHeight="1" x14ac:dyDescent="0.25">
      <c r="A38" s="449"/>
      <c r="B38" s="449"/>
      <c r="C38" s="449"/>
      <c r="D38" s="449"/>
      <c r="E38" s="449"/>
      <c r="F38" s="449"/>
      <c r="G38" s="449"/>
      <c r="H38" s="449"/>
    </row>
    <row r="39" spans="1:8" ht="23.25" customHeight="1" x14ac:dyDescent="0.25">
      <c r="A39" s="449"/>
      <c r="B39" s="449"/>
      <c r="C39" s="449"/>
      <c r="D39" s="449"/>
      <c r="E39" s="449"/>
      <c r="F39" s="449"/>
      <c r="G39" s="449"/>
      <c r="H39" s="449"/>
    </row>
    <row r="40" spans="1:8" ht="23.25" customHeight="1" x14ac:dyDescent="0.25">
      <c r="A40" s="449"/>
      <c r="B40" s="449"/>
      <c r="C40" s="449"/>
      <c r="D40" s="449"/>
      <c r="E40" s="449"/>
      <c r="F40" s="449"/>
      <c r="G40" s="449"/>
      <c r="H40" s="449"/>
    </row>
    <row r="41" spans="1:8" ht="23.25" customHeight="1" x14ac:dyDescent="0.25">
      <c r="A41" s="449"/>
      <c r="B41" s="449"/>
      <c r="C41" s="449"/>
      <c r="D41" s="449"/>
      <c r="E41" s="449"/>
      <c r="F41" s="449"/>
      <c r="G41" s="449"/>
      <c r="H41" s="449"/>
    </row>
    <row r="42" spans="1:8" ht="23.25" customHeight="1" x14ac:dyDescent="0.25">
      <c r="A42" s="449"/>
      <c r="B42" s="449"/>
      <c r="C42" s="449"/>
      <c r="D42" s="449"/>
      <c r="E42" s="449"/>
      <c r="F42" s="449"/>
      <c r="G42" s="449"/>
      <c r="H42" s="449"/>
    </row>
    <row r="43" spans="1:8" ht="23.25" customHeight="1" x14ac:dyDescent="0.25">
      <c r="A43" s="449"/>
      <c r="B43" s="449"/>
      <c r="C43" s="449"/>
      <c r="D43" s="449"/>
      <c r="E43" s="449"/>
      <c r="F43" s="449"/>
      <c r="G43" s="449"/>
      <c r="H43" s="449"/>
    </row>
    <row r="44" spans="1:8" ht="23.25" customHeight="1" x14ac:dyDescent="0.25">
      <c r="A44" s="449"/>
      <c r="B44" s="449"/>
      <c r="C44" s="449"/>
      <c r="D44" s="449"/>
      <c r="E44" s="449"/>
      <c r="F44" s="449"/>
      <c r="G44" s="449"/>
      <c r="H44" s="449"/>
    </row>
    <row r="45" spans="1:8" ht="23.25" customHeight="1" x14ac:dyDescent="0.25">
      <c r="A45" s="449"/>
      <c r="B45" s="449"/>
      <c r="C45" s="449"/>
      <c r="D45" s="449"/>
      <c r="E45" s="449"/>
      <c r="F45" s="449"/>
      <c r="G45" s="449"/>
      <c r="H45" s="449"/>
    </row>
    <row r="46" spans="1:8" ht="23.25" customHeight="1" x14ac:dyDescent="0.25">
      <c r="A46" s="449"/>
      <c r="B46" s="449"/>
      <c r="C46" s="449"/>
      <c r="D46" s="449"/>
      <c r="E46" s="449"/>
      <c r="F46" s="449"/>
      <c r="G46" s="449"/>
      <c r="H46" s="449"/>
    </row>
    <row r="47" spans="1:8" ht="23.25" customHeight="1" x14ac:dyDescent="0.25">
      <c r="A47" s="449"/>
      <c r="B47" s="449"/>
      <c r="C47" s="449"/>
      <c r="D47" s="449"/>
      <c r="E47" s="449"/>
      <c r="F47" s="449"/>
      <c r="G47" s="449"/>
      <c r="H47" s="449"/>
    </row>
    <row r="48" spans="1:8" ht="23.25" customHeight="1" x14ac:dyDescent="0.25">
      <c r="A48" s="449"/>
      <c r="B48" s="449"/>
      <c r="C48" s="449"/>
      <c r="D48" s="449"/>
      <c r="E48" s="449"/>
      <c r="F48" s="449"/>
      <c r="G48" s="449"/>
      <c r="H48" s="449"/>
    </row>
    <row r="49" spans="1:8" ht="23.25" customHeight="1" x14ac:dyDescent="0.25">
      <c r="A49" s="449"/>
      <c r="B49" s="449"/>
      <c r="C49" s="449"/>
      <c r="D49" s="449"/>
      <c r="E49" s="449"/>
      <c r="F49" s="449"/>
      <c r="G49" s="449"/>
      <c r="H49" s="449"/>
    </row>
    <row r="50" spans="1:8" ht="23.25" customHeight="1" x14ac:dyDescent="0.25">
      <c r="A50" s="449"/>
      <c r="B50" s="449"/>
      <c r="C50" s="449"/>
      <c r="D50" s="449"/>
      <c r="E50" s="449"/>
      <c r="F50" s="449"/>
      <c r="G50" s="449"/>
      <c r="H50" s="449"/>
    </row>
    <row r="51" spans="1:8" ht="23.25" customHeight="1" x14ac:dyDescent="0.25">
      <c r="A51" s="449"/>
      <c r="B51" s="449"/>
      <c r="C51" s="449"/>
      <c r="D51" s="449"/>
      <c r="E51" s="449"/>
      <c r="F51" s="449"/>
      <c r="G51" s="449"/>
      <c r="H51" s="449"/>
    </row>
    <row r="52" spans="1:8" ht="23.25" customHeight="1" x14ac:dyDescent="0.25">
      <c r="A52" s="449"/>
      <c r="B52" s="449"/>
      <c r="C52" s="449"/>
      <c r="D52" s="449"/>
      <c r="E52" s="449"/>
      <c r="F52" s="449"/>
      <c r="G52" s="449"/>
      <c r="H52" s="449"/>
    </row>
    <row r="53" spans="1:8" ht="23.25" customHeight="1" x14ac:dyDescent="0.25">
      <c r="A53" s="449"/>
      <c r="B53" s="449"/>
      <c r="C53" s="449"/>
      <c r="D53" s="449"/>
      <c r="E53" s="449"/>
      <c r="F53" s="449"/>
      <c r="G53" s="449"/>
      <c r="H53" s="449"/>
    </row>
    <row r="54" spans="1:8" ht="23.25" customHeight="1" x14ac:dyDescent="0.25">
      <c r="A54" s="449"/>
      <c r="B54" s="449"/>
      <c r="C54" s="449"/>
      <c r="D54" s="449"/>
      <c r="E54" s="449"/>
      <c r="F54" s="449"/>
      <c r="G54" s="449"/>
      <c r="H54" s="449"/>
    </row>
    <row r="55" spans="1:8" ht="23.25" customHeight="1" x14ac:dyDescent="0.25">
      <c r="A55" s="449"/>
      <c r="B55" s="449"/>
      <c r="C55" s="449"/>
      <c r="D55" s="449"/>
      <c r="E55" s="449"/>
      <c r="F55" s="449"/>
      <c r="G55" s="449"/>
      <c r="H55" s="449"/>
    </row>
    <row r="56" spans="1:8" ht="23.25" customHeight="1" x14ac:dyDescent="0.25">
      <c r="A56" s="449"/>
      <c r="B56" s="449"/>
      <c r="C56" s="449"/>
      <c r="D56" s="449"/>
      <c r="E56" s="449"/>
      <c r="F56" s="449"/>
      <c r="G56" s="449"/>
      <c r="H56" s="449"/>
    </row>
    <row r="57" spans="1:8" ht="23.25" customHeight="1" x14ac:dyDescent="0.25">
      <c r="A57" s="449"/>
      <c r="B57" s="449"/>
      <c r="C57" s="449"/>
      <c r="D57" s="449"/>
      <c r="E57" s="449"/>
      <c r="F57" s="449"/>
      <c r="G57" s="449"/>
      <c r="H57" s="449"/>
    </row>
    <row r="58" spans="1:8" ht="23.25" customHeight="1" x14ac:dyDescent="0.25">
      <c r="A58" s="449"/>
      <c r="B58" s="449"/>
      <c r="C58" s="449"/>
      <c r="D58" s="449"/>
      <c r="E58" s="449"/>
      <c r="F58" s="449"/>
      <c r="G58" s="449"/>
      <c r="H58" s="449"/>
    </row>
    <row r="59" spans="1:8" ht="23.25" customHeight="1" x14ac:dyDescent="0.25">
      <c r="A59" s="449"/>
      <c r="B59" s="449"/>
      <c r="C59" s="449"/>
      <c r="D59" s="449"/>
      <c r="E59" s="449"/>
      <c r="F59" s="449"/>
      <c r="G59" s="449"/>
      <c r="H59" s="449"/>
    </row>
    <row r="60" spans="1:8" ht="23.25" customHeight="1" x14ac:dyDescent="0.25">
      <c r="A60" s="449"/>
      <c r="B60" s="449"/>
      <c r="C60" s="449"/>
      <c r="D60" s="449"/>
      <c r="E60" s="449"/>
      <c r="F60" s="449"/>
      <c r="G60" s="449"/>
      <c r="H60" s="449"/>
    </row>
    <row r="61" spans="1:8" ht="23.25" customHeight="1" x14ac:dyDescent="0.25">
      <c r="A61" s="449"/>
      <c r="B61" s="449"/>
      <c r="C61" s="449"/>
      <c r="D61" s="449"/>
      <c r="E61" s="449"/>
      <c r="F61" s="449"/>
      <c r="G61" s="449"/>
      <c r="H61" s="449"/>
    </row>
    <row r="62" spans="1:8" ht="23.25" customHeight="1" x14ac:dyDescent="0.25">
      <c r="A62" s="449"/>
      <c r="B62" s="449"/>
      <c r="C62" s="449"/>
      <c r="D62" s="449"/>
      <c r="E62" s="449"/>
      <c r="F62" s="449"/>
      <c r="G62" s="449"/>
      <c r="H62" s="449"/>
    </row>
    <row r="63" spans="1:8" ht="23.25" customHeight="1" x14ac:dyDescent="0.25">
      <c r="A63" s="449"/>
      <c r="B63" s="449"/>
      <c r="C63" s="449"/>
      <c r="D63" s="449"/>
      <c r="E63" s="449"/>
      <c r="F63" s="449"/>
      <c r="G63" s="449"/>
      <c r="H63" s="449"/>
    </row>
    <row r="64" spans="1:8" ht="23.25" customHeight="1" x14ac:dyDescent="0.25">
      <c r="A64" s="449"/>
      <c r="B64" s="449"/>
      <c r="C64" s="449"/>
      <c r="D64" s="449"/>
      <c r="E64" s="449"/>
      <c r="F64" s="449"/>
      <c r="G64" s="449"/>
      <c r="H64" s="449"/>
    </row>
    <row r="65" spans="1:8" ht="23.25" customHeight="1" x14ac:dyDescent="0.25">
      <c r="A65" s="449"/>
      <c r="B65" s="449"/>
      <c r="C65" s="449"/>
      <c r="D65" s="449"/>
      <c r="E65" s="449"/>
      <c r="F65" s="449"/>
      <c r="G65" s="449"/>
      <c r="H65" s="449"/>
    </row>
    <row r="66" spans="1:8" ht="23.25" customHeight="1" x14ac:dyDescent="0.25">
      <c r="A66" s="449"/>
      <c r="B66" s="449"/>
      <c r="C66" s="449"/>
      <c r="D66" s="449"/>
      <c r="E66" s="449"/>
      <c r="F66" s="449"/>
      <c r="G66" s="449"/>
      <c r="H66" s="449"/>
    </row>
    <row r="67" spans="1:8" ht="23.25" customHeight="1" x14ac:dyDescent="0.25">
      <c r="A67" s="449"/>
      <c r="B67" s="449"/>
      <c r="C67" s="449"/>
      <c r="D67" s="449"/>
      <c r="E67" s="449"/>
      <c r="F67" s="449"/>
      <c r="G67" s="449"/>
      <c r="H67" s="449"/>
    </row>
    <row r="68" spans="1:8" ht="23.25" customHeight="1" x14ac:dyDescent="0.25">
      <c r="A68" s="449"/>
      <c r="B68" s="449"/>
      <c r="C68" s="449"/>
      <c r="D68" s="449"/>
      <c r="E68" s="449"/>
      <c r="F68" s="449"/>
      <c r="G68" s="449"/>
      <c r="H68" s="449"/>
    </row>
    <row r="69" spans="1:8" ht="23.25" customHeight="1" x14ac:dyDescent="0.25">
      <c r="A69" s="449"/>
      <c r="B69" s="449"/>
      <c r="C69" s="449"/>
      <c r="D69" s="449"/>
      <c r="E69" s="449"/>
      <c r="F69" s="449"/>
      <c r="G69" s="449"/>
      <c r="H69" s="449"/>
    </row>
    <row r="70" spans="1:8" ht="23.25" customHeight="1" x14ac:dyDescent="0.25">
      <c r="A70" s="449"/>
      <c r="B70" s="449"/>
      <c r="C70" s="449"/>
      <c r="D70" s="449"/>
      <c r="E70" s="449"/>
      <c r="F70" s="449"/>
      <c r="G70" s="449"/>
      <c r="H70" s="449"/>
    </row>
    <row r="71" spans="1:8" ht="23.25" customHeight="1" x14ac:dyDescent="0.25">
      <c r="A71" s="449"/>
      <c r="B71" s="449"/>
      <c r="C71" s="449"/>
      <c r="D71" s="449"/>
      <c r="E71" s="449"/>
      <c r="F71" s="449"/>
      <c r="G71" s="449"/>
      <c r="H71" s="449"/>
    </row>
    <row r="72" spans="1:8" ht="23.25" customHeight="1" x14ac:dyDescent="0.25">
      <c r="A72" s="449"/>
      <c r="B72" s="449"/>
      <c r="C72" s="449"/>
      <c r="D72" s="449"/>
      <c r="E72" s="449"/>
      <c r="F72" s="449"/>
      <c r="G72" s="449"/>
      <c r="H72" s="449"/>
    </row>
    <row r="73" spans="1:8" ht="23.25" customHeight="1" x14ac:dyDescent="0.25">
      <c r="A73" s="449"/>
      <c r="B73" s="449"/>
      <c r="C73" s="449"/>
      <c r="D73" s="449"/>
      <c r="E73" s="449"/>
      <c r="F73" s="449"/>
      <c r="G73" s="449"/>
      <c r="H73" s="449"/>
    </row>
    <row r="74" spans="1:8" ht="23.25" customHeight="1" x14ac:dyDescent="0.25">
      <c r="A74" s="449"/>
      <c r="B74" s="449"/>
      <c r="C74" s="449"/>
      <c r="D74" s="449"/>
      <c r="E74" s="449"/>
      <c r="F74" s="449"/>
      <c r="G74" s="449"/>
      <c r="H74" s="449"/>
    </row>
    <row r="75" spans="1:8" ht="23.25" customHeight="1" x14ac:dyDescent="0.25">
      <c r="A75" s="449"/>
      <c r="B75" s="449"/>
      <c r="C75" s="449"/>
      <c r="D75" s="449"/>
      <c r="E75" s="449"/>
      <c r="F75" s="449"/>
      <c r="G75" s="449"/>
      <c r="H75" s="449"/>
    </row>
    <row r="76" spans="1:8" ht="23.25" customHeight="1" x14ac:dyDescent="0.25">
      <c r="A76" s="449"/>
      <c r="B76" s="449"/>
      <c r="C76" s="449"/>
      <c r="D76" s="449"/>
      <c r="E76" s="449"/>
      <c r="F76" s="449"/>
      <c r="G76" s="449"/>
      <c r="H76" s="449"/>
    </row>
    <row r="77" spans="1:8" ht="23.25" customHeight="1" x14ac:dyDescent="0.25">
      <c r="A77" s="449"/>
      <c r="B77" s="449"/>
      <c r="C77" s="449"/>
      <c r="D77" s="449"/>
      <c r="E77" s="449"/>
      <c r="F77" s="449"/>
      <c r="G77" s="449"/>
      <c r="H77" s="449"/>
    </row>
  </sheetData>
  <sheetProtection objects="1"/>
  <mergeCells count="12">
    <mergeCell ref="S9:T9"/>
    <mergeCell ref="U9:V9"/>
    <mergeCell ref="I9:J9"/>
    <mergeCell ref="K9:L9"/>
    <mergeCell ref="M9:N9"/>
    <mergeCell ref="O9:P9"/>
    <mergeCell ref="A9:A10"/>
    <mergeCell ref="E9:F9"/>
    <mergeCell ref="G9:H9"/>
    <mergeCell ref="C9:D9"/>
    <mergeCell ref="B9:B10"/>
    <mergeCell ref="Q9:R9"/>
  </mergeCells>
  <phoneticPr fontId="0" type="noConversion"/>
  <pageMargins left="0.59" right="0.78740157499999996" top="0.48" bottom="0.13" header="0.49212598499999999" footer="0.49212598499999999"/>
  <pageSetup paperSize="9" scale="94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7">
    <pageSetUpPr fitToPage="1"/>
  </sheetPr>
  <dimension ref="A1:V15"/>
  <sheetViews>
    <sheetView view="pageBreakPreview" zoomScale="60" zoomScaleNormal="100" workbookViewId="0">
      <selection activeCell="I11" sqref="I11:I12"/>
    </sheetView>
  </sheetViews>
  <sheetFormatPr defaultColWidth="9.1796875" defaultRowHeight="29.25" customHeight="1" x14ac:dyDescent="0.25"/>
  <cols>
    <col min="1" max="1" width="22.453125" style="221" customWidth="1"/>
    <col min="2" max="3" width="13.453125" style="221" bestFit="1" customWidth="1"/>
    <col min="4" max="8" width="5.453125" style="221" customWidth="1"/>
    <col min="9" max="9" width="13.453125" style="221" bestFit="1" customWidth="1"/>
    <col min="10" max="22" width="5.453125" style="221" customWidth="1"/>
    <col min="23" max="38" width="5" style="221" customWidth="1"/>
    <col min="39" max="49" width="6.1796875" style="221" customWidth="1"/>
    <col min="50" max="16384" width="9.1796875" style="221"/>
  </cols>
  <sheetData>
    <row r="1" spans="1:22" ht="13.5" customHeight="1" x14ac:dyDescent="0.25">
      <c r="A1" s="221" t="str">
        <f>TECNOLOGIAS!A1</f>
        <v>Proponente: TransPolitécnica</v>
      </c>
    </row>
    <row r="2" spans="1:22" ht="13.5" customHeight="1" x14ac:dyDescent="0.25">
      <c r="A2" s="221" t="str">
        <f>TECNOLOGIAS!A2</f>
        <v>Área de Concessão: 5 (Cinco)</v>
      </c>
    </row>
    <row r="4" spans="1:22" ht="29.25" customHeight="1" x14ac:dyDescent="0.25">
      <c r="A4" s="385" t="s">
        <v>674</v>
      </c>
      <c r="B4" s="385"/>
      <c r="C4" s="439"/>
    </row>
    <row r="6" spans="1:22" s="387" customFormat="1" ht="29.25" customHeight="1" x14ac:dyDescent="0.25">
      <c r="A6" s="426" t="s">
        <v>675</v>
      </c>
      <c r="B6" s="460"/>
    </row>
    <row r="7" spans="1:22" ht="29.25" customHeight="1" x14ac:dyDescent="0.25">
      <c r="A7" s="403" t="s">
        <v>568</v>
      </c>
      <c r="B7" s="403"/>
    </row>
    <row r="8" spans="1:22" ht="29.25" customHeight="1" x14ac:dyDescent="0.25">
      <c r="A8" s="403"/>
      <c r="B8" s="403"/>
    </row>
    <row r="9" spans="1:22" ht="29.25" customHeight="1" x14ac:dyDescent="0.25">
      <c r="A9" s="689" t="s">
        <v>569</v>
      </c>
      <c r="B9" s="695" t="s">
        <v>764</v>
      </c>
      <c r="C9" s="699" t="s">
        <v>570</v>
      </c>
      <c r="D9" s="700"/>
      <c r="E9" s="688" t="s">
        <v>571</v>
      </c>
      <c r="F9" s="688"/>
      <c r="G9" s="688" t="s">
        <v>572</v>
      </c>
      <c r="H9" s="688"/>
      <c r="I9" s="688" t="s">
        <v>573</v>
      </c>
      <c r="J9" s="688"/>
      <c r="K9" s="688" t="s">
        <v>574</v>
      </c>
      <c r="L9" s="688"/>
      <c r="M9" s="688" t="s">
        <v>575</v>
      </c>
      <c r="N9" s="688"/>
      <c r="O9" s="688" t="s">
        <v>576</v>
      </c>
      <c r="P9" s="688"/>
      <c r="Q9" s="688" t="s">
        <v>577</v>
      </c>
      <c r="R9" s="688"/>
      <c r="S9" s="688" t="s">
        <v>578</v>
      </c>
      <c r="T9" s="688"/>
      <c r="U9" s="688" t="s">
        <v>579</v>
      </c>
      <c r="V9" s="688"/>
    </row>
    <row r="10" spans="1:22" ht="29.25" customHeight="1" x14ac:dyDescent="0.25">
      <c r="A10" s="689"/>
      <c r="B10" s="696"/>
      <c r="C10" s="429" t="s">
        <v>580</v>
      </c>
      <c r="D10" s="429" t="s">
        <v>581</v>
      </c>
      <c r="E10" s="429" t="s">
        <v>582</v>
      </c>
      <c r="F10" s="429" t="s">
        <v>583</v>
      </c>
      <c r="G10" s="429" t="s">
        <v>584</v>
      </c>
      <c r="H10" s="429" t="s">
        <v>585</v>
      </c>
      <c r="I10" s="429" t="s">
        <v>586</v>
      </c>
      <c r="J10" s="429" t="s">
        <v>587</v>
      </c>
      <c r="K10" s="429" t="s">
        <v>588</v>
      </c>
      <c r="L10" s="429" t="s">
        <v>589</v>
      </c>
      <c r="M10" s="429" t="s">
        <v>590</v>
      </c>
      <c r="N10" s="429" t="s">
        <v>591</v>
      </c>
      <c r="O10" s="429" t="s">
        <v>592</v>
      </c>
      <c r="P10" s="429" t="s">
        <v>593</v>
      </c>
      <c r="Q10" s="429" t="s">
        <v>594</v>
      </c>
      <c r="R10" s="429" t="s">
        <v>595</v>
      </c>
      <c r="S10" s="429" t="s">
        <v>596</v>
      </c>
      <c r="T10" s="429" t="s">
        <v>597</v>
      </c>
      <c r="U10" s="429" t="s">
        <v>598</v>
      </c>
      <c r="V10" s="429" t="s">
        <v>599</v>
      </c>
    </row>
    <row r="11" spans="1:22" ht="29.25" customHeight="1" x14ac:dyDescent="0.25">
      <c r="A11" s="434" t="s">
        <v>676</v>
      </c>
      <c r="B11" s="629">
        <f>'39D'!B17</f>
        <v>140395</v>
      </c>
      <c r="C11" s="629">
        <f>'39D'!C17</f>
        <v>282790</v>
      </c>
      <c r="D11" s="465">
        <f>'39D'!D17</f>
        <v>0</v>
      </c>
      <c r="E11" s="465">
        <f>'39D'!E17</f>
        <v>0</v>
      </c>
      <c r="F11" s="465">
        <f>'39D'!F17</f>
        <v>0</v>
      </c>
      <c r="G11" s="465">
        <f>'39D'!G17</f>
        <v>0</v>
      </c>
      <c r="H11" s="465">
        <f>'39D'!H17</f>
        <v>0</v>
      </c>
      <c r="I11" s="629">
        <f>'39D'!I17</f>
        <v>280790</v>
      </c>
      <c r="J11" s="465">
        <f>'39D'!J17</f>
        <v>0</v>
      </c>
      <c r="K11" s="465">
        <f>'39D'!K17</f>
        <v>0</v>
      </c>
      <c r="L11" s="465">
        <f>'39D'!L17</f>
        <v>0</v>
      </c>
      <c r="M11" s="465">
        <f>'39D'!M17</f>
        <v>0</v>
      </c>
      <c r="N11" s="465">
        <f>'39D'!N17</f>
        <v>0</v>
      </c>
      <c r="O11" s="465">
        <f>'39D'!O17</f>
        <v>0</v>
      </c>
      <c r="P11" s="465">
        <f>'39D'!P17</f>
        <v>0</v>
      </c>
      <c r="Q11" s="465">
        <f>'39D'!Q17</f>
        <v>0</v>
      </c>
      <c r="R11" s="465">
        <f>'39D'!R17</f>
        <v>0</v>
      </c>
      <c r="S11" s="465">
        <f>'39D'!S17</f>
        <v>0</v>
      </c>
      <c r="T11" s="465">
        <f>'39D'!T17</f>
        <v>0</v>
      </c>
      <c r="U11" s="465">
        <f>'39D'!U17</f>
        <v>0</v>
      </c>
      <c r="V11" s="465">
        <f>'39D'!V17</f>
        <v>0</v>
      </c>
    </row>
    <row r="12" spans="1:22" ht="29.25" customHeight="1" x14ac:dyDescent="0.25">
      <c r="A12" s="434" t="s">
        <v>677</v>
      </c>
      <c r="B12" s="630">
        <f>B11</f>
        <v>140395</v>
      </c>
      <c r="C12" s="630">
        <f t="shared" ref="C12:V12" si="0">C11</f>
        <v>282790</v>
      </c>
      <c r="D12" s="434">
        <f t="shared" si="0"/>
        <v>0</v>
      </c>
      <c r="E12" s="434">
        <f t="shared" si="0"/>
        <v>0</v>
      </c>
      <c r="F12" s="434">
        <f t="shared" si="0"/>
        <v>0</v>
      </c>
      <c r="G12" s="434">
        <f t="shared" si="0"/>
        <v>0</v>
      </c>
      <c r="H12" s="434">
        <f t="shared" si="0"/>
        <v>0</v>
      </c>
      <c r="I12" s="630">
        <f t="shared" si="0"/>
        <v>280790</v>
      </c>
      <c r="J12" s="434">
        <f t="shared" si="0"/>
        <v>0</v>
      </c>
      <c r="K12" s="434">
        <f t="shared" si="0"/>
        <v>0</v>
      </c>
      <c r="L12" s="434">
        <f t="shared" si="0"/>
        <v>0</v>
      </c>
      <c r="M12" s="434">
        <f t="shared" si="0"/>
        <v>0</v>
      </c>
      <c r="N12" s="434">
        <f t="shared" si="0"/>
        <v>0</v>
      </c>
      <c r="O12" s="434">
        <f t="shared" si="0"/>
        <v>0</v>
      </c>
      <c r="P12" s="434">
        <f t="shared" si="0"/>
        <v>0</v>
      </c>
      <c r="Q12" s="434">
        <f t="shared" si="0"/>
        <v>0</v>
      </c>
      <c r="R12" s="434">
        <f t="shared" si="0"/>
        <v>0</v>
      </c>
      <c r="S12" s="434">
        <f t="shared" si="0"/>
        <v>0</v>
      </c>
      <c r="T12" s="434">
        <f t="shared" si="0"/>
        <v>0</v>
      </c>
      <c r="U12" s="434">
        <f t="shared" si="0"/>
        <v>0</v>
      </c>
      <c r="V12" s="434">
        <f t="shared" si="0"/>
        <v>0</v>
      </c>
    </row>
    <row r="13" spans="1:22" ht="29.25" customHeight="1" x14ac:dyDescent="0.25">
      <c r="A13" s="434" t="s">
        <v>678</v>
      </c>
      <c r="B13" s="465">
        <f>B11-B12</f>
        <v>0</v>
      </c>
      <c r="C13" s="465">
        <f>C11-C12</f>
        <v>0</v>
      </c>
      <c r="D13" s="465">
        <f t="shared" ref="D13:V13" si="1">D11-D12</f>
        <v>0</v>
      </c>
      <c r="E13" s="465">
        <f t="shared" si="1"/>
        <v>0</v>
      </c>
      <c r="F13" s="465">
        <f t="shared" si="1"/>
        <v>0</v>
      </c>
      <c r="G13" s="465">
        <f t="shared" si="1"/>
        <v>0</v>
      </c>
      <c r="H13" s="465">
        <f t="shared" si="1"/>
        <v>0</v>
      </c>
      <c r="I13" s="465">
        <f t="shared" si="1"/>
        <v>0</v>
      </c>
      <c r="J13" s="465">
        <f t="shared" si="1"/>
        <v>0</v>
      </c>
      <c r="K13" s="465">
        <f t="shared" si="1"/>
        <v>0</v>
      </c>
      <c r="L13" s="465">
        <f t="shared" si="1"/>
        <v>0</v>
      </c>
      <c r="M13" s="465">
        <f t="shared" si="1"/>
        <v>0</v>
      </c>
      <c r="N13" s="465">
        <f t="shared" si="1"/>
        <v>0</v>
      </c>
      <c r="O13" s="465">
        <f t="shared" si="1"/>
        <v>0</v>
      </c>
      <c r="P13" s="465">
        <f t="shared" si="1"/>
        <v>0</v>
      </c>
      <c r="Q13" s="465">
        <f t="shared" si="1"/>
        <v>0</v>
      </c>
      <c r="R13" s="465">
        <f t="shared" si="1"/>
        <v>0</v>
      </c>
      <c r="S13" s="465">
        <f t="shared" si="1"/>
        <v>0</v>
      </c>
      <c r="T13" s="465">
        <f t="shared" si="1"/>
        <v>0</v>
      </c>
      <c r="U13" s="465">
        <f t="shared" si="1"/>
        <v>0</v>
      </c>
      <c r="V13" s="465">
        <f t="shared" si="1"/>
        <v>0</v>
      </c>
    </row>
    <row r="15" spans="1:22" ht="29.25" customHeight="1" x14ac:dyDescent="0.25">
      <c r="A15" t="s">
        <v>447</v>
      </c>
      <c r="B15"/>
    </row>
  </sheetData>
  <sheetProtection objects="1"/>
  <mergeCells count="12">
    <mergeCell ref="S9:T9"/>
    <mergeCell ref="U9:V9"/>
    <mergeCell ref="I9:J9"/>
    <mergeCell ref="K9:L9"/>
    <mergeCell ref="M9:N9"/>
    <mergeCell ref="O9:P9"/>
    <mergeCell ref="A9:A10"/>
    <mergeCell ref="E9:F9"/>
    <mergeCell ref="G9:H9"/>
    <mergeCell ref="B9:B10"/>
    <mergeCell ref="C9:D9"/>
    <mergeCell ref="Q9:R9"/>
  </mergeCells>
  <phoneticPr fontId="0" type="noConversion"/>
  <pageMargins left="0.57999999999999996" right="0" top="0.59" bottom="0.98425196850393704" header="0.51181102362204722" footer="0.51181102362204722"/>
  <pageSetup paperSize="9" scale="88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8">
    <pageSetUpPr fitToPage="1"/>
  </sheetPr>
  <dimension ref="A1:V15"/>
  <sheetViews>
    <sheetView view="pageBreakPreview" zoomScale="60" zoomScaleNormal="100" workbookViewId="0">
      <selection activeCell="B11" sqref="B11:B12"/>
    </sheetView>
  </sheetViews>
  <sheetFormatPr defaultColWidth="9.1796875" defaultRowHeight="29.25" customHeight="1" x14ac:dyDescent="0.25"/>
  <cols>
    <col min="1" max="1" width="22" style="221" customWidth="1"/>
    <col min="2" max="2" width="15.1796875" style="221" bestFit="1" customWidth="1"/>
    <col min="3" max="22" width="5.453125" style="221" customWidth="1"/>
    <col min="23" max="38" width="5" style="221" customWidth="1"/>
    <col min="39" max="49" width="6.1796875" style="221" customWidth="1"/>
    <col min="50" max="16384" width="9.1796875" style="221"/>
  </cols>
  <sheetData>
    <row r="1" spans="1:22" ht="13.5" customHeight="1" x14ac:dyDescent="0.25">
      <c r="A1" s="221" t="str">
        <f>TECNOLOGIAS!A1</f>
        <v>Proponente: TransPolitécnica</v>
      </c>
    </row>
    <row r="2" spans="1:22" ht="13.5" customHeight="1" x14ac:dyDescent="0.25">
      <c r="A2" s="221" t="str">
        <f>TECNOLOGIAS!A2</f>
        <v>Área de Concessão: 5 (Cinco)</v>
      </c>
    </row>
    <row r="4" spans="1:22" ht="29.25" customHeight="1" x14ac:dyDescent="0.25">
      <c r="A4" s="385" t="s">
        <v>679</v>
      </c>
      <c r="B4" s="385"/>
      <c r="C4" s="439"/>
    </row>
    <row r="6" spans="1:22" s="387" customFormat="1" ht="29.25" customHeight="1" x14ac:dyDescent="0.25">
      <c r="A6" s="426" t="s">
        <v>680</v>
      </c>
      <c r="B6" s="460"/>
    </row>
    <row r="7" spans="1:22" ht="29.25" customHeight="1" x14ac:dyDescent="0.25">
      <c r="A7" s="403" t="s">
        <v>568</v>
      </c>
      <c r="B7" s="403"/>
    </row>
    <row r="8" spans="1:22" ht="29.25" customHeight="1" x14ac:dyDescent="0.25">
      <c r="A8" s="403"/>
      <c r="B8" s="403"/>
    </row>
    <row r="9" spans="1:22" ht="29.25" customHeight="1" x14ac:dyDescent="0.25">
      <c r="A9" s="689" t="s">
        <v>569</v>
      </c>
      <c r="B9" s="695" t="s">
        <v>764</v>
      </c>
      <c r="C9" s="699" t="s">
        <v>570</v>
      </c>
      <c r="D9" s="700"/>
      <c r="E9" s="688" t="s">
        <v>571</v>
      </c>
      <c r="F9" s="688"/>
      <c r="G9" s="688" t="s">
        <v>572</v>
      </c>
      <c r="H9" s="688"/>
      <c r="I9" s="688" t="s">
        <v>573</v>
      </c>
      <c r="J9" s="688"/>
      <c r="K9" s="688" t="s">
        <v>574</v>
      </c>
      <c r="L9" s="688"/>
      <c r="M9" s="688" t="s">
        <v>575</v>
      </c>
      <c r="N9" s="688"/>
      <c r="O9" s="688" t="s">
        <v>576</v>
      </c>
      <c r="P9" s="688"/>
      <c r="Q9" s="688" t="s">
        <v>577</v>
      </c>
      <c r="R9" s="688"/>
      <c r="S9" s="688" t="s">
        <v>578</v>
      </c>
      <c r="T9" s="688"/>
      <c r="U9" s="688" t="s">
        <v>579</v>
      </c>
      <c r="V9" s="688"/>
    </row>
    <row r="10" spans="1:22" ht="29.25" customHeight="1" x14ac:dyDescent="0.25">
      <c r="A10" s="689"/>
      <c r="B10" s="696"/>
      <c r="C10" s="429" t="s">
        <v>580</v>
      </c>
      <c r="D10" s="429" t="s">
        <v>581</v>
      </c>
      <c r="E10" s="429" t="s">
        <v>582</v>
      </c>
      <c r="F10" s="429" t="s">
        <v>583</v>
      </c>
      <c r="G10" s="429" t="s">
        <v>584</v>
      </c>
      <c r="H10" s="429" t="s">
        <v>585</v>
      </c>
      <c r="I10" s="429" t="s">
        <v>586</v>
      </c>
      <c r="J10" s="429" t="s">
        <v>587</v>
      </c>
      <c r="K10" s="429" t="s">
        <v>588</v>
      </c>
      <c r="L10" s="429" t="s">
        <v>589</v>
      </c>
      <c r="M10" s="429" t="s">
        <v>590</v>
      </c>
      <c r="N10" s="429" t="s">
        <v>591</v>
      </c>
      <c r="O10" s="429" t="s">
        <v>592</v>
      </c>
      <c r="P10" s="429" t="s">
        <v>593</v>
      </c>
      <c r="Q10" s="429" t="s">
        <v>594</v>
      </c>
      <c r="R10" s="429" t="s">
        <v>595</v>
      </c>
      <c r="S10" s="429" t="s">
        <v>596</v>
      </c>
      <c r="T10" s="429" t="s">
        <v>597</v>
      </c>
      <c r="U10" s="429" t="s">
        <v>598</v>
      </c>
      <c r="V10" s="429" t="s">
        <v>599</v>
      </c>
    </row>
    <row r="11" spans="1:22" ht="29.25" customHeight="1" x14ac:dyDescent="0.25">
      <c r="A11" s="434" t="s">
        <v>676</v>
      </c>
      <c r="B11" s="629">
        <f>'39E'!B12</f>
        <v>1200000</v>
      </c>
      <c r="C11" s="465">
        <f>'39E'!C12</f>
        <v>0</v>
      </c>
      <c r="D11" s="465">
        <f>'39E'!D12</f>
        <v>0</v>
      </c>
      <c r="E11" s="465">
        <f>'39E'!E12</f>
        <v>0</v>
      </c>
      <c r="F11" s="465">
        <f>'39E'!F12</f>
        <v>0</v>
      </c>
      <c r="G11" s="465">
        <f>'39E'!G12</f>
        <v>0</v>
      </c>
      <c r="H11" s="465">
        <f>'39E'!H12</f>
        <v>0</v>
      </c>
      <c r="I11" s="465">
        <f>'39E'!I12</f>
        <v>0</v>
      </c>
      <c r="J11" s="465">
        <f>'39E'!J12</f>
        <v>0</v>
      </c>
      <c r="K11" s="465">
        <f>'39E'!K12</f>
        <v>0</v>
      </c>
      <c r="L11" s="465">
        <f>'39E'!L12</f>
        <v>0</v>
      </c>
      <c r="M11" s="465">
        <f>'39E'!M12</f>
        <v>0</v>
      </c>
      <c r="N11" s="465">
        <f>'39E'!N12</f>
        <v>0</v>
      </c>
      <c r="O11" s="465">
        <f>'39E'!O12</f>
        <v>0</v>
      </c>
      <c r="P11" s="465">
        <f>'39E'!P12</f>
        <v>0</v>
      </c>
      <c r="Q11" s="465">
        <f>'39E'!Q12</f>
        <v>0</v>
      </c>
      <c r="R11" s="465">
        <f>'39E'!R12</f>
        <v>0</v>
      </c>
      <c r="S11" s="465">
        <f>'39E'!S12</f>
        <v>0</v>
      </c>
      <c r="T11" s="465">
        <f>'39E'!T12</f>
        <v>0</v>
      </c>
      <c r="U11" s="465">
        <f>'39E'!U12</f>
        <v>0</v>
      </c>
      <c r="V11" s="465">
        <f>'39E'!V12</f>
        <v>0</v>
      </c>
    </row>
    <row r="12" spans="1:22" ht="29.25" customHeight="1" x14ac:dyDescent="0.25">
      <c r="A12" s="434" t="s">
        <v>677</v>
      </c>
      <c r="B12" s="630">
        <f>B11</f>
        <v>1200000</v>
      </c>
      <c r="C12" s="434">
        <f t="shared" ref="C12:V12" si="0">C11</f>
        <v>0</v>
      </c>
      <c r="D12" s="434">
        <f t="shared" si="0"/>
        <v>0</v>
      </c>
      <c r="E12" s="434">
        <f t="shared" si="0"/>
        <v>0</v>
      </c>
      <c r="F12" s="434">
        <f t="shared" si="0"/>
        <v>0</v>
      </c>
      <c r="G12" s="434">
        <f t="shared" si="0"/>
        <v>0</v>
      </c>
      <c r="H12" s="434">
        <f t="shared" si="0"/>
        <v>0</v>
      </c>
      <c r="I12" s="434">
        <f t="shared" si="0"/>
        <v>0</v>
      </c>
      <c r="J12" s="434">
        <f t="shared" si="0"/>
        <v>0</v>
      </c>
      <c r="K12" s="434">
        <f t="shared" si="0"/>
        <v>0</v>
      </c>
      <c r="L12" s="434">
        <f t="shared" si="0"/>
        <v>0</v>
      </c>
      <c r="M12" s="434">
        <f t="shared" si="0"/>
        <v>0</v>
      </c>
      <c r="N12" s="434">
        <f t="shared" si="0"/>
        <v>0</v>
      </c>
      <c r="O12" s="434">
        <f t="shared" si="0"/>
        <v>0</v>
      </c>
      <c r="P12" s="434">
        <f t="shared" si="0"/>
        <v>0</v>
      </c>
      <c r="Q12" s="434">
        <f t="shared" si="0"/>
        <v>0</v>
      </c>
      <c r="R12" s="434">
        <f t="shared" si="0"/>
        <v>0</v>
      </c>
      <c r="S12" s="434">
        <f t="shared" si="0"/>
        <v>0</v>
      </c>
      <c r="T12" s="434">
        <f t="shared" si="0"/>
        <v>0</v>
      </c>
      <c r="U12" s="434">
        <f t="shared" si="0"/>
        <v>0</v>
      </c>
      <c r="V12" s="434">
        <f t="shared" si="0"/>
        <v>0</v>
      </c>
    </row>
    <row r="13" spans="1:22" ht="29.25" customHeight="1" x14ac:dyDescent="0.25">
      <c r="A13" s="434" t="s">
        <v>678</v>
      </c>
      <c r="B13" s="465">
        <f>B11-B12</f>
        <v>0</v>
      </c>
      <c r="C13" s="465">
        <f>C11-C12</f>
        <v>0</v>
      </c>
      <c r="D13" s="465">
        <f t="shared" ref="D13:V13" si="1">D11-D12</f>
        <v>0</v>
      </c>
      <c r="E13" s="465">
        <f t="shared" si="1"/>
        <v>0</v>
      </c>
      <c r="F13" s="465">
        <f t="shared" si="1"/>
        <v>0</v>
      </c>
      <c r="G13" s="465">
        <f t="shared" si="1"/>
        <v>0</v>
      </c>
      <c r="H13" s="465">
        <f t="shared" si="1"/>
        <v>0</v>
      </c>
      <c r="I13" s="465">
        <f t="shared" si="1"/>
        <v>0</v>
      </c>
      <c r="J13" s="465">
        <f t="shared" si="1"/>
        <v>0</v>
      </c>
      <c r="K13" s="465">
        <f t="shared" si="1"/>
        <v>0</v>
      </c>
      <c r="L13" s="465">
        <f t="shared" si="1"/>
        <v>0</v>
      </c>
      <c r="M13" s="465">
        <f t="shared" si="1"/>
        <v>0</v>
      </c>
      <c r="N13" s="465">
        <f t="shared" si="1"/>
        <v>0</v>
      </c>
      <c r="O13" s="465">
        <f t="shared" si="1"/>
        <v>0</v>
      </c>
      <c r="P13" s="465">
        <f t="shared" si="1"/>
        <v>0</v>
      </c>
      <c r="Q13" s="465">
        <f t="shared" si="1"/>
        <v>0</v>
      </c>
      <c r="R13" s="465">
        <f t="shared" si="1"/>
        <v>0</v>
      </c>
      <c r="S13" s="465">
        <f t="shared" si="1"/>
        <v>0</v>
      </c>
      <c r="T13" s="465">
        <f t="shared" si="1"/>
        <v>0</v>
      </c>
      <c r="U13" s="465">
        <f t="shared" si="1"/>
        <v>0</v>
      </c>
      <c r="V13" s="465">
        <f t="shared" si="1"/>
        <v>0</v>
      </c>
    </row>
    <row r="15" spans="1:22" ht="29.25" customHeight="1" x14ac:dyDescent="0.25">
      <c r="A15" t="s">
        <v>447</v>
      </c>
      <c r="B15"/>
    </row>
  </sheetData>
  <sheetProtection objects="1"/>
  <mergeCells count="12">
    <mergeCell ref="A9:A10"/>
    <mergeCell ref="E9:F9"/>
    <mergeCell ref="G9:H9"/>
    <mergeCell ref="B9:B10"/>
    <mergeCell ref="C9:D9"/>
    <mergeCell ref="Q9:R9"/>
    <mergeCell ref="S9:T9"/>
    <mergeCell ref="U9:V9"/>
    <mergeCell ref="I9:J9"/>
    <mergeCell ref="K9:L9"/>
    <mergeCell ref="M9:N9"/>
    <mergeCell ref="O9:P9"/>
  </mergeCells>
  <phoneticPr fontId="0" type="noConversion"/>
  <pageMargins left="0.61" right="0" top="0.59" bottom="0.98425196850393704" header="0.51181102362204722" footer="0.51181102362204722"/>
  <pageSetup paperSize="9" scale="97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9"/>
  <dimension ref="A1:BF17"/>
  <sheetViews>
    <sheetView view="pageBreakPreview" zoomScale="60" zoomScaleNormal="100" workbookViewId="0"/>
  </sheetViews>
  <sheetFormatPr defaultColWidth="9.1796875" defaultRowHeight="29.25" customHeight="1" x14ac:dyDescent="0.25"/>
  <cols>
    <col min="1" max="1" width="21.81640625" style="221" customWidth="1"/>
    <col min="2" max="2" width="5.81640625" style="221" customWidth="1"/>
    <col min="3" max="22" width="5.453125" style="221" customWidth="1"/>
    <col min="23" max="38" width="5" style="221" customWidth="1"/>
    <col min="39" max="49" width="6.1796875" style="221" customWidth="1"/>
    <col min="50" max="16384" width="9.1796875" style="221"/>
  </cols>
  <sheetData>
    <row r="1" spans="1:58" ht="13.5" customHeight="1" x14ac:dyDescent="0.25">
      <c r="A1" s="221" t="str">
        <f>TECNOLOGIAS!A1</f>
        <v>Proponente: TransPolitécnica</v>
      </c>
    </row>
    <row r="2" spans="1:58" ht="13.5" customHeight="1" x14ac:dyDescent="0.25">
      <c r="A2" s="221" t="str">
        <f>TECNOLOGIAS!A2</f>
        <v>Área de Concessão: 5 (Cinco)</v>
      </c>
    </row>
    <row r="4" spans="1:58" ht="29.25" customHeight="1" x14ac:dyDescent="0.25">
      <c r="A4" s="385" t="s">
        <v>681</v>
      </c>
      <c r="B4" s="385"/>
      <c r="C4" s="439"/>
    </row>
    <row r="5" spans="1:58" ht="29.25" customHeight="1" x14ac:dyDescent="0.25">
      <c r="A5" s="426"/>
      <c r="B5" s="426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</row>
    <row r="6" spans="1:58" s="387" customFormat="1" ht="29.25" customHeight="1" x14ac:dyDescent="0.25">
      <c r="A6" s="426" t="s">
        <v>484</v>
      </c>
      <c r="B6" s="460"/>
    </row>
    <row r="7" spans="1:58" ht="29.25" customHeight="1" x14ac:dyDescent="0.25">
      <c r="A7" s="403" t="s">
        <v>568</v>
      </c>
      <c r="B7" s="403"/>
    </row>
    <row r="8" spans="1:58" ht="29.25" customHeight="1" x14ac:dyDescent="0.25">
      <c r="A8" s="403"/>
      <c r="B8" s="403"/>
    </row>
    <row r="9" spans="1:58" ht="29.25" customHeight="1" x14ac:dyDescent="0.25">
      <c r="A9" s="689" t="s">
        <v>569</v>
      </c>
      <c r="B9" s="695" t="s">
        <v>764</v>
      </c>
      <c r="C9" s="699" t="s">
        <v>570</v>
      </c>
      <c r="D9" s="700"/>
      <c r="E9" s="688" t="s">
        <v>571</v>
      </c>
      <c r="F9" s="688"/>
      <c r="G9" s="688" t="s">
        <v>572</v>
      </c>
      <c r="H9" s="688"/>
      <c r="I9" s="688" t="s">
        <v>573</v>
      </c>
      <c r="J9" s="688"/>
      <c r="K9" s="688" t="s">
        <v>574</v>
      </c>
      <c r="L9" s="688"/>
      <c r="M9" s="688" t="s">
        <v>575</v>
      </c>
      <c r="N9" s="688"/>
      <c r="O9" s="688" t="s">
        <v>576</v>
      </c>
      <c r="P9" s="688"/>
      <c r="Q9" s="688" t="s">
        <v>577</v>
      </c>
      <c r="R9" s="688"/>
      <c r="S9" s="688" t="s">
        <v>578</v>
      </c>
      <c r="T9" s="688"/>
      <c r="U9" s="688" t="s">
        <v>579</v>
      </c>
      <c r="V9" s="688"/>
    </row>
    <row r="10" spans="1:58" ht="29.25" customHeight="1" x14ac:dyDescent="0.25">
      <c r="A10" s="689"/>
      <c r="B10" s="701"/>
      <c r="C10" s="429" t="s">
        <v>580</v>
      </c>
      <c r="D10" s="429" t="s">
        <v>581</v>
      </c>
      <c r="E10" s="429" t="s">
        <v>582</v>
      </c>
      <c r="F10" s="429" t="s">
        <v>583</v>
      </c>
      <c r="G10" s="429" t="s">
        <v>584</v>
      </c>
      <c r="H10" s="429" t="s">
        <v>585</v>
      </c>
      <c r="I10" s="429" t="s">
        <v>586</v>
      </c>
      <c r="J10" s="429" t="s">
        <v>587</v>
      </c>
      <c r="K10" s="429" t="s">
        <v>588</v>
      </c>
      <c r="L10" s="429" t="s">
        <v>589</v>
      </c>
      <c r="M10" s="429" t="s">
        <v>590</v>
      </c>
      <c r="N10" s="429" t="s">
        <v>591</v>
      </c>
      <c r="O10" s="429" t="s">
        <v>592</v>
      </c>
      <c r="P10" s="429" t="s">
        <v>593</v>
      </c>
      <c r="Q10" s="429" t="s">
        <v>594</v>
      </c>
      <c r="R10" s="429" t="s">
        <v>595</v>
      </c>
      <c r="S10" s="429" t="s">
        <v>596</v>
      </c>
      <c r="T10" s="429" t="s">
        <v>597</v>
      </c>
      <c r="U10" s="429" t="s">
        <v>598</v>
      </c>
      <c r="V10" s="429" t="s">
        <v>599</v>
      </c>
    </row>
    <row r="11" spans="1:58" ht="29.25" customHeight="1" x14ac:dyDescent="0.25">
      <c r="A11" s="434" t="s">
        <v>682</v>
      </c>
      <c r="B11" s="434"/>
      <c r="C11" s="461"/>
      <c r="D11" s="461"/>
      <c r="E11" s="461"/>
      <c r="F11" s="461"/>
      <c r="G11" s="461"/>
      <c r="H11" s="461"/>
      <c r="I11" s="434"/>
      <c r="J11" s="434"/>
      <c r="K11" s="434"/>
      <c r="L11" s="434"/>
      <c r="M11" s="434"/>
      <c r="N11" s="434"/>
      <c r="O11" s="434"/>
      <c r="P11" s="434"/>
      <c r="Q11" s="434"/>
      <c r="R11" s="434"/>
      <c r="S11" s="434"/>
      <c r="T11" s="434"/>
      <c r="U11" s="434"/>
      <c r="V11" s="434"/>
    </row>
    <row r="12" spans="1:58" ht="29.25" customHeight="1" x14ac:dyDescent="0.25">
      <c r="A12" s="434" t="s">
        <v>265</v>
      </c>
      <c r="B12" s="434"/>
      <c r="C12" s="461"/>
      <c r="D12" s="461"/>
      <c r="E12" s="461"/>
      <c r="F12" s="461"/>
      <c r="G12" s="461"/>
      <c r="H12" s="461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  <c r="T12" s="434"/>
      <c r="U12" s="434"/>
      <c r="V12" s="434"/>
    </row>
    <row r="13" spans="1:58" ht="29.25" customHeight="1" x14ac:dyDescent="0.25">
      <c r="A13" s="434" t="s">
        <v>683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</row>
    <row r="14" spans="1:58" ht="29.25" customHeight="1" x14ac:dyDescent="0.25">
      <c r="A14" s="434" t="s">
        <v>267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434"/>
      <c r="U14" s="434"/>
      <c r="V14" s="434"/>
    </row>
    <row r="15" spans="1:58" ht="29.25" customHeight="1" x14ac:dyDescent="0.25">
      <c r="A15" s="434" t="s">
        <v>684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</row>
    <row r="17" spans="1:2" ht="29.25" customHeight="1" x14ac:dyDescent="0.25">
      <c r="A17" t="s">
        <v>447</v>
      </c>
      <c r="B17"/>
    </row>
  </sheetData>
  <sheetProtection objects="1"/>
  <mergeCells count="12">
    <mergeCell ref="A9:A10"/>
    <mergeCell ref="E9:F9"/>
    <mergeCell ref="G9:H9"/>
    <mergeCell ref="C9:D9"/>
    <mergeCell ref="B9:B10"/>
    <mergeCell ref="O9:P9"/>
    <mergeCell ref="Q9:R9"/>
    <mergeCell ref="S9:T9"/>
    <mergeCell ref="U9:V9"/>
    <mergeCell ref="I9:J9"/>
    <mergeCell ref="K9:L9"/>
    <mergeCell ref="M9:N9"/>
  </mergeCells>
  <phoneticPr fontId="0" type="noConversion"/>
  <pageMargins left="0.61" right="0" top="0.59" bottom="0.98425196850393704" header="0.51181102362204722" footer="0.51181102362204722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105</vt:i4>
      </vt:variant>
      <vt:variant>
        <vt:lpstr>Intervalos Nomeados</vt:lpstr>
      </vt:variant>
      <vt:variant>
        <vt:i4>38</vt:i4>
      </vt:variant>
    </vt:vector>
  </HeadingPairs>
  <TitlesOfParts>
    <vt:vector size="143" baseType="lpstr">
      <vt:lpstr>CAPA</vt:lpstr>
      <vt:lpstr>Anexos</vt:lpstr>
      <vt:lpstr>TECNOLOGIAS</vt:lpstr>
      <vt:lpstr>1</vt:lpstr>
      <vt:lpstr>2</vt:lpstr>
      <vt:lpstr>3</vt:lpstr>
      <vt:lpstr>4A</vt:lpstr>
      <vt:lpstr>4B</vt:lpstr>
      <vt:lpstr>4C</vt:lpstr>
      <vt:lpstr>4D</vt:lpstr>
      <vt:lpstr>4E</vt:lpstr>
      <vt:lpstr>4F</vt:lpstr>
      <vt:lpstr>4G</vt:lpstr>
      <vt:lpstr>4H</vt:lpstr>
      <vt:lpstr>5A</vt:lpstr>
      <vt:lpstr>5B</vt:lpstr>
      <vt:lpstr>5C</vt:lpstr>
      <vt:lpstr>5D</vt:lpstr>
      <vt:lpstr>5E</vt:lpstr>
      <vt:lpstr>5F</vt:lpstr>
      <vt:lpstr>5G</vt:lpstr>
      <vt:lpstr>5H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16A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29A</vt:lpstr>
      <vt:lpstr>29B</vt:lpstr>
      <vt:lpstr>29C</vt:lpstr>
      <vt:lpstr>29D</vt:lpstr>
      <vt:lpstr>29E</vt:lpstr>
      <vt:lpstr>29F</vt:lpstr>
      <vt:lpstr>29G</vt:lpstr>
      <vt:lpstr>29H</vt:lpstr>
      <vt:lpstr>30A</vt:lpstr>
      <vt:lpstr>30B</vt:lpstr>
      <vt:lpstr>30C</vt:lpstr>
      <vt:lpstr>31A</vt:lpstr>
      <vt:lpstr>31B</vt:lpstr>
      <vt:lpstr>31C</vt:lpstr>
      <vt:lpstr>31D</vt:lpstr>
      <vt:lpstr>31E</vt:lpstr>
      <vt:lpstr>32A</vt:lpstr>
      <vt:lpstr>32B</vt:lpstr>
      <vt:lpstr>32C</vt:lpstr>
      <vt:lpstr>32D</vt:lpstr>
      <vt:lpstr>33A</vt:lpstr>
      <vt:lpstr>33B</vt:lpstr>
      <vt:lpstr>33C</vt:lpstr>
      <vt:lpstr>33D</vt:lpstr>
      <vt:lpstr>33E</vt:lpstr>
      <vt:lpstr>34</vt:lpstr>
      <vt:lpstr>35A</vt:lpstr>
      <vt:lpstr>35B</vt:lpstr>
      <vt:lpstr>35C</vt:lpstr>
      <vt:lpstr>35D</vt:lpstr>
      <vt:lpstr>35E</vt:lpstr>
      <vt:lpstr>35F</vt:lpstr>
      <vt:lpstr>35G</vt:lpstr>
      <vt:lpstr>35H</vt:lpstr>
      <vt:lpstr>36A</vt:lpstr>
      <vt:lpstr>36B</vt:lpstr>
      <vt:lpstr>36C</vt:lpstr>
      <vt:lpstr>36D</vt:lpstr>
      <vt:lpstr>36E</vt:lpstr>
      <vt:lpstr>36F</vt:lpstr>
      <vt:lpstr>37A</vt:lpstr>
      <vt:lpstr>37B</vt:lpstr>
      <vt:lpstr>37C</vt:lpstr>
      <vt:lpstr>37D</vt:lpstr>
      <vt:lpstr>38</vt:lpstr>
      <vt:lpstr>39A</vt:lpstr>
      <vt:lpstr>39B</vt:lpstr>
      <vt:lpstr>39C</vt:lpstr>
      <vt:lpstr>39D</vt:lpstr>
      <vt:lpstr>39E</vt:lpstr>
      <vt:lpstr>40A</vt:lpstr>
      <vt:lpstr>40B</vt:lpstr>
      <vt:lpstr>41A</vt:lpstr>
      <vt:lpstr>41B</vt:lpstr>
      <vt:lpstr>42A</vt:lpstr>
      <vt:lpstr>42B</vt:lpstr>
      <vt:lpstr>43</vt:lpstr>
      <vt:lpstr>44</vt:lpstr>
      <vt:lpstr>45</vt:lpstr>
      <vt:lpstr>'12'!Area_de_impressao</vt:lpstr>
      <vt:lpstr>'14'!Area_de_impressao</vt:lpstr>
      <vt:lpstr>'16'!Area_de_impressao</vt:lpstr>
      <vt:lpstr>'16A'!Area_de_impressao</vt:lpstr>
      <vt:lpstr>'29A'!Area_de_impressao</vt:lpstr>
      <vt:lpstr>'29B'!Area_de_impressao</vt:lpstr>
      <vt:lpstr>'29E'!Area_de_impressao</vt:lpstr>
      <vt:lpstr>'29F'!Area_de_impressao</vt:lpstr>
      <vt:lpstr>'35A'!Area_de_impressao</vt:lpstr>
      <vt:lpstr>'43'!Area_de_impressao</vt:lpstr>
      <vt:lpstr>'44'!Area_de_impressao</vt:lpstr>
      <vt:lpstr>'45'!Area_de_impressao</vt:lpstr>
      <vt:lpstr>'4A'!Area_de_impressao</vt:lpstr>
      <vt:lpstr>FL_01</vt:lpstr>
      <vt:lpstr>'16'!Titulos_de_impressao</vt:lpstr>
      <vt:lpstr>'16A'!Titulos_de_impressao</vt:lpstr>
      <vt:lpstr>'27'!Titulos_de_impressao</vt:lpstr>
      <vt:lpstr>'28'!Titulos_de_impressao</vt:lpstr>
      <vt:lpstr>'30A'!Titulos_de_impressao</vt:lpstr>
      <vt:lpstr>'30B'!Titulos_de_impressao</vt:lpstr>
      <vt:lpstr>'30C'!Titulos_de_impressao</vt:lpstr>
      <vt:lpstr>'33A'!Titulos_de_impressao</vt:lpstr>
      <vt:lpstr>'33B'!Titulos_de_impressao</vt:lpstr>
      <vt:lpstr>'33C'!Titulos_de_impressao</vt:lpstr>
      <vt:lpstr>'33D'!Titulos_de_impressao</vt:lpstr>
      <vt:lpstr>'33E'!Titulos_de_impressao</vt:lpstr>
      <vt:lpstr>'43'!Titulos_de_impressao</vt:lpstr>
      <vt:lpstr>'44'!Titulos_de_impressao</vt:lpstr>
      <vt:lpstr>'45'!Titulos_de_impressao</vt:lpstr>
      <vt:lpstr>'4A'!Titulos_de_impressao</vt:lpstr>
      <vt:lpstr>'4B'!Titulos_de_impressao</vt:lpstr>
      <vt:lpstr>'4C'!Titulos_de_impressao</vt:lpstr>
      <vt:lpstr>'4D'!Titulos_de_impressao</vt:lpstr>
      <vt:lpstr>'4E'!Titulos_de_impressao</vt:lpstr>
      <vt:lpstr>'4F'!Titulos_de_impressao</vt:lpstr>
      <vt:lpstr>'4G'!Titulos_de_impressao</vt:lpstr>
      <vt:lpstr>'4H'!Titulos_de_impressao</vt:lpstr>
      <vt:lpstr>'9'!Titulos_de_impressao</vt:lpstr>
    </vt:vector>
  </TitlesOfParts>
  <Company>SPTrans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São Paulo Transporte S/A</dc:creator>
  <cp:lastModifiedBy>gabfer</cp:lastModifiedBy>
  <cp:lastPrinted>2003-02-27T21:20:00Z</cp:lastPrinted>
  <dcterms:created xsi:type="dcterms:W3CDTF">2001-11-19T13:33:39Z</dcterms:created>
  <dcterms:modified xsi:type="dcterms:W3CDTF">2017-11-09T19:54:48Z</dcterms:modified>
</cp:coreProperties>
</file>