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mac/Dropbox/DISCIPLINAS GRADUAÇÃO FEARP/RAD - Custos/"/>
    </mc:Choice>
  </mc:AlternateContent>
  <bookViews>
    <workbookView xWindow="1040" yWindow="1680" windowWidth="27760" windowHeight="16380" tabRatio="500"/>
  </bookViews>
  <sheets>
    <sheet name="exerc. Acomp." sheetId="1" r:id="rId1"/>
    <sheet name="ex fix 1" sheetId="2" r:id="rId2"/>
    <sheet name="ex fix 2" sheetId="3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3" l="1"/>
  <c r="C32" i="3"/>
  <c r="G20" i="3"/>
  <c r="C33" i="3"/>
  <c r="C34" i="3"/>
  <c r="C35" i="3"/>
  <c r="C36" i="3"/>
  <c r="C25" i="3"/>
  <c r="C24" i="3"/>
  <c r="C26" i="3"/>
  <c r="C38" i="3"/>
  <c r="D32" i="3"/>
  <c r="D33" i="3"/>
  <c r="D34" i="3"/>
  <c r="D35" i="3"/>
  <c r="D36" i="3"/>
  <c r="D25" i="3"/>
  <c r="D24" i="3"/>
  <c r="D26" i="3"/>
  <c r="D38" i="3"/>
  <c r="E32" i="3"/>
  <c r="E33" i="3"/>
  <c r="E34" i="3"/>
  <c r="E35" i="3"/>
  <c r="E36" i="3"/>
  <c r="E38" i="3"/>
  <c r="F32" i="3"/>
  <c r="F33" i="3"/>
  <c r="F34" i="3"/>
  <c r="F35" i="3"/>
  <c r="F36" i="3"/>
  <c r="F38" i="3"/>
  <c r="G38" i="3"/>
  <c r="C49" i="3"/>
  <c r="D49" i="3"/>
  <c r="E49" i="3"/>
  <c r="C37" i="3"/>
  <c r="D37" i="3"/>
  <c r="E37" i="3"/>
  <c r="F37" i="3"/>
  <c r="G37" i="3"/>
  <c r="C48" i="3"/>
  <c r="D48" i="3"/>
  <c r="E48" i="3"/>
  <c r="C44" i="3"/>
  <c r="D44" i="3"/>
  <c r="E44" i="3"/>
  <c r="L43" i="3"/>
  <c r="K43" i="3"/>
  <c r="C43" i="3"/>
  <c r="D43" i="3"/>
  <c r="E43" i="3"/>
  <c r="L42" i="3"/>
  <c r="K42" i="3"/>
  <c r="G32" i="3"/>
  <c r="G33" i="3"/>
  <c r="G34" i="3"/>
  <c r="G35" i="3"/>
  <c r="G36" i="3"/>
  <c r="D69" i="2"/>
  <c r="G16" i="2"/>
  <c r="F39" i="2"/>
  <c r="G18" i="2"/>
  <c r="F21" i="2"/>
  <c r="F40" i="2"/>
  <c r="F41" i="2"/>
  <c r="G17" i="2"/>
  <c r="F20" i="2"/>
  <c r="F42" i="2"/>
  <c r="F43" i="2"/>
  <c r="F44" i="2"/>
  <c r="C35" i="2"/>
  <c r="D34" i="2"/>
  <c r="E45" i="2"/>
  <c r="E39" i="2"/>
  <c r="E21" i="2"/>
  <c r="E40" i="2"/>
  <c r="E41" i="2"/>
  <c r="E20" i="2"/>
  <c r="E42" i="2"/>
  <c r="E43" i="2"/>
  <c r="E44" i="2"/>
  <c r="E46" i="2"/>
  <c r="D47" i="2"/>
  <c r="C47" i="2"/>
  <c r="D32" i="2"/>
  <c r="C45" i="2"/>
  <c r="C39" i="2"/>
  <c r="C21" i="2"/>
  <c r="C40" i="2"/>
  <c r="C41" i="2"/>
  <c r="C20" i="2"/>
  <c r="C42" i="2"/>
  <c r="C43" i="2"/>
  <c r="C44" i="2"/>
  <c r="C46" i="2"/>
  <c r="C48" i="2"/>
  <c r="D24" i="2"/>
  <c r="C65" i="2"/>
  <c r="D33" i="2"/>
  <c r="D45" i="2"/>
  <c r="D39" i="2"/>
  <c r="D21" i="2"/>
  <c r="D40" i="2"/>
  <c r="D41" i="2"/>
  <c r="D20" i="2"/>
  <c r="D42" i="2"/>
  <c r="D43" i="2"/>
  <c r="D44" i="2"/>
  <c r="D46" i="2"/>
  <c r="D48" i="2"/>
  <c r="D65" i="2"/>
  <c r="G65" i="2"/>
  <c r="D70" i="2"/>
  <c r="D71" i="2"/>
  <c r="D72" i="2"/>
  <c r="C69" i="2"/>
  <c r="C24" i="2"/>
  <c r="C64" i="2"/>
  <c r="D64" i="2"/>
  <c r="G64" i="2"/>
  <c r="C70" i="2"/>
  <c r="C71" i="2"/>
  <c r="C72" i="2"/>
  <c r="E69" i="2"/>
  <c r="E70" i="2"/>
  <c r="E71" i="2"/>
  <c r="G66" i="2"/>
  <c r="D66" i="2"/>
  <c r="C66" i="2"/>
  <c r="D57" i="2"/>
  <c r="D23" i="2"/>
  <c r="C53" i="2"/>
  <c r="D53" i="2"/>
  <c r="G53" i="2"/>
  <c r="D58" i="2"/>
  <c r="D59" i="2"/>
  <c r="D60" i="2"/>
  <c r="C57" i="2"/>
  <c r="C23" i="2"/>
  <c r="C52" i="2"/>
  <c r="D52" i="2"/>
  <c r="G52" i="2"/>
  <c r="C58" i="2"/>
  <c r="C59" i="2"/>
  <c r="C60" i="2"/>
  <c r="E57" i="2"/>
  <c r="E58" i="2"/>
  <c r="E59" i="2"/>
  <c r="G54" i="2"/>
  <c r="D54" i="2"/>
  <c r="C54" i="2"/>
  <c r="E47" i="2"/>
  <c r="G47" i="2"/>
  <c r="F45" i="2"/>
  <c r="G45" i="2"/>
  <c r="G39" i="2"/>
  <c r="G40" i="2"/>
  <c r="G41" i="2"/>
  <c r="G42" i="2"/>
  <c r="G43" i="2"/>
  <c r="G44" i="2"/>
  <c r="G46" i="2"/>
  <c r="G48" i="2"/>
  <c r="F46" i="2"/>
  <c r="F48" i="2"/>
  <c r="E48" i="2"/>
  <c r="C13" i="2"/>
  <c r="H37" i="1"/>
  <c r="C9" i="1"/>
  <c r="D7" i="1"/>
  <c r="F38" i="1"/>
  <c r="F37" i="1"/>
  <c r="F39" i="1"/>
  <c r="F41" i="1"/>
  <c r="C22" i="1"/>
  <c r="D19" i="1"/>
  <c r="C42" i="1"/>
  <c r="D8" i="1"/>
  <c r="G38" i="1"/>
  <c r="G37" i="1"/>
  <c r="G39" i="1"/>
  <c r="D13" i="1"/>
  <c r="C40" i="1"/>
  <c r="D4" i="1"/>
  <c r="C38" i="1"/>
  <c r="C37" i="1"/>
  <c r="C39" i="1"/>
  <c r="C41" i="1"/>
  <c r="C43" i="1"/>
  <c r="E28" i="1"/>
  <c r="C44" i="1"/>
  <c r="D21" i="1"/>
  <c r="D42" i="1"/>
  <c r="D15" i="1"/>
  <c r="D40" i="1"/>
  <c r="D6" i="1"/>
  <c r="D38" i="1"/>
  <c r="D37" i="1"/>
  <c r="D39" i="1"/>
  <c r="D41" i="1"/>
  <c r="D43" i="1"/>
  <c r="D44" i="1"/>
  <c r="D20" i="1"/>
  <c r="E42" i="1"/>
  <c r="D14" i="1"/>
  <c r="E40" i="1"/>
  <c r="D5" i="1"/>
  <c r="E38" i="1"/>
  <c r="E37" i="1"/>
  <c r="E39" i="1"/>
  <c r="E41" i="1"/>
  <c r="E43" i="1"/>
  <c r="E44" i="1"/>
  <c r="I44" i="1"/>
  <c r="D52" i="1"/>
  <c r="D53" i="1"/>
  <c r="D54" i="1"/>
  <c r="C45" i="1"/>
  <c r="D45" i="1"/>
  <c r="I45" i="1"/>
  <c r="C52" i="1"/>
  <c r="C53" i="1"/>
  <c r="C54" i="1"/>
  <c r="E50" i="1"/>
  <c r="E51" i="1"/>
  <c r="E52" i="1"/>
  <c r="E53" i="1"/>
  <c r="I46" i="1"/>
  <c r="E46" i="1"/>
  <c r="D46" i="1"/>
  <c r="C46" i="1"/>
  <c r="F42" i="1"/>
  <c r="I42" i="1"/>
  <c r="G40" i="1"/>
  <c r="I40" i="1"/>
  <c r="H38" i="1"/>
  <c r="I38" i="1"/>
  <c r="I37" i="1"/>
  <c r="I39" i="1"/>
  <c r="I41" i="1"/>
  <c r="I43" i="1"/>
  <c r="H39" i="1"/>
  <c r="H41" i="1"/>
  <c r="H43" i="1"/>
  <c r="G41" i="1"/>
  <c r="G43" i="1"/>
  <c r="F43" i="1"/>
  <c r="I36" i="1"/>
  <c r="I35" i="1"/>
  <c r="I34" i="1"/>
  <c r="I33" i="1"/>
  <c r="E29" i="1"/>
</calcChain>
</file>

<file path=xl/sharedStrings.xml><?xml version="1.0" encoding="utf-8"?>
<sst xmlns="http://schemas.openxmlformats.org/spreadsheetml/2006/main" count="194" uniqueCount="93">
  <si>
    <t>Departamentos</t>
  </si>
  <si>
    <t>Nº de Funcionários</t>
  </si>
  <si>
    <t>Proporção</t>
  </si>
  <si>
    <t>Estamparia</t>
  </si>
  <si>
    <t>Montagem</t>
  </si>
  <si>
    <t>Furação</t>
  </si>
  <si>
    <t>Almoxarifado</t>
  </si>
  <si>
    <t>Manutenção</t>
  </si>
  <si>
    <t>Total</t>
  </si>
  <si>
    <t>Deptos</t>
  </si>
  <si>
    <t>Hmaq</t>
  </si>
  <si>
    <t xml:space="preserve">Estamparia </t>
  </si>
  <si>
    <t xml:space="preserve">Montagem </t>
  </si>
  <si>
    <t xml:space="preserve">Furação </t>
  </si>
  <si>
    <t xml:space="preserve">Total </t>
  </si>
  <si>
    <t>Num. Requisições</t>
  </si>
  <si>
    <t>Maçanetas</t>
  </si>
  <si>
    <t>Trancas</t>
  </si>
  <si>
    <t>Volume</t>
  </si>
  <si>
    <t>Material</t>
  </si>
  <si>
    <t>Mão-de-Obra</t>
  </si>
  <si>
    <t>Custos Indiretos</t>
  </si>
  <si>
    <t>Adm. Geral Produção</t>
  </si>
  <si>
    <t>Mat. Indireto</t>
  </si>
  <si>
    <t>Energia Elétrica</t>
  </si>
  <si>
    <t>MOI</t>
  </si>
  <si>
    <t>Aluguel</t>
  </si>
  <si>
    <t>Rateio Adm. Geral</t>
  </si>
  <si>
    <t>Soma</t>
  </si>
  <si>
    <t>Rateio Manutenção</t>
  </si>
  <si>
    <t>Rateio Almoxarifado</t>
  </si>
  <si>
    <t>a)</t>
  </si>
  <si>
    <t>b)</t>
  </si>
  <si>
    <t>c)</t>
  </si>
  <si>
    <t>Custos Diretos</t>
  </si>
  <si>
    <t>CIP</t>
  </si>
  <si>
    <t>Custo Total</t>
  </si>
  <si>
    <t>Custo Unitário</t>
  </si>
  <si>
    <t>Prato</t>
  </si>
  <si>
    <t>Mozzarela</t>
  </si>
  <si>
    <t>CD</t>
  </si>
  <si>
    <t xml:space="preserve"> Aluguel </t>
  </si>
  <si>
    <t xml:space="preserve"> Material </t>
  </si>
  <si>
    <t xml:space="preserve"> Depreciação </t>
  </si>
  <si>
    <t xml:space="preserve"> Energia elétrica </t>
  </si>
  <si>
    <t xml:space="preserve"> Outros </t>
  </si>
  <si>
    <t xml:space="preserve"> Pasteurização </t>
  </si>
  <si>
    <t xml:space="preserve"> Embalagem  </t>
  </si>
  <si>
    <t xml:space="preserve"> Manutenção </t>
  </si>
  <si>
    <t xml:space="preserve"> Adm. Produção </t>
  </si>
  <si>
    <t>Área (m2)</t>
  </si>
  <si>
    <t>Energia Elétrica (kwh)</t>
  </si>
  <si>
    <t>Horas de MO</t>
  </si>
  <si>
    <t>Energia Elétrica - Proporção</t>
  </si>
  <si>
    <t>Horas de MO - Proporção</t>
  </si>
  <si>
    <t>Volume - Proporção</t>
  </si>
  <si>
    <t>CD - Proporção</t>
  </si>
  <si>
    <t>Nº de funcionários</t>
  </si>
  <si>
    <t xml:space="preserve"> Embalagem </t>
  </si>
  <si>
    <t>Custos</t>
  </si>
  <si>
    <t>Pasteurização</t>
  </si>
  <si>
    <t>Embalagem</t>
  </si>
  <si>
    <t>Adm. Produção</t>
  </si>
  <si>
    <t>Rateio da Adm. Produção</t>
  </si>
  <si>
    <t xml:space="preserve">Soma </t>
  </si>
  <si>
    <t>Rateio da Manutenção</t>
  </si>
  <si>
    <t>Rateio com Base em Volume</t>
  </si>
  <si>
    <t xml:space="preserve">TOTAL </t>
  </si>
  <si>
    <t>Rateio com Base em CD</t>
  </si>
  <si>
    <t>Medicamentos</t>
  </si>
  <si>
    <t>Produção</t>
  </si>
  <si>
    <t>A1</t>
  </si>
  <si>
    <t>B2</t>
  </si>
  <si>
    <t>Custos diretos</t>
  </si>
  <si>
    <t>Manipulação</t>
  </si>
  <si>
    <t>Embalamento</t>
  </si>
  <si>
    <t>PCP</t>
  </si>
  <si>
    <t>Supervisão</t>
  </si>
  <si>
    <t>Depreciação de Equipamentos</t>
  </si>
  <si>
    <t>$</t>
  </si>
  <si>
    <t>Aluguel do galpão industrial</t>
  </si>
  <si>
    <t>Energia Elétrica – Produção</t>
  </si>
  <si>
    <t>Consumo de Energia (kwh)</t>
  </si>
  <si>
    <t>Tempo MOD</t>
  </si>
  <si>
    <t>Tempo Máquina</t>
  </si>
  <si>
    <t>Apoio</t>
  </si>
  <si>
    <t>EE</t>
  </si>
  <si>
    <t>Supervisao</t>
  </si>
  <si>
    <t>Depreciação</t>
  </si>
  <si>
    <t>Custo Indiretos</t>
  </si>
  <si>
    <t>Nº de Ordens</t>
  </si>
  <si>
    <t>Custo/Ordem</t>
  </si>
  <si>
    <t>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</si>
</sst>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43" fontId="2" fillId="0" borderId="1" xfId="1" applyFont="1" applyBorder="1"/>
    <xf numFmtId="43" fontId="2" fillId="0" borderId="1" xfId="1" applyFont="1" applyBorder="1" applyAlignment="1">
      <alignment horizontal="center"/>
    </xf>
    <xf numFmtId="43" fontId="1" fillId="0" borderId="0" xfId="1" applyFont="1"/>
    <xf numFmtId="43" fontId="1" fillId="0" borderId="1" xfId="1" applyFont="1" applyBorder="1"/>
    <xf numFmtId="164" fontId="1" fillId="0" borderId="1" xfId="1" applyNumberFormat="1" applyFont="1" applyBorder="1"/>
    <xf numFmtId="43" fontId="3" fillId="0" borderId="1" xfId="1" applyFont="1" applyBorder="1"/>
    <xf numFmtId="164" fontId="3" fillId="0" borderId="1" xfId="1" applyNumberFormat="1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43" fontId="1" fillId="0" borderId="1" xfId="1" applyFont="1" applyBorder="1" applyAlignment="1"/>
    <xf numFmtId="43" fontId="0" fillId="0" borderId="1" xfId="1" applyFont="1" applyBorder="1"/>
    <xf numFmtId="43" fontId="0" fillId="2" borderId="0" xfId="1" applyFont="1" applyFill="1"/>
    <xf numFmtId="43" fontId="1" fillId="2" borderId="1" xfId="1" applyFont="1" applyFill="1" applyBorder="1"/>
    <xf numFmtId="43" fontId="0" fillId="3" borderId="0" xfId="1" applyFont="1" applyFill="1"/>
    <xf numFmtId="43" fontId="1" fillId="3" borderId="1" xfId="1" applyFont="1" applyFill="1" applyBorder="1"/>
    <xf numFmtId="43" fontId="1" fillId="0" borderId="1" xfId="1" applyFont="1" applyFill="1" applyBorder="1"/>
    <xf numFmtId="43" fontId="0" fillId="0" borderId="0" xfId="1" applyFont="1"/>
    <xf numFmtId="43" fontId="2" fillId="0" borderId="2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0" fillId="0" borderId="0" xfId="1" applyFont="1" applyBorder="1"/>
    <xf numFmtId="43" fontId="1" fillId="0" borderId="0" xfId="1" applyFont="1" applyBorder="1"/>
    <xf numFmtId="164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/>
    <xf numFmtId="43" fontId="2" fillId="0" borderId="5" xfId="1" applyFont="1" applyBorder="1" applyAlignment="1">
      <alignment horizontal="center"/>
    </xf>
    <xf numFmtId="164" fontId="0" fillId="0" borderId="1" xfId="1" applyNumberFormat="1" applyFont="1" applyBorder="1"/>
    <xf numFmtId="43" fontId="2" fillId="0" borderId="6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10" fontId="1" fillId="0" borderId="0" xfId="2" applyNumberFormat="1" applyFo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4"/>
  <sheetViews>
    <sheetView showGridLines="0" tabSelected="1" zoomScale="125" zoomScaleNormal="125" zoomScalePageLayoutView="125" workbookViewId="0">
      <selection activeCell="B48" sqref="B48"/>
    </sheetView>
  </sheetViews>
  <sheetFormatPr baseColWidth="10" defaultRowHeight="16" x14ac:dyDescent="0.2"/>
  <cols>
    <col min="1" max="1" width="10.83203125" style="3"/>
    <col min="2" max="3" width="20.33203125" style="3" customWidth="1"/>
    <col min="4" max="9" width="18" style="3" customWidth="1"/>
    <col min="10" max="16384" width="10.83203125" style="3"/>
  </cols>
  <sheetData>
    <row r="3" spans="2:4" x14ac:dyDescent="0.2">
      <c r="B3" s="1" t="s">
        <v>0</v>
      </c>
      <c r="C3" s="1" t="s">
        <v>1</v>
      </c>
      <c r="D3" s="2" t="s">
        <v>2</v>
      </c>
    </row>
    <row r="4" spans="2:4" x14ac:dyDescent="0.2">
      <c r="B4" s="4" t="s">
        <v>3</v>
      </c>
      <c r="C4" s="5">
        <v>35</v>
      </c>
      <c r="D4" s="4">
        <f>+C4/$C$9</f>
        <v>0.35</v>
      </c>
    </row>
    <row r="5" spans="2:4" x14ac:dyDescent="0.2">
      <c r="B5" s="4" t="s">
        <v>4</v>
      </c>
      <c r="C5" s="5">
        <v>15</v>
      </c>
      <c r="D5" s="4">
        <f>+C5/$C$9</f>
        <v>0.15</v>
      </c>
    </row>
    <row r="6" spans="2:4" x14ac:dyDescent="0.2">
      <c r="B6" s="4" t="s">
        <v>5</v>
      </c>
      <c r="C6" s="5">
        <v>30</v>
      </c>
      <c r="D6" s="4">
        <f>+C6/$C$9</f>
        <v>0.3</v>
      </c>
    </row>
    <row r="7" spans="2:4" x14ac:dyDescent="0.2">
      <c r="B7" s="4" t="s">
        <v>6</v>
      </c>
      <c r="C7" s="5">
        <v>10</v>
      </c>
      <c r="D7" s="4">
        <f>+C7/$C$9</f>
        <v>0.1</v>
      </c>
    </row>
    <row r="8" spans="2:4" x14ac:dyDescent="0.2">
      <c r="B8" s="4" t="s">
        <v>7</v>
      </c>
      <c r="C8" s="5">
        <v>10</v>
      </c>
      <c r="D8" s="4">
        <f>+C8/$C$9</f>
        <v>0.1</v>
      </c>
    </row>
    <row r="9" spans="2:4" x14ac:dyDescent="0.2">
      <c r="B9" s="6" t="s">
        <v>8</v>
      </c>
      <c r="C9" s="7">
        <f>SUM(C4:C8)</f>
        <v>100</v>
      </c>
    </row>
    <row r="12" spans="2:4" x14ac:dyDescent="0.2">
      <c r="B12" s="8" t="s">
        <v>9</v>
      </c>
      <c r="C12" s="8" t="s">
        <v>10</v>
      </c>
      <c r="D12" s="2" t="s">
        <v>2</v>
      </c>
    </row>
    <row r="13" spans="2:4" x14ac:dyDescent="0.2">
      <c r="B13" s="9" t="s">
        <v>11</v>
      </c>
      <c r="C13" s="10">
        <v>4800</v>
      </c>
      <c r="D13" s="4">
        <f>+C13/$C$16</f>
        <v>0.4</v>
      </c>
    </row>
    <row r="14" spans="2:4" x14ac:dyDescent="0.2">
      <c r="B14" s="9" t="s">
        <v>12</v>
      </c>
      <c r="C14" s="10">
        <v>3000</v>
      </c>
      <c r="D14" s="4">
        <f>+C14/$C$16</f>
        <v>0.25</v>
      </c>
    </row>
    <row r="15" spans="2:4" x14ac:dyDescent="0.2">
      <c r="B15" s="9" t="s">
        <v>13</v>
      </c>
      <c r="C15" s="10">
        <v>4200</v>
      </c>
      <c r="D15" s="4">
        <f>+C15/$C$16</f>
        <v>0.35</v>
      </c>
    </row>
    <row r="16" spans="2:4" x14ac:dyDescent="0.2">
      <c r="B16" s="11" t="s">
        <v>14</v>
      </c>
      <c r="C16" s="12">
        <v>12000</v>
      </c>
    </row>
    <row r="18" spans="2:9" x14ac:dyDescent="0.2">
      <c r="B18" s="8" t="s">
        <v>9</v>
      </c>
      <c r="C18" s="8" t="s">
        <v>15</v>
      </c>
      <c r="D18" s="2" t="s">
        <v>2</v>
      </c>
    </row>
    <row r="19" spans="2:9" x14ac:dyDescent="0.2">
      <c r="B19" s="9" t="s">
        <v>11</v>
      </c>
      <c r="C19" s="10">
        <v>600</v>
      </c>
      <c r="D19" s="4">
        <f>+C19/$C$22</f>
        <v>0.5</v>
      </c>
    </row>
    <row r="20" spans="2:9" x14ac:dyDescent="0.2">
      <c r="B20" s="9" t="s">
        <v>12</v>
      </c>
      <c r="C20" s="10">
        <v>300</v>
      </c>
      <c r="D20" s="4">
        <f>+C20/$C$22</f>
        <v>0.25</v>
      </c>
    </row>
    <row r="21" spans="2:9" x14ac:dyDescent="0.2">
      <c r="B21" s="9" t="s">
        <v>13</v>
      </c>
      <c r="C21" s="10">
        <v>300</v>
      </c>
      <c r="D21" s="4">
        <f>+C21/$C$22</f>
        <v>0.25</v>
      </c>
    </row>
    <row r="22" spans="2:9" x14ac:dyDescent="0.2">
      <c r="B22" s="11" t="s">
        <v>14</v>
      </c>
      <c r="C22" s="12">
        <f>SUM(C19:C21)</f>
        <v>1200</v>
      </c>
    </row>
    <row r="26" spans="2:9" x14ac:dyDescent="0.2">
      <c r="B26" s="2"/>
      <c r="C26" s="2" t="s">
        <v>16</v>
      </c>
      <c r="D26" s="2" t="s">
        <v>17</v>
      </c>
      <c r="E26" s="2" t="s">
        <v>8</v>
      </c>
    </row>
    <row r="27" spans="2:9" x14ac:dyDescent="0.2">
      <c r="B27" s="4" t="s">
        <v>18</v>
      </c>
      <c r="C27" s="5">
        <v>12000</v>
      </c>
      <c r="D27" s="5">
        <v>4000</v>
      </c>
      <c r="E27" s="4"/>
    </row>
    <row r="28" spans="2:9" x14ac:dyDescent="0.2">
      <c r="B28" s="4" t="s">
        <v>19</v>
      </c>
      <c r="C28" s="13">
        <v>8352</v>
      </c>
      <c r="D28" s="13">
        <v>5568</v>
      </c>
      <c r="E28" s="13">
        <f>SUM(C28:D28)</f>
        <v>13920</v>
      </c>
    </row>
    <row r="29" spans="2:9" x14ac:dyDescent="0.2">
      <c r="B29" s="4" t="s">
        <v>20</v>
      </c>
      <c r="C29" s="13">
        <v>6048</v>
      </c>
      <c r="D29" s="13">
        <v>4032</v>
      </c>
      <c r="E29" s="13">
        <f>SUM(C29:D29)</f>
        <v>10080</v>
      </c>
    </row>
    <row r="32" spans="2:9" x14ac:dyDescent="0.2">
      <c r="B32" s="2" t="s">
        <v>21</v>
      </c>
      <c r="C32" s="2" t="s">
        <v>3</v>
      </c>
      <c r="D32" s="2" t="s">
        <v>5</v>
      </c>
      <c r="E32" s="2" t="s">
        <v>4</v>
      </c>
      <c r="F32" s="2" t="s">
        <v>6</v>
      </c>
      <c r="G32" s="2" t="s">
        <v>7</v>
      </c>
      <c r="H32" s="2" t="s">
        <v>22</v>
      </c>
      <c r="I32" s="2" t="s">
        <v>8</v>
      </c>
    </row>
    <row r="33" spans="1:9" x14ac:dyDescent="0.2">
      <c r="B33" s="4" t="s">
        <v>23</v>
      </c>
      <c r="C33" s="4">
        <v>159</v>
      </c>
      <c r="D33" s="4">
        <v>57</v>
      </c>
      <c r="E33" s="4">
        <v>46</v>
      </c>
      <c r="F33" s="4">
        <v>90</v>
      </c>
      <c r="G33" s="4">
        <v>112</v>
      </c>
      <c r="H33" s="4">
        <v>336</v>
      </c>
      <c r="I33" s="4">
        <f>SUM(C33:H33)</f>
        <v>800</v>
      </c>
    </row>
    <row r="34" spans="1:9" ht="15" customHeight="1" x14ac:dyDescent="0.2">
      <c r="B34" s="4" t="s">
        <v>24</v>
      </c>
      <c r="C34" s="4">
        <v>2400</v>
      </c>
      <c r="D34" s="4">
        <v>432</v>
      </c>
      <c r="E34" s="4">
        <v>1340</v>
      </c>
      <c r="F34" s="4">
        <v>240</v>
      </c>
      <c r="G34" s="4">
        <v>240</v>
      </c>
      <c r="H34" s="4">
        <v>148</v>
      </c>
      <c r="I34" s="4">
        <f t="shared" ref="I34:I38" si="0">SUM(C34:H34)</f>
        <v>4800</v>
      </c>
    </row>
    <row r="35" spans="1:9" x14ac:dyDescent="0.2">
      <c r="B35" s="4" t="s">
        <v>25</v>
      </c>
      <c r="C35" s="4">
        <v>532</v>
      </c>
      <c r="D35" s="4">
        <v>672</v>
      </c>
      <c r="E35" s="4">
        <v>390</v>
      </c>
      <c r="F35" s="4">
        <v>140</v>
      </c>
      <c r="G35" s="4">
        <v>170</v>
      </c>
      <c r="H35" s="4">
        <v>896</v>
      </c>
      <c r="I35" s="4">
        <f t="shared" si="0"/>
        <v>2800</v>
      </c>
    </row>
    <row r="36" spans="1:9" x14ac:dyDescent="0.2">
      <c r="B36" s="4" t="s">
        <v>26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3200</v>
      </c>
      <c r="I36" s="4">
        <f t="shared" si="0"/>
        <v>3200</v>
      </c>
    </row>
    <row r="37" spans="1:9" x14ac:dyDescent="0.2">
      <c r="B37" s="4" t="s">
        <v>8</v>
      </c>
      <c r="C37" s="4">
        <f>SUM(C33:C36)</f>
        <v>3091</v>
      </c>
      <c r="D37" s="4">
        <f t="shared" ref="D37:G37" si="1">SUM(D33:D36)</f>
        <v>1161</v>
      </c>
      <c r="E37" s="4">
        <f t="shared" si="1"/>
        <v>1776</v>
      </c>
      <c r="F37" s="4">
        <f t="shared" si="1"/>
        <v>470</v>
      </c>
      <c r="G37" s="4">
        <f t="shared" si="1"/>
        <v>522</v>
      </c>
      <c r="H37" s="4">
        <f>SUM(H33:H36)</f>
        <v>4580</v>
      </c>
      <c r="I37" s="4">
        <f t="shared" si="0"/>
        <v>11600</v>
      </c>
    </row>
    <row r="38" spans="1:9" x14ac:dyDescent="0.2">
      <c r="B38" s="4" t="s">
        <v>27</v>
      </c>
      <c r="C38" s="4">
        <f>H37*D4</f>
        <v>1603</v>
      </c>
      <c r="D38" s="4">
        <f>H37*D6</f>
        <v>1374</v>
      </c>
      <c r="E38" s="4">
        <f>H37*D5</f>
        <v>687</v>
      </c>
      <c r="F38" s="4">
        <f>H37*D7</f>
        <v>458</v>
      </c>
      <c r="G38" s="4">
        <f>H37*D8</f>
        <v>458</v>
      </c>
      <c r="H38" s="4">
        <f>-SUM(C38:G38)</f>
        <v>-4580</v>
      </c>
      <c r="I38" s="4">
        <f t="shared" si="0"/>
        <v>0</v>
      </c>
    </row>
    <row r="39" spans="1:9" x14ac:dyDescent="0.2">
      <c r="B39" s="4" t="s">
        <v>28</v>
      </c>
      <c r="C39" s="4">
        <f>+C38+C37</f>
        <v>4694</v>
      </c>
      <c r="D39" s="4">
        <f t="shared" ref="D39:I39" si="2">+D38+D37</f>
        <v>2535</v>
      </c>
      <c r="E39" s="4">
        <f t="shared" si="2"/>
        <v>2463</v>
      </c>
      <c r="F39" s="4">
        <f t="shared" si="2"/>
        <v>928</v>
      </c>
      <c r="G39" s="4">
        <f t="shared" si="2"/>
        <v>980</v>
      </c>
      <c r="H39" s="4">
        <f t="shared" si="2"/>
        <v>0</v>
      </c>
      <c r="I39" s="4">
        <f t="shared" si="2"/>
        <v>11600</v>
      </c>
    </row>
    <row r="40" spans="1:9" x14ac:dyDescent="0.2">
      <c r="B40" s="4" t="s">
        <v>29</v>
      </c>
      <c r="C40" s="4">
        <f>G39*D13</f>
        <v>392</v>
      </c>
      <c r="D40" s="4">
        <f>G39*D15</f>
        <v>343</v>
      </c>
      <c r="E40" s="4">
        <f>G39*D14</f>
        <v>245</v>
      </c>
      <c r="F40" s="4">
        <v>0</v>
      </c>
      <c r="G40" s="14">
        <f>-SUM(C40:F40)</f>
        <v>-980</v>
      </c>
      <c r="H40" s="4">
        <v>0</v>
      </c>
      <c r="I40" s="4">
        <f>SUM(C40:H40)</f>
        <v>0</v>
      </c>
    </row>
    <row r="41" spans="1:9" x14ac:dyDescent="0.2">
      <c r="B41" s="4" t="s">
        <v>28</v>
      </c>
      <c r="C41" s="4">
        <f>+C40+C39</f>
        <v>5086</v>
      </c>
      <c r="D41" s="4">
        <f t="shared" ref="D41:I41" si="3">+D40+D39</f>
        <v>2878</v>
      </c>
      <c r="E41" s="4">
        <f t="shared" si="3"/>
        <v>2708</v>
      </c>
      <c r="F41" s="4">
        <f t="shared" si="3"/>
        <v>928</v>
      </c>
      <c r="G41" s="4">
        <f t="shared" si="3"/>
        <v>0</v>
      </c>
      <c r="H41" s="4">
        <f t="shared" si="3"/>
        <v>0</v>
      </c>
      <c r="I41" s="4">
        <f t="shared" si="3"/>
        <v>11600</v>
      </c>
    </row>
    <row r="42" spans="1:9" x14ac:dyDescent="0.2">
      <c r="B42" s="4" t="s">
        <v>30</v>
      </c>
      <c r="C42" s="4">
        <f>F41*D19</f>
        <v>464</v>
      </c>
      <c r="D42" s="4">
        <f>F41*D21</f>
        <v>232</v>
      </c>
      <c r="E42" s="4">
        <f>F41*D20</f>
        <v>232</v>
      </c>
      <c r="F42" s="4">
        <f>-SUM(C42:E42)</f>
        <v>-928</v>
      </c>
      <c r="G42" s="4">
        <v>0</v>
      </c>
      <c r="H42" s="4">
        <v>0</v>
      </c>
      <c r="I42" s="4">
        <f>SUM(C42:H42)</f>
        <v>0</v>
      </c>
    </row>
    <row r="43" spans="1:9" x14ac:dyDescent="0.2">
      <c r="A43" s="15" t="s">
        <v>31</v>
      </c>
      <c r="B43" s="16" t="s">
        <v>28</v>
      </c>
      <c r="C43" s="16">
        <f>+C42+C41</f>
        <v>5550</v>
      </c>
      <c r="D43" s="16">
        <f t="shared" ref="D43:I43" si="4">+D42+D41</f>
        <v>3110</v>
      </c>
      <c r="E43" s="16">
        <f t="shared" si="4"/>
        <v>2940</v>
      </c>
      <c r="F43" s="4">
        <f t="shared" si="4"/>
        <v>0</v>
      </c>
      <c r="G43" s="4">
        <f t="shared" si="4"/>
        <v>0</v>
      </c>
      <c r="H43" s="4">
        <f t="shared" si="4"/>
        <v>0</v>
      </c>
      <c r="I43" s="4">
        <f t="shared" si="4"/>
        <v>11600</v>
      </c>
    </row>
    <row r="44" spans="1:9" x14ac:dyDescent="0.2">
      <c r="A44" s="17" t="s">
        <v>32</v>
      </c>
      <c r="B44" s="4" t="s">
        <v>16</v>
      </c>
      <c r="C44" s="4">
        <f>C43*(D28/E28)</f>
        <v>2220</v>
      </c>
      <c r="D44" s="4">
        <f>D43*(D28/E28)</f>
        <v>1244</v>
      </c>
      <c r="E44" s="4">
        <f>+E43</f>
        <v>2940</v>
      </c>
      <c r="F44" s="4"/>
      <c r="G44" s="4"/>
      <c r="H44" s="4"/>
      <c r="I44" s="18">
        <f>SUM(C44:H44)</f>
        <v>6404</v>
      </c>
    </row>
    <row r="45" spans="1:9" x14ac:dyDescent="0.2">
      <c r="B45" s="4" t="s">
        <v>17</v>
      </c>
      <c r="C45" s="4">
        <f>C43*(C28/E28)</f>
        <v>3330</v>
      </c>
      <c r="D45" s="4">
        <f>D43*(C28/E28)</f>
        <v>1866</v>
      </c>
      <c r="E45" s="4">
        <v>0</v>
      </c>
      <c r="F45" s="4"/>
      <c r="G45" s="4"/>
      <c r="H45" s="4"/>
      <c r="I45" s="18">
        <f>SUM(C45:H45)</f>
        <v>5196</v>
      </c>
    </row>
    <row r="46" spans="1:9" x14ac:dyDescent="0.2">
      <c r="B46" s="19" t="s">
        <v>8</v>
      </c>
      <c r="C46" s="19">
        <f>SUM(C44:C45)</f>
        <v>5550</v>
      </c>
      <c r="D46" s="19">
        <f>+D45+D44</f>
        <v>3110</v>
      </c>
      <c r="E46" s="19">
        <f>+E45+E44</f>
        <v>2940</v>
      </c>
      <c r="F46" s="4"/>
      <c r="G46" s="4"/>
      <c r="H46" s="4"/>
      <c r="I46" s="4">
        <f>+I45+I44</f>
        <v>11600</v>
      </c>
    </row>
    <row r="48" spans="1:9" x14ac:dyDescent="0.2">
      <c r="A48" s="20" t="s">
        <v>33</v>
      </c>
      <c r="C48" s="2" t="s">
        <v>16</v>
      </c>
      <c r="D48" s="2" t="s">
        <v>17</v>
      </c>
      <c r="E48" s="21" t="s">
        <v>8</v>
      </c>
    </row>
    <row r="49" spans="2:5" x14ac:dyDescent="0.2">
      <c r="B49" s="14" t="s">
        <v>34</v>
      </c>
      <c r="C49" s="4"/>
      <c r="D49" s="4"/>
      <c r="E49" s="4"/>
    </row>
    <row r="50" spans="2:5" x14ac:dyDescent="0.2">
      <c r="B50" s="4" t="s">
        <v>19</v>
      </c>
      <c r="C50" s="13">
        <v>8352</v>
      </c>
      <c r="D50" s="13">
        <v>5568</v>
      </c>
      <c r="E50" s="13">
        <f>SUM(C50:D50)</f>
        <v>13920</v>
      </c>
    </row>
    <row r="51" spans="2:5" x14ac:dyDescent="0.2">
      <c r="B51" s="4" t="s">
        <v>20</v>
      </c>
      <c r="C51" s="13">
        <v>6048</v>
      </c>
      <c r="D51" s="13">
        <v>4032</v>
      </c>
      <c r="E51" s="13">
        <f>SUM(C51:D51)</f>
        <v>10080</v>
      </c>
    </row>
    <row r="52" spans="2:5" x14ac:dyDescent="0.2">
      <c r="B52" s="14" t="s">
        <v>35</v>
      </c>
      <c r="C52" s="4">
        <f>I45</f>
        <v>5196</v>
      </c>
      <c r="D52" s="4">
        <f>I44</f>
        <v>6404</v>
      </c>
      <c r="E52" s="13">
        <f>SUM(C52:D52)</f>
        <v>11600</v>
      </c>
    </row>
    <row r="53" spans="2:5" x14ac:dyDescent="0.2">
      <c r="B53" s="14" t="s">
        <v>36</v>
      </c>
      <c r="C53" s="4">
        <f>SUM(C50:C52)</f>
        <v>19596</v>
      </c>
      <c r="D53" s="4">
        <f t="shared" ref="D53:E53" si="5">SUM(D50:D52)</f>
        <v>16004</v>
      </c>
      <c r="E53" s="4">
        <f t="shared" si="5"/>
        <v>35600</v>
      </c>
    </row>
    <row r="54" spans="2:5" x14ac:dyDescent="0.2">
      <c r="B54" s="14" t="s">
        <v>37</v>
      </c>
      <c r="C54" s="4">
        <f>C53/C27</f>
        <v>1.633</v>
      </c>
      <c r="D54" s="4">
        <f>D53/D27</f>
        <v>4.0010000000000003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72"/>
  <sheetViews>
    <sheetView showGridLines="0" zoomScale="125" zoomScaleNormal="125" zoomScalePageLayoutView="125" workbookViewId="0">
      <selection activeCell="C52" sqref="C52"/>
    </sheetView>
  </sheetViews>
  <sheetFormatPr baseColWidth="10" defaultRowHeight="16" x14ac:dyDescent="0.2"/>
  <cols>
    <col min="1" max="1" width="10.83203125" style="3"/>
    <col min="2" max="2" width="27.33203125" style="3" customWidth="1"/>
    <col min="3" max="3" width="14.6640625" style="3" bestFit="1" customWidth="1"/>
    <col min="4" max="4" width="13.33203125" style="3" bestFit="1" customWidth="1"/>
    <col min="5" max="5" width="13.6640625" style="3" bestFit="1" customWidth="1"/>
    <col min="6" max="6" width="15.83203125" style="3" bestFit="1" customWidth="1"/>
    <col min="7" max="16384" width="10.83203125" style="3"/>
  </cols>
  <sheetData>
    <row r="3" spans="2:7" x14ac:dyDescent="0.2">
      <c r="B3" s="4"/>
      <c r="C3" s="2" t="s">
        <v>38</v>
      </c>
      <c r="D3" s="2" t="s">
        <v>39</v>
      </c>
    </row>
    <row r="4" spans="2:7" x14ac:dyDescent="0.2">
      <c r="B4" s="14" t="s">
        <v>18</v>
      </c>
      <c r="C4" s="5">
        <v>448160</v>
      </c>
      <c r="D4" s="5">
        <v>146935.79999999999</v>
      </c>
    </row>
    <row r="5" spans="2:7" x14ac:dyDescent="0.2">
      <c r="B5" s="14" t="s">
        <v>40</v>
      </c>
      <c r="C5" s="4">
        <v>87800</v>
      </c>
      <c r="D5" s="4">
        <v>50400</v>
      </c>
    </row>
    <row r="7" spans="2:7" x14ac:dyDescent="0.2">
      <c r="B7" s="22" t="s">
        <v>35</v>
      </c>
      <c r="C7" s="23"/>
    </row>
    <row r="8" spans="2:7" x14ac:dyDescent="0.2">
      <c r="B8" s="4" t="s">
        <v>41</v>
      </c>
      <c r="C8" s="4">
        <v>8500</v>
      </c>
    </row>
    <row r="9" spans="2:7" x14ac:dyDescent="0.2">
      <c r="B9" s="4" t="s">
        <v>42</v>
      </c>
      <c r="C9" s="4">
        <v>5200</v>
      </c>
    </row>
    <row r="10" spans="2:7" x14ac:dyDescent="0.2">
      <c r="B10" s="4" t="s">
        <v>43</v>
      </c>
      <c r="C10" s="4">
        <v>4720</v>
      </c>
    </row>
    <row r="11" spans="2:7" x14ac:dyDescent="0.2">
      <c r="B11" s="4" t="s">
        <v>44</v>
      </c>
      <c r="C11" s="4">
        <v>7300</v>
      </c>
    </row>
    <row r="12" spans="2:7" x14ac:dyDescent="0.2">
      <c r="B12" s="4" t="s">
        <v>45</v>
      </c>
      <c r="C12" s="4">
        <v>6600</v>
      </c>
    </row>
    <row r="13" spans="2:7" x14ac:dyDescent="0.2">
      <c r="B13" s="14" t="s">
        <v>8</v>
      </c>
      <c r="C13" s="4">
        <f>SUM(C8:C12)</f>
        <v>32320</v>
      </c>
    </row>
    <row r="15" spans="2:7" x14ac:dyDescent="0.2">
      <c r="B15" s="1"/>
      <c r="C15" s="2" t="s">
        <v>46</v>
      </c>
      <c r="D15" s="2" t="s">
        <v>47</v>
      </c>
      <c r="E15" s="2" t="s">
        <v>48</v>
      </c>
      <c r="F15" s="2" t="s">
        <v>49</v>
      </c>
      <c r="G15" s="2" t="s">
        <v>8</v>
      </c>
    </row>
    <row r="16" spans="2:7" x14ac:dyDescent="0.2">
      <c r="B16" s="4" t="s">
        <v>50</v>
      </c>
      <c r="C16" s="5">
        <v>1100</v>
      </c>
      <c r="D16" s="5">
        <v>955</v>
      </c>
      <c r="E16" s="5">
        <v>170</v>
      </c>
      <c r="F16" s="5">
        <v>275</v>
      </c>
      <c r="G16" s="5">
        <f>SUM(C16:F16)</f>
        <v>2500</v>
      </c>
    </row>
    <row r="17" spans="2:7" x14ac:dyDescent="0.2">
      <c r="B17" s="4" t="s">
        <v>51</v>
      </c>
      <c r="C17" s="5">
        <v>17000</v>
      </c>
      <c r="D17" s="5">
        <v>14280</v>
      </c>
      <c r="E17" s="5">
        <v>1700</v>
      </c>
      <c r="F17" s="5">
        <v>1020</v>
      </c>
      <c r="G17" s="5">
        <f t="shared" ref="G17:G18" si="0">SUM(C17:F17)</f>
        <v>34000</v>
      </c>
    </row>
    <row r="18" spans="2:7" x14ac:dyDescent="0.2">
      <c r="B18" s="4" t="s">
        <v>52</v>
      </c>
      <c r="C18" s="5">
        <v>24000</v>
      </c>
      <c r="D18" s="5">
        <v>12000</v>
      </c>
      <c r="E18" s="5">
        <v>2000</v>
      </c>
      <c r="F18" s="5">
        <v>2000</v>
      </c>
      <c r="G18" s="5">
        <f t="shared" si="0"/>
        <v>40000</v>
      </c>
    </row>
    <row r="20" spans="2:7" x14ac:dyDescent="0.2">
      <c r="B20" s="14" t="s">
        <v>53</v>
      </c>
      <c r="C20" s="4">
        <f>C17/$G$17</f>
        <v>0.5</v>
      </c>
      <c r="D20" s="4">
        <f t="shared" ref="D20:F20" si="1">D17/$G$17</f>
        <v>0.42</v>
      </c>
      <c r="E20" s="4">
        <f t="shared" si="1"/>
        <v>0.05</v>
      </c>
      <c r="F20" s="4">
        <f t="shared" si="1"/>
        <v>0.03</v>
      </c>
    </row>
    <row r="21" spans="2:7" x14ac:dyDescent="0.2">
      <c r="B21" s="14" t="s">
        <v>54</v>
      </c>
      <c r="C21" s="4">
        <f>C18/$G$18</f>
        <v>0.6</v>
      </c>
      <c r="D21" s="4">
        <f t="shared" ref="D21:F21" si="2">D18/$G$18</f>
        <v>0.3</v>
      </c>
      <c r="E21" s="4">
        <f t="shared" si="2"/>
        <v>0.05</v>
      </c>
      <c r="F21" s="4">
        <f t="shared" si="2"/>
        <v>0.05</v>
      </c>
    </row>
    <row r="22" spans="2:7" x14ac:dyDescent="0.2">
      <c r="B22" s="24"/>
      <c r="C22" s="25"/>
      <c r="D22" s="25"/>
      <c r="E22" s="25"/>
      <c r="F22" s="25"/>
    </row>
    <row r="23" spans="2:7" x14ac:dyDescent="0.2">
      <c r="B23" s="14" t="s">
        <v>55</v>
      </c>
      <c r="C23" s="4">
        <f>C4/SUM(C4:D4)</f>
        <v>0.75308883040344088</v>
      </c>
      <c r="D23" s="4">
        <f>D4/SUM(C4:D4)</f>
        <v>0.24691116959655904</v>
      </c>
    </row>
    <row r="24" spans="2:7" x14ac:dyDescent="0.2">
      <c r="B24" s="14" t="s">
        <v>56</v>
      </c>
      <c r="C24" s="4">
        <f>C5/SUM(C5:D5)</f>
        <v>0.63531114327062232</v>
      </c>
      <c r="D24" s="4">
        <f>D5/SUM(C5:D5)</f>
        <v>0.36468885672937773</v>
      </c>
    </row>
    <row r="25" spans="2:7" x14ac:dyDescent="0.2">
      <c r="B25" s="24"/>
      <c r="C25" s="25"/>
      <c r="D25" s="25"/>
    </row>
    <row r="26" spans="2:7" x14ac:dyDescent="0.2">
      <c r="B26" s="1" t="s">
        <v>57</v>
      </c>
      <c r="C26" s="1" t="s">
        <v>0</v>
      </c>
    </row>
    <row r="27" spans="2:7" x14ac:dyDescent="0.2">
      <c r="B27" s="4" t="s">
        <v>46</v>
      </c>
      <c r="C27" s="4">
        <v>12</v>
      </c>
    </row>
    <row r="28" spans="2:7" x14ac:dyDescent="0.2">
      <c r="B28" s="4" t="s">
        <v>58</v>
      </c>
      <c r="C28" s="4">
        <v>12</v>
      </c>
    </row>
    <row r="29" spans="2:7" x14ac:dyDescent="0.2">
      <c r="B29" s="4" t="s">
        <v>48</v>
      </c>
      <c r="C29" s="4">
        <v>6</v>
      </c>
    </row>
    <row r="31" spans="2:7" x14ac:dyDescent="0.2">
      <c r="B31" s="26" t="s">
        <v>57</v>
      </c>
      <c r="C31" s="26" t="s">
        <v>0</v>
      </c>
      <c r="D31" s="26" t="s">
        <v>2</v>
      </c>
    </row>
    <row r="32" spans="2:7" x14ac:dyDescent="0.2">
      <c r="B32" s="5" t="s">
        <v>46</v>
      </c>
      <c r="C32" s="5">
        <v>12</v>
      </c>
      <c r="D32" s="4">
        <f>+C32/$C$35</f>
        <v>0.4</v>
      </c>
    </row>
    <row r="33" spans="2:7" x14ac:dyDescent="0.2">
      <c r="B33" s="5" t="s">
        <v>58</v>
      </c>
      <c r="C33" s="5">
        <v>12</v>
      </c>
      <c r="D33" s="4">
        <f>+C33/$C$35</f>
        <v>0.4</v>
      </c>
    </row>
    <row r="34" spans="2:7" x14ac:dyDescent="0.2">
      <c r="B34" s="5" t="s">
        <v>48</v>
      </c>
      <c r="C34" s="5">
        <v>6</v>
      </c>
      <c r="D34" s="4">
        <f>+C34/$C$35</f>
        <v>0.2</v>
      </c>
    </row>
    <row r="35" spans="2:7" x14ac:dyDescent="0.2">
      <c r="B35" s="1" t="s">
        <v>8</v>
      </c>
      <c r="C35" s="27">
        <f>SUM(C32:C34)</f>
        <v>30</v>
      </c>
    </row>
    <row r="38" spans="2:7" x14ac:dyDescent="0.2">
      <c r="B38" s="1" t="s">
        <v>59</v>
      </c>
      <c r="C38" s="2" t="s">
        <v>60</v>
      </c>
      <c r="D38" s="2" t="s">
        <v>61</v>
      </c>
      <c r="E38" s="2" t="s">
        <v>7</v>
      </c>
      <c r="F38" s="2" t="s">
        <v>62</v>
      </c>
      <c r="G38" s="2" t="s">
        <v>8</v>
      </c>
    </row>
    <row r="39" spans="2:7" x14ac:dyDescent="0.2">
      <c r="B39" s="14" t="s">
        <v>26</v>
      </c>
      <c r="C39" s="14">
        <f>(C16/$G$16)*$C$8</f>
        <v>3740</v>
      </c>
      <c r="D39" s="14">
        <f>(D16/$G$16)*$C$8</f>
        <v>3247</v>
      </c>
      <c r="E39" s="14">
        <f>(E16/$G$16)*$C$8</f>
        <v>578</v>
      </c>
      <c r="F39" s="14">
        <f>(F16/$G$16)*$C$8</f>
        <v>935</v>
      </c>
      <c r="G39" s="4">
        <f>SUM(C39:F39)</f>
        <v>8500</v>
      </c>
    </row>
    <row r="40" spans="2:7" x14ac:dyDescent="0.2">
      <c r="B40" s="4" t="s">
        <v>42</v>
      </c>
      <c r="C40" s="4">
        <f>$C$9*C21</f>
        <v>3120</v>
      </c>
      <c r="D40" s="4">
        <f>$C$9*D21</f>
        <v>1560</v>
      </c>
      <c r="E40" s="4">
        <f>$C$9*E21</f>
        <v>260</v>
      </c>
      <c r="F40" s="4">
        <f>$C$9*F21</f>
        <v>260</v>
      </c>
      <c r="G40" s="4">
        <f t="shared" ref="G40:G43" si="3">SUM(C40:F40)</f>
        <v>5200</v>
      </c>
    </row>
    <row r="41" spans="2:7" x14ac:dyDescent="0.2">
      <c r="B41" s="4" t="s">
        <v>43</v>
      </c>
      <c r="C41" s="4">
        <f>$C$10*C21</f>
        <v>2832</v>
      </c>
      <c r="D41" s="4">
        <f>$C$10*D21</f>
        <v>1416</v>
      </c>
      <c r="E41" s="4">
        <f>$C$10*E21</f>
        <v>236</v>
      </c>
      <c r="F41" s="4">
        <f>$C$10*F21</f>
        <v>236</v>
      </c>
      <c r="G41" s="4">
        <f t="shared" si="3"/>
        <v>4720</v>
      </c>
    </row>
    <row r="42" spans="2:7" x14ac:dyDescent="0.2">
      <c r="B42" s="4" t="s">
        <v>44</v>
      </c>
      <c r="C42" s="4">
        <f>$C$11*C20</f>
        <v>3650</v>
      </c>
      <c r="D42" s="4">
        <f t="shared" ref="D42:F42" si="4">$C$11*D20</f>
        <v>3066</v>
      </c>
      <c r="E42" s="4">
        <f t="shared" si="4"/>
        <v>365</v>
      </c>
      <c r="F42" s="4">
        <f t="shared" si="4"/>
        <v>219</v>
      </c>
      <c r="G42" s="4">
        <f t="shared" si="3"/>
        <v>7300</v>
      </c>
    </row>
    <row r="43" spans="2:7" x14ac:dyDescent="0.2">
      <c r="B43" s="4" t="s">
        <v>45</v>
      </c>
      <c r="C43" s="4">
        <f>$C$12*C21</f>
        <v>3960</v>
      </c>
      <c r="D43" s="4">
        <f>$C$12*D21</f>
        <v>1980</v>
      </c>
      <c r="E43" s="4">
        <f>$C$12*E21</f>
        <v>330</v>
      </c>
      <c r="F43" s="4">
        <f>$C$12*F21</f>
        <v>330</v>
      </c>
      <c r="G43" s="4">
        <f t="shared" si="3"/>
        <v>6600</v>
      </c>
    </row>
    <row r="44" spans="2:7" x14ac:dyDescent="0.2">
      <c r="B44" s="14" t="s">
        <v>8</v>
      </c>
      <c r="C44" s="4">
        <f>SUM(C39:C43)</f>
        <v>17302</v>
      </c>
      <c r="D44" s="4">
        <f t="shared" ref="D44:G44" si="5">SUM(D39:D43)</f>
        <v>11269</v>
      </c>
      <c r="E44" s="4">
        <f t="shared" si="5"/>
        <v>1769</v>
      </c>
      <c r="F44" s="4">
        <f t="shared" si="5"/>
        <v>1980</v>
      </c>
      <c r="G44" s="4">
        <f t="shared" si="5"/>
        <v>32320</v>
      </c>
    </row>
    <row r="45" spans="2:7" x14ac:dyDescent="0.2">
      <c r="B45" s="14" t="s">
        <v>63</v>
      </c>
      <c r="C45" s="4">
        <f>F44*D32</f>
        <v>792</v>
      </c>
      <c r="D45" s="4">
        <f>F44*D33</f>
        <v>792</v>
      </c>
      <c r="E45" s="4">
        <f>F44*D34</f>
        <v>396</v>
      </c>
      <c r="F45" s="4">
        <f>-SUM(C45:E45)</f>
        <v>-1980</v>
      </c>
      <c r="G45" s="4">
        <f>SUM(C45:F45)</f>
        <v>0</v>
      </c>
    </row>
    <row r="46" spans="2:7" x14ac:dyDescent="0.2">
      <c r="B46" s="4" t="s">
        <v>64</v>
      </c>
      <c r="C46" s="4">
        <f>+C45+C44</f>
        <v>18094</v>
      </c>
      <c r="D46" s="4">
        <f t="shared" ref="D46:G46" si="6">+D45+D44</f>
        <v>12061</v>
      </c>
      <c r="E46" s="4">
        <f t="shared" si="6"/>
        <v>2165</v>
      </c>
      <c r="F46" s="4">
        <f t="shared" si="6"/>
        <v>0</v>
      </c>
      <c r="G46" s="4">
        <f t="shared" si="6"/>
        <v>32320</v>
      </c>
    </row>
    <row r="47" spans="2:7" x14ac:dyDescent="0.2">
      <c r="B47" s="14" t="s">
        <v>65</v>
      </c>
      <c r="C47" s="4">
        <f>+E46-D47</f>
        <v>1732</v>
      </c>
      <c r="D47" s="4">
        <f>E46/5</f>
        <v>433</v>
      </c>
      <c r="E47" s="4">
        <f>-SUM(C47:D47)</f>
        <v>-2165</v>
      </c>
      <c r="F47" s="4">
        <v>0</v>
      </c>
      <c r="G47" s="4">
        <f>SUM(C47:F47)</f>
        <v>0</v>
      </c>
    </row>
    <row r="48" spans="2:7" x14ac:dyDescent="0.2">
      <c r="B48" s="4" t="s">
        <v>14</v>
      </c>
      <c r="C48" s="4">
        <f>+C47+C46</f>
        <v>19826</v>
      </c>
      <c r="D48" s="4">
        <f t="shared" ref="D48:G48" si="7">+D47+D46</f>
        <v>12494</v>
      </c>
      <c r="E48" s="4">
        <f t="shared" si="7"/>
        <v>0</v>
      </c>
      <c r="F48" s="4">
        <f t="shared" si="7"/>
        <v>0</v>
      </c>
      <c r="G48" s="4">
        <f t="shared" si="7"/>
        <v>32320</v>
      </c>
    </row>
    <row r="51" spans="2:7" x14ac:dyDescent="0.2">
      <c r="B51" s="22" t="s">
        <v>66</v>
      </c>
      <c r="C51" s="28"/>
      <c r="D51" s="28"/>
      <c r="E51" s="28"/>
      <c r="F51" s="28"/>
      <c r="G51" s="23"/>
    </row>
    <row r="52" spans="2:7" x14ac:dyDescent="0.2">
      <c r="B52" s="4" t="s">
        <v>38</v>
      </c>
      <c r="C52" s="4">
        <f>C48*C23</f>
        <v>14930.739151578618</v>
      </c>
      <c r="D52" s="4">
        <f>D48*C23</f>
        <v>9409.0918470605902</v>
      </c>
      <c r="E52" s="4"/>
      <c r="F52" s="4"/>
      <c r="G52" s="4">
        <f>SUM(C52:F52)</f>
        <v>24339.830998639209</v>
      </c>
    </row>
    <row r="53" spans="2:7" x14ac:dyDescent="0.2">
      <c r="B53" s="4" t="s">
        <v>39</v>
      </c>
      <c r="C53" s="4">
        <f>C48*D23</f>
        <v>4895.2608484213797</v>
      </c>
      <c r="D53" s="4">
        <f>D48*D23</f>
        <v>3084.9081529394084</v>
      </c>
      <c r="E53" s="4"/>
      <c r="F53" s="4"/>
      <c r="G53" s="4">
        <f>SUM(C53:F53)</f>
        <v>7980.1690013607877</v>
      </c>
    </row>
    <row r="54" spans="2:7" x14ac:dyDescent="0.2">
      <c r="B54" s="4" t="s">
        <v>67</v>
      </c>
      <c r="C54" s="4">
        <f>+C53+C52</f>
        <v>19826</v>
      </c>
      <c r="D54" s="4">
        <f>+D53+D52</f>
        <v>12493.999999999998</v>
      </c>
      <c r="E54" s="4"/>
      <c r="F54" s="4"/>
      <c r="G54" s="4">
        <f>+G53+G52</f>
        <v>32319.999999999996</v>
      </c>
    </row>
    <row r="56" spans="2:7" x14ac:dyDescent="0.2">
      <c r="C56" s="21" t="s">
        <v>38</v>
      </c>
      <c r="D56" s="21" t="s">
        <v>39</v>
      </c>
      <c r="E56" s="21" t="s">
        <v>8</v>
      </c>
    </row>
    <row r="57" spans="2:7" x14ac:dyDescent="0.2">
      <c r="B57" s="14" t="s">
        <v>34</v>
      </c>
      <c r="C57" s="13">
        <f>C5</f>
        <v>87800</v>
      </c>
      <c r="D57" s="13">
        <f>D5</f>
        <v>50400</v>
      </c>
      <c r="E57" s="13">
        <f>SUM(C57:D57)</f>
        <v>138200</v>
      </c>
    </row>
    <row r="58" spans="2:7" x14ac:dyDescent="0.2">
      <c r="B58" s="14" t="s">
        <v>35</v>
      </c>
      <c r="C58" s="4">
        <f>G52</f>
        <v>24339.830998639209</v>
      </c>
      <c r="D58" s="4">
        <f>G53</f>
        <v>7980.1690013607877</v>
      </c>
      <c r="E58" s="13">
        <f>SUM(C58:D58)</f>
        <v>32319.999999999996</v>
      </c>
    </row>
    <row r="59" spans="2:7" x14ac:dyDescent="0.2">
      <c r="B59" s="14" t="s">
        <v>36</v>
      </c>
      <c r="C59" s="4">
        <f>SUM(C57:C58)</f>
        <v>112139.83099863921</v>
      </c>
      <c r="D59" s="4">
        <f>SUM(D57:D58)</f>
        <v>58380.169001360788</v>
      </c>
      <c r="E59" s="4">
        <f>SUM(E57:E58)</f>
        <v>170520</v>
      </c>
    </row>
    <row r="60" spans="2:7" x14ac:dyDescent="0.2">
      <c r="B60" s="14" t="s">
        <v>37</v>
      </c>
      <c r="C60" s="4">
        <f>C59/C4</f>
        <v>0.25022275749428602</v>
      </c>
      <c r="D60" s="4">
        <f>D59/D4</f>
        <v>0.39731752916144869</v>
      </c>
    </row>
    <row r="63" spans="2:7" x14ac:dyDescent="0.2">
      <c r="B63" s="22" t="s">
        <v>68</v>
      </c>
      <c r="C63" s="28"/>
      <c r="D63" s="28"/>
      <c r="E63" s="28"/>
      <c r="F63" s="28"/>
      <c r="G63" s="23"/>
    </row>
    <row r="64" spans="2:7" x14ac:dyDescent="0.2">
      <c r="B64" s="4" t="s">
        <v>38</v>
      </c>
      <c r="C64" s="4">
        <f>C48*C24</f>
        <v>12595.678726483358</v>
      </c>
      <c r="D64" s="4">
        <f>D48*C24</f>
        <v>7937.5774240231549</v>
      </c>
      <c r="E64" s="4"/>
      <c r="F64" s="4"/>
      <c r="G64" s="4">
        <f>SUM(C64:F64)</f>
        <v>20533.256150506513</v>
      </c>
    </row>
    <row r="65" spans="2:7" x14ac:dyDescent="0.2">
      <c r="B65" s="4" t="s">
        <v>39</v>
      </c>
      <c r="C65" s="4">
        <f>C48*D24</f>
        <v>7230.3212735166426</v>
      </c>
      <c r="D65" s="4">
        <f>D48*D24</f>
        <v>4556.4225759768451</v>
      </c>
      <c r="E65" s="4"/>
      <c r="F65" s="4"/>
      <c r="G65" s="4">
        <f>SUM(C65:F65)</f>
        <v>11786.743849493487</v>
      </c>
    </row>
    <row r="66" spans="2:7" x14ac:dyDescent="0.2">
      <c r="B66" s="4" t="s">
        <v>67</v>
      </c>
      <c r="C66" s="4">
        <f>+C65+C64</f>
        <v>19826</v>
      </c>
      <c r="D66" s="4">
        <f>+D65+D64</f>
        <v>12494</v>
      </c>
      <c r="E66" s="4"/>
      <c r="F66" s="4"/>
      <c r="G66" s="4">
        <f>+G65+G64</f>
        <v>32320</v>
      </c>
    </row>
    <row r="68" spans="2:7" x14ac:dyDescent="0.2">
      <c r="C68" s="21" t="s">
        <v>38</v>
      </c>
      <c r="D68" s="21" t="s">
        <v>39</v>
      </c>
      <c r="E68" s="21" t="s">
        <v>8</v>
      </c>
    </row>
    <row r="69" spans="2:7" x14ac:dyDescent="0.2">
      <c r="B69" s="14" t="s">
        <v>34</v>
      </c>
      <c r="C69" s="13">
        <f>C5</f>
        <v>87800</v>
      </c>
      <c r="D69" s="13">
        <f>D5</f>
        <v>50400</v>
      </c>
      <c r="E69" s="13">
        <f>SUM(C69:D69)</f>
        <v>138200</v>
      </c>
    </row>
    <row r="70" spans="2:7" x14ac:dyDescent="0.2">
      <c r="B70" s="14" t="s">
        <v>35</v>
      </c>
      <c r="C70" s="4">
        <f>G64</f>
        <v>20533.256150506513</v>
      </c>
      <c r="D70" s="4">
        <f>G65</f>
        <v>11786.743849493487</v>
      </c>
      <c r="E70" s="13">
        <f>SUM(C70:D70)</f>
        <v>32320</v>
      </c>
    </row>
    <row r="71" spans="2:7" x14ac:dyDescent="0.2">
      <c r="B71" s="14" t="s">
        <v>36</v>
      </c>
      <c r="C71" s="4">
        <f>SUM(C69:C70)</f>
        <v>108333.25615050651</v>
      </c>
      <c r="D71" s="4">
        <f>SUM(D69:D70)</f>
        <v>62186.74384949349</v>
      </c>
      <c r="E71" s="4">
        <f>SUM(E69:E70)</f>
        <v>170520</v>
      </c>
    </row>
    <row r="72" spans="2:7" x14ac:dyDescent="0.2">
      <c r="B72" s="14" t="s">
        <v>37</v>
      </c>
      <c r="C72" s="4">
        <f>C71/C4</f>
        <v>0.24172897213161931</v>
      </c>
      <c r="D72" s="4">
        <f>D71/D4</f>
        <v>0.42322391037101575</v>
      </c>
    </row>
  </sheetData>
  <mergeCells count="3">
    <mergeCell ref="B7:C7"/>
    <mergeCell ref="B51:G51"/>
    <mergeCell ref="B63:G63"/>
  </mergeCells>
  <pageMargins left="0.75" right="0.75" top="1" bottom="1" header="0.5" footer="0.5"/>
  <pageSetup paperSize="9" scale="76" orientation="portrait" horizontalDpi="4294967292" verticalDpi="4294967292"/>
  <rowBreaks count="1" manualBreakCount="1">
    <brk id="49" max="16383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9"/>
  <sheetViews>
    <sheetView showGridLines="0" zoomScale="125" zoomScaleNormal="125" zoomScalePageLayoutView="125" workbookViewId="0">
      <selection activeCell="F36" sqref="F36"/>
    </sheetView>
  </sheetViews>
  <sheetFormatPr baseColWidth="10" defaultRowHeight="16" x14ac:dyDescent="0.2"/>
  <cols>
    <col min="1" max="1" width="10.83203125" style="3"/>
    <col min="2" max="2" width="27.1640625" style="3" bestFit="1" customWidth="1"/>
    <col min="3" max="6" width="21.6640625" style="3" customWidth="1"/>
    <col min="7" max="7" width="16.6640625" style="3" customWidth="1"/>
    <col min="8" max="16384" width="10.83203125" style="3"/>
  </cols>
  <sheetData>
    <row r="4" spans="2:6" ht="15" customHeight="1" x14ac:dyDescent="0.2">
      <c r="B4" s="2" t="s">
        <v>69</v>
      </c>
      <c r="C4" s="2" t="s">
        <v>70</v>
      </c>
    </row>
    <row r="5" spans="2:6" x14ac:dyDescent="0.2">
      <c r="B5" s="4" t="s">
        <v>71</v>
      </c>
      <c r="C5" s="5">
        <v>6000</v>
      </c>
    </row>
    <row r="6" spans="2:6" x14ac:dyDescent="0.2">
      <c r="B6" s="4" t="s">
        <v>72</v>
      </c>
      <c r="C6" s="5">
        <v>4000</v>
      </c>
    </row>
    <row r="8" spans="2:6" x14ac:dyDescent="0.2">
      <c r="B8" s="2" t="s">
        <v>73</v>
      </c>
      <c r="C8" s="2" t="s">
        <v>74</v>
      </c>
      <c r="D8" s="2" t="s">
        <v>75</v>
      </c>
      <c r="E8" s="2" t="s">
        <v>76</v>
      </c>
      <c r="F8" s="2" t="s">
        <v>7</v>
      </c>
    </row>
    <row r="9" spans="2:6" x14ac:dyDescent="0.2">
      <c r="B9" s="4" t="s">
        <v>77</v>
      </c>
      <c r="C9" s="4">
        <v>3850</v>
      </c>
      <c r="D9" s="4">
        <v>2200</v>
      </c>
      <c r="E9" s="4">
        <v>1570</v>
      </c>
      <c r="F9" s="4">
        <v>1800</v>
      </c>
    </row>
    <row r="10" spans="2:6" x14ac:dyDescent="0.2">
      <c r="B10" s="14" t="s">
        <v>78</v>
      </c>
      <c r="C10" s="4">
        <v>0</v>
      </c>
      <c r="D10" s="4">
        <v>2800</v>
      </c>
      <c r="E10" s="4">
        <v>0</v>
      </c>
      <c r="F10" s="4">
        <v>0</v>
      </c>
    </row>
    <row r="13" spans="2:6" x14ac:dyDescent="0.2">
      <c r="B13" s="2" t="s">
        <v>21</v>
      </c>
      <c r="C13" s="2" t="s">
        <v>79</v>
      </c>
    </row>
    <row r="14" spans="2:6" x14ac:dyDescent="0.2">
      <c r="B14" s="4" t="s">
        <v>80</v>
      </c>
      <c r="C14" s="4">
        <v>60000</v>
      </c>
    </row>
    <row r="15" spans="2:6" x14ac:dyDescent="0.2">
      <c r="B15" s="14" t="s">
        <v>81</v>
      </c>
      <c r="C15" s="4">
        <v>9000</v>
      </c>
    </row>
    <row r="18" spans="1:7" x14ac:dyDescent="0.2">
      <c r="B18" s="26"/>
      <c r="C18" s="26" t="s">
        <v>74</v>
      </c>
      <c r="D18" s="26" t="s">
        <v>75</v>
      </c>
      <c r="E18" s="26" t="s">
        <v>76</v>
      </c>
      <c r="F18" s="26" t="s">
        <v>7</v>
      </c>
      <c r="G18" s="26" t="s">
        <v>8</v>
      </c>
    </row>
    <row r="19" spans="1:7" x14ac:dyDescent="0.2">
      <c r="B19" s="5" t="s">
        <v>50</v>
      </c>
      <c r="C19" s="5">
        <v>500</v>
      </c>
      <c r="D19" s="5">
        <v>350</v>
      </c>
      <c r="E19" s="5">
        <v>100</v>
      </c>
      <c r="F19" s="5">
        <v>50</v>
      </c>
      <c r="G19" s="4">
        <f>SUM(C19:F19)</f>
        <v>1000</v>
      </c>
    </row>
    <row r="20" spans="1:7" x14ac:dyDescent="0.2">
      <c r="B20" s="29" t="s">
        <v>82</v>
      </c>
      <c r="C20" s="29">
        <v>14820</v>
      </c>
      <c r="D20" s="29">
        <v>18620</v>
      </c>
      <c r="E20" s="29">
        <v>2660</v>
      </c>
      <c r="F20" s="29">
        <v>1900</v>
      </c>
      <c r="G20" s="4">
        <f>SUM(C20:F20)</f>
        <v>38000</v>
      </c>
    </row>
    <row r="23" spans="1:7" x14ac:dyDescent="0.2">
      <c r="B23" s="26" t="s">
        <v>69</v>
      </c>
      <c r="C23" s="26" t="s">
        <v>83</v>
      </c>
      <c r="D23" s="26" t="s">
        <v>84</v>
      </c>
    </row>
    <row r="24" spans="1:7" x14ac:dyDescent="0.2">
      <c r="B24" s="5" t="s">
        <v>71</v>
      </c>
      <c r="C24" s="5">
        <f>85*C5/1000</f>
        <v>510</v>
      </c>
      <c r="D24" s="5">
        <f>80*C5/1000</f>
        <v>480</v>
      </c>
    </row>
    <row r="25" spans="1:7" x14ac:dyDescent="0.2">
      <c r="B25" s="29" t="s">
        <v>72</v>
      </c>
      <c r="C25" s="29">
        <f>90*C6/1000</f>
        <v>360</v>
      </c>
      <c r="D25" s="29">
        <f>100*C6/1000</f>
        <v>400</v>
      </c>
    </row>
    <row r="26" spans="1:7" x14ac:dyDescent="0.2">
      <c r="C26" s="5">
        <f>SUM(C24:C25)</f>
        <v>870</v>
      </c>
      <c r="D26" s="5">
        <f>SUM(D24:D25)</f>
        <v>880</v>
      </c>
    </row>
    <row r="30" spans="1:7" x14ac:dyDescent="0.2">
      <c r="A30" s="20" t="s">
        <v>31</v>
      </c>
      <c r="C30" s="30" t="s">
        <v>70</v>
      </c>
      <c r="D30" s="31"/>
      <c r="E30" s="30" t="s">
        <v>85</v>
      </c>
      <c r="F30" s="31"/>
    </row>
    <row r="31" spans="1:7" x14ac:dyDescent="0.2">
      <c r="B31" s="1" t="s">
        <v>59</v>
      </c>
      <c r="C31" s="2" t="s">
        <v>74</v>
      </c>
      <c r="D31" s="2" t="s">
        <v>75</v>
      </c>
      <c r="E31" s="2" t="s">
        <v>76</v>
      </c>
      <c r="F31" s="2" t="s">
        <v>7</v>
      </c>
      <c r="G31" s="2" t="s">
        <v>8</v>
      </c>
    </row>
    <row r="32" spans="1:7" x14ac:dyDescent="0.2">
      <c r="B32" s="14" t="s">
        <v>26</v>
      </c>
      <c r="C32" s="4">
        <f>$C$14*(C19/$G$19)</f>
        <v>30000</v>
      </c>
      <c r="D32" s="4">
        <f t="shared" ref="D32:F32" si="0">$C$14*(D19/$G$19)</f>
        <v>21000</v>
      </c>
      <c r="E32" s="4">
        <f t="shared" si="0"/>
        <v>6000</v>
      </c>
      <c r="F32" s="4">
        <f t="shared" si="0"/>
        <v>3000</v>
      </c>
      <c r="G32" s="4">
        <f>SUM(C32:F32)</f>
        <v>60000</v>
      </c>
    </row>
    <row r="33" spans="1:13" x14ac:dyDescent="0.2">
      <c r="B33" s="14" t="s">
        <v>86</v>
      </c>
      <c r="C33" s="4">
        <f>$C$15*(C20/$G$20)</f>
        <v>3510</v>
      </c>
      <c r="D33" s="4">
        <f t="shared" ref="D33:F33" si="1">$C$15*(D20/$G$20)</f>
        <v>4410</v>
      </c>
      <c r="E33" s="4">
        <f t="shared" si="1"/>
        <v>630.00000000000011</v>
      </c>
      <c r="F33" s="4">
        <f t="shared" si="1"/>
        <v>450</v>
      </c>
      <c r="G33" s="4">
        <f>SUM(C33:F33)</f>
        <v>9000</v>
      </c>
    </row>
    <row r="34" spans="1:13" x14ac:dyDescent="0.2">
      <c r="B34" s="14" t="s">
        <v>87</v>
      </c>
      <c r="C34" s="4">
        <f>C9</f>
        <v>3850</v>
      </c>
      <c r="D34" s="4">
        <f t="shared" ref="D34:F35" si="2">D9</f>
        <v>2200</v>
      </c>
      <c r="E34" s="4">
        <f t="shared" si="2"/>
        <v>1570</v>
      </c>
      <c r="F34" s="4">
        <f t="shared" si="2"/>
        <v>1800</v>
      </c>
      <c r="G34" s="4">
        <f t="shared" ref="G34:G35" si="3">SUM(C34:F34)</f>
        <v>9420</v>
      </c>
    </row>
    <row r="35" spans="1:13" x14ac:dyDescent="0.2">
      <c r="B35" s="14" t="s">
        <v>88</v>
      </c>
      <c r="C35" s="4">
        <f>C10</f>
        <v>0</v>
      </c>
      <c r="D35" s="4">
        <f t="shared" si="2"/>
        <v>2800</v>
      </c>
      <c r="E35" s="4">
        <f t="shared" si="2"/>
        <v>0</v>
      </c>
      <c r="F35" s="4">
        <f t="shared" si="2"/>
        <v>0</v>
      </c>
      <c r="G35" s="4">
        <f t="shared" si="3"/>
        <v>2800</v>
      </c>
    </row>
    <row r="36" spans="1:13" x14ac:dyDescent="0.2">
      <c r="B36" s="14" t="s">
        <v>8</v>
      </c>
      <c r="C36" s="4">
        <f>SUM(C32:C35)</f>
        <v>37360</v>
      </c>
      <c r="D36" s="4">
        <f t="shared" ref="D36:G36" si="4">SUM(D32:D35)</f>
        <v>30410</v>
      </c>
      <c r="E36" s="4">
        <f t="shared" si="4"/>
        <v>8200</v>
      </c>
      <c r="F36" s="4">
        <f t="shared" si="4"/>
        <v>5250</v>
      </c>
      <c r="G36" s="4">
        <f t="shared" si="4"/>
        <v>81220</v>
      </c>
    </row>
    <row r="37" spans="1:13" x14ac:dyDescent="0.2">
      <c r="A37" s="20" t="s">
        <v>32</v>
      </c>
      <c r="B37" s="4" t="s">
        <v>71</v>
      </c>
      <c r="C37" s="4">
        <f>$C$36*(C24/$C$26)</f>
        <v>21900.689655172413</v>
      </c>
      <c r="D37" s="4">
        <f>$D$36*(D24/$D$26)</f>
        <v>16587.272727272724</v>
      </c>
      <c r="E37" s="4">
        <f>$E$36*(C24/$C$26)</f>
        <v>4806.8965517241377</v>
      </c>
      <c r="F37" s="4">
        <f>$F$36*(D24/$D$26)</f>
        <v>2863.6363636363635</v>
      </c>
      <c r="G37" s="4">
        <f>SUM(C37:F37)</f>
        <v>46158.495297805639</v>
      </c>
    </row>
    <row r="38" spans="1:13" x14ac:dyDescent="0.2">
      <c r="B38" s="4" t="s">
        <v>72</v>
      </c>
      <c r="C38" s="4">
        <f>$C$36*(C25/$C$26)</f>
        <v>15459.310344827585</v>
      </c>
      <c r="D38" s="4">
        <f>$D$36*(D25/$D$26)</f>
        <v>13822.727272727272</v>
      </c>
      <c r="E38" s="4">
        <f>$E$36*(C25/$C$26)</f>
        <v>3393.1034482758619</v>
      </c>
      <c r="F38" s="4">
        <f>$F$36*(D25/$D$26)</f>
        <v>2386.3636363636365</v>
      </c>
      <c r="G38" s="4">
        <f>SUM(C38:F38)</f>
        <v>35061.504702194361</v>
      </c>
    </row>
    <row r="42" spans="1:13" x14ac:dyDescent="0.2">
      <c r="A42" s="20" t="s">
        <v>33</v>
      </c>
      <c r="B42" s="2" t="s">
        <v>69</v>
      </c>
      <c r="C42" s="2" t="s">
        <v>89</v>
      </c>
      <c r="D42" s="2" t="s">
        <v>90</v>
      </c>
      <c r="E42" s="2" t="s">
        <v>91</v>
      </c>
      <c r="K42" s="32">
        <f>+C24/C26</f>
        <v>0.58620689655172409</v>
      </c>
      <c r="L42" s="32">
        <f>+D24/D26</f>
        <v>0.54545454545454541</v>
      </c>
      <c r="M42" s="32"/>
    </row>
    <row r="43" spans="1:13" x14ac:dyDescent="0.2">
      <c r="B43" s="14" t="s">
        <v>71</v>
      </c>
      <c r="C43" s="4">
        <f>G37</f>
        <v>46158.495297805639</v>
      </c>
      <c r="D43" s="5">
        <f>+C5/1000</f>
        <v>6</v>
      </c>
      <c r="E43" s="4">
        <f>+C43/D43</f>
        <v>7693.0825496342732</v>
      </c>
      <c r="K43" s="32">
        <f>+C25/C26</f>
        <v>0.41379310344827586</v>
      </c>
      <c r="L43" s="32">
        <f>+D25/D26</f>
        <v>0.45454545454545453</v>
      </c>
      <c r="M43" s="32"/>
    </row>
    <row r="44" spans="1:13" x14ac:dyDescent="0.2">
      <c r="B44" s="14" t="s">
        <v>72</v>
      </c>
      <c r="C44" s="4">
        <f>G38</f>
        <v>35061.504702194361</v>
      </c>
      <c r="D44" s="5">
        <f>+C6/1000</f>
        <v>4</v>
      </c>
      <c r="E44" s="4">
        <f>+C44/D44</f>
        <v>8765.3761755485903</v>
      </c>
    </row>
    <row r="47" spans="1:13" x14ac:dyDescent="0.2">
      <c r="A47" s="20" t="s">
        <v>92</v>
      </c>
      <c r="B47" s="2" t="s">
        <v>69</v>
      </c>
      <c r="C47" s="2" t="s">
        <v>89</v>
      </c>
      <c r="D47" s="2" t="s">
        <v>18</v>
      </c>
      <c r="E47" s="2" t="s">
        <v>91</v>
      </c>
    </row>
    <row r="48" spans="1:13" x14ac:dyDescent="0.2">
      <c r="B48" s="14" t="s">
        <v>71</v>
      </c>
      <c r="C48" s="4">
        <f>G37</f>
        <v>46158.495297805639</v>
      </c>
      <c r="D48" s="5">
        <f>C5</f>
        <v>6000</v>
      </c>
      <c r="E48" s="4">
        <f>+C48/D48</f>
        <v>7.6930825496342727</v>
      </c>
    </row>
    <row r="49" spans="2:5" x14ac:dyDescent="0.2">
      <c r="B49" s="14" t="s">
        <v>72</v>
      </c>
      <c r="C49" s="4">
        <f>G38</f>
        <v>35061.504702194361</v>
      </c>
      <c r="D49" s="5">
        <f>C6</f>
        <v>4000</v>
      </c>
      <c r="E49" s="4">
        <f>+C49/D49</f>
        <v>8.7653761755485906</v>
      </c>
    </row>
  </sheetData>
  <mergeCells count="2">
    <mergeCell ref="C30:D30"/>
    <mergeCell ref="E30:F30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exerc. Acomp.</vt:lpstr>
      <vt:lpstr>ex fix 1</vt:lpstr>
      <vt:lpstr>ex fix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Usuário do Microsoft Office</cp:lastModifiedBy>
  <dcterms:created xsi:type="dcterms:W3CDTF">2017-09-29T16:17:19Z</dcterms:created>
  <dcterms:modified xsi:type="dcterms:W3CDTF">2017-09-29T16:18:50Z</dcterms:modified>
</cp:coreProperties>
</file>