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activeTab="3"/>
  </bookViews>
  <sheets>
    <sheet name="Instructions" sheetId="1" r:id="rId1"/>
    <sheet name="Data" sheetId="2" r:id="rId2"/>
    <sheet name="Graph" sheetId="3" r:id="rId3"/>
    <sheet name="Calculations" sheetId="4" r:id="rId4"/>
  </sheets>
  <definedNames>
    <definedName name="_xlnm.Print_Area" localSheetId="0">'Instructions'!$A$1:$I$46</definedName>
  </definedNames>
  <calcPr fullCalcOnLoad="1"/>
</workbook>
</file>

<file path=xl/sharedStrings.xml><?xml version="1.0" encoding="utf-8"?>
<sst xmlns="http://schemas.openxmlformats.org/spreadsheetml/2006/main" count="170" uniqueCount="104">
  <si>
    <t>mm</t>
  </si>
  <si>
    <t>sum</t>
  </si>
  <si>
    <t>g</t>
  </si>
  <si>
    <t xml:space="preserve">Seive </t>
  </si>
  <si>
    <t>Upper</t>
  </si>
  <si>
    <t>Middle</t>
  </si>
  <si>
    <t>Lower</t>
  </si>
  <si>
    <t>Bottom Pan</t>
  </si>
  <si>
    <t>Weight (grams)</t>
  </si>
  <si>
    <t>Total</t>
  </si>
  <si>
    <t>in</t>
  </si>
  <si>
    <t>Pore size</t>
  </si>
  <si>
    <t>Retention</t>
  </si>
  <si>
    <t>(inches)</t>
  </si>
  <si>
    <t>(% under each sieve)</t>
  </si>
  <si>
    <t>Seive</t>
  </si>
  <si>
    <t>Cumulative Particles</t>
  </si>
  <si>
    <t>Particles Remaining</t>
  </si>
  <si>
    <t>(% of total)</t>
  </si>
  <si>
    <t>Section 1. Distribution of Particles</t>
  </si>
  <si>
    <t>Y calc.</t>
  </si>
  <si>
    <t>Y to graph</t>
  </si>
  <si>
    <t>Vertical lines for manual plotting assistance</t>
  </si>
  <si>
    <t>Section 2. Sample Parameters</t>
  </si>
  <si>
    <r>
      <t>d</t>
    </r>
    <r>
      <rPr>
        <b/>
        <vertAlign val="subscript"/>
        <sz val="10"/>
        <rFont val="Arial"/>
        <family val="2"/>
      </rPr>
      <t>gm</t>
    </r>
  </si>
  <si>
    <r>
      <t>S</t>
    </r>
    <r>
      <rPr>
        <b/>
        <vertAlign val="subscript"/>
        <sz val="10"/>
        <rFont val="Arial"/>
        <family val="2"/>
      </rPr>
      <t>gm</t>
    </r>
  </si>
  <si>
    <t>Cumulative</t>
  </si>
  <si>
    <t xml:space="preserve"> % under each seive</t>
  </si>
  <si>
    <t>Pore Size</t>
  </si>
  <si>
    <t>X</t>
  </si>
  <si>
    <t>Y</t>
  </si>
  <si>
    <t>Y calc</t>
  </si>
  <si>
    <t>Target Range Data</t>
  </si>
  <si>
    <t>Data to create Lognormal paper</t>
  </si>
  <si>
    <t>Average Particle Size (in)</t>
  </si>
  <si>
    <t>Standard Deviation (in)</t>
  </si>
  <si>
    <t>Sample 1:</t>
  </si>
  <si>
    <t>Haylage</t>
  </si>
  <si>
    <t>Sample 2:</t>
  </si>
  <si>
    <t>TMR</t>
  </si>
  <si>
    <t>High Group TMR</t>
  </si>
  <si>
    <t>Low Group TMR</t>
  </si>
  <si>
    <r>
      <t>d</t>
    </r>
    <r>
      <rPr>
        <b/>
        <vertAlign val="subscript"/>
        <sz val="8"/>
        <rFont val="Arial"/>
        <family val="2"/>
      </rPr>
      <t>i</t>
    </r>
  </si>
  <si>
    <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</si>
  <si>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log d</t>
    </r>
    <r>
      <rPr>
        <b/>
        <vertAlign val="subscript"/>
        <sz val="8"/>
        <rFont val="Arial"/>
        <family val="2"/>
      </rPr>
      <t>i</t>
    </r>
  </si>
  <si>
    <r>
      <t>M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(log d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 xml:space="preserve"> - log d</t>
    </r>
    <r>
      <rPr>
        <b/>
        <vertAlign val="subscript"/>
        <sz val="8"/>
        <rFont val="Arial"/>
        <family val="2"/>
      </rPr>
      <t>gm</t>
    </r>
    <r>
      <rPr>
        <b/>
        <sz val="8"/>
        <rFont val="Arial"/>
        <family val="2"/>
      </rPr>
      <t>)</t>
    </r>
    <r>
      <rPr>
        <b/>
        <vertAlign val="superscript"/>
        <sz val="8"/>
        <rFont val="Arial"/>
        <family val="2"/>
      </rPr>
      <t>2</t>
    </r>
  </si>
  <si>
    <r>
      <t>% (M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>)</t>
    </r>
  </si>
  <si>
    <t>Sample 1</t>
  </si>
  <si>
    <t>Sample 2</t>
  </si>
  <si>
    <t>Distributions to Graph</t>
  </si>
  <si>
    <t>Horizontal Grid generation data (inches)</t>
  </si>
  <si>
    <t>Corn Silage</t>
  </si>
  <si>
    <t>Calculation of average particle size (mm)</t>
  </si>
  <si>
    <t>Farm Name</t>
  </si>
  <si>
    <t>Address</t>
  </si>
  <si>
    <t>INPUT</t>
  </si>
  <si>
    <t>OUTPUT</t>
  </si>
  <si>
    <t>Sample Date</t>
  </si>
  <si>
    <t>1 = TMR, 2 = Corn silage, 3 = Haylage</t>
  </si>
  <si>
    <t>Sample Type</t>
  </si>
  <si>
    <t>Range to print:</t>
  </si>
  <si>
    <t>Particle Size Analysis</t>
  </si>
  <si>
    <t>Instructions</t>
  </si>
  <si>
    <t>1. Click on the "Data" tab below.</t>
  </si>
  <si>
    <t>3. Be sure to enter the type of sample. Target ranges on the graph are based on sample type.</t>
  </si>
  <si>
    <t>4. Enter the sample name and the weight of particles left on each sieve.</t>
  </si>
  <si>
    <t>If only one sample is analyzed, delete the example data for "Sample 2".</t>
  </si>
  <si>
    <t>Entering Sample Data</t>
  </si>
  <si>
    <t>Use the following numeric code to identify the sample type:</t>
  </si>
  <si>
    <t>Reading the Output</t>
  </si>
  <si>
    <t>1. The output from your measurements has two forms.</t>
  </si>
  <si>
    <t>The "Output" section on the "Data" tab below.</t>
  </si>
  <si>
    <t xml:space="preserve">2. The "Output" section </t>
  </si>
  <si>
    <t>Percentage of particles on each sieve</t>
  </si>
  <si>
    <t>Average length of particles in the sample</t>
  </si>
  <si>
    <t>Standard deviation for length of particles in the sample</t>
  </si>
  <si>
    <t>3. The Graph</t>
  </si>
  <si>
    <t>A graph of your results on the "Graph" tab below.</t>
  </si>
  <si>
    <t>Unless you are interested in the math and equations behind these calculations, you will not</t>
  </si>
  <si>
    <t>need to use the "Calculations" tab below.</t>
  </si>
  <si>
    <t>Blue and orange lines show the "line of best fit" for the sample (regression)</t>
  </si>
  <si>
    <t>Developed by Coleen Jones, Paul Kononoff, and Jud Heinrichs</t>
  </si>
  <si>
    <t>Questions?</t>
  </si>
  <si>
    <t>If you are interested in particle size and target ranges, contact Jud Heinrichs at ajh@psu.edu</t>
  </si>
  <si>
    <t>2. Enter information in cells with blue text; always replace or delete the example text.</t>
  </si>
  <si>
    <t>TMR = 1      Corn silage = 2       Haylage = 3</t>
  </si>
  <si>
    <t>Maximum Milk Makers</t>
  </si>
  <si>
    <t>658 Dairy Lane</t>
  </si>
  <si>
    <t>Anytown, PA  17956</t>
  </si>
  <si>
    <r>
      <t xml:space="preserve">Summary: </t>
    </r>
    <r>
      <rPr>
        <sz val="10"/>
        <rFont val="Arial"/>
        <family val="2"/>
      </rPr>
      <t>Enter the weight of particles on each sieve on the "Data" tab. The distribution will be calculated and shown below your entries. View a graph of the results by clicking on the "Graph" tab. See the explanation below for more details.</t>
    </r>
  </si>
  <si>
    <t>Green boxes indicate a recommended target range for your sample type</t>
  </si>
  <si>
    <t>Section 3. Recommended Distribution of Particles</t>
  </si>
  <si>
    <t>Sample Type:</t>
  </si>
  <si>
    <t>Recommended particle size distribution for your sample type</t>
  </si>
  <si>
    <t>If they concern using this spreadsheet, contact Coleen Jones at cjones@psu.edu</t>
  </si>
  <si>
    <t>For</t>
  </si>
  <si>
    <t>Graph Titles</t>
  </si>
  <si>
    <t>Particle Size Analysis
Datasheet</t>
  </si>
  <si>
    <t>Disclaimer</t>
  </si>
  <si>
    <t>If the ration contains more than 8% long particles (on the top screen), then the actual average particle size should be measured by hand. Do not use the default value of 30 mm in this spreadsheet.</t>
  </si>
  <si>
    <t>Cumulative percent undersized, which is the amount under each sieve</t>
  </si>
  <si>
    <t>Blue and orange points plot the cumulative percent undersized</t>
  </si>
  <si>
    <t>extension.psu.edu/dairynutrition</t>
  </si>
  <si>
    <t>revised 10/22/2013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</si>
</sst>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000000"/>
    <numFmt numFmtId="180" formatCode="0.000000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0"/>
    </font>
    <font>
      <b/>
      <i/>
      <sz val="20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50" applyFont="1">
      <alignment/>
      <protection/>
    </xf>
    <xf numFmtId="1" fontId="0" fillId="33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50" applyFont="1">
      <alignment/>
      <protection/>
    </xf>
    <xf numFmtId="0" fontId="10" fillId="0" borderId="0" xfId="50" applyFont="1">
      <alignment/>
      <protection/>
    </xf>
    <xf numFmtId="0" fontId="0" fillId="0" borderId="14" xfId="50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5" xfId="50" applyFont="1" applyBorder="1">
      <alignment/>
      <protection/>
    </xf>
    <xf numFmtId="0" fontId="0" fillId="0" borderId="16" xfId="50" applyFont="1" applyBorder="1">
      <alignment/>
      <protection/>
    </xf>
    <xf numFmtId="0" fontId="0" fillId="0" borderId="13" xfId="50" applyFont="1" applyBorder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8" xfId="50" applyFont="1" applyBorder="1" applyAlignment="1">
      <alignment horizontal="center"/>
      <protection/>
    </xf>
    <xf numFmtId="0" fontId="14" fillId="0" borderId="19" xfId="50" applyFont="1" applyBorder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0" fontId="14" fillId="0" borderId="20" xfId="50" applyFont="1" applyBorder="1">
      <alignment/>
      <protection/>
    </xf>
    <xf numFmtId="0" fontId="14" fillId="0" borderId="21" xfId="50" applyFont="1" applyBorder="1">
      <alignment/>
      <protection/>
    </xf>
    <xf numFmtId="0" fontId="14" fillId="0" borderId="22" xfId="50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4" xfId="0" applyFill="1" applyBorder="1" applyAlignment="1">
      <alignment horizontal="right"/>
    </xf>
    <xf numFmtId="174" fontId="0" fillId="34" borderId="12" xfId="0" applyNumberForma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34" borderId="10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right"/>
    </xf>
    <xf numFmtId="174" fontId="0" fillId="34" borderId="34" xfId="0" applyNumberFormat="1" applyFill="1" applyBorder="1" applyAlignment="1">
      <alignment horizontal="right"/>
    </xf>
    <xf numFmtId="0" fontId="0" fillId="34" borderId="35" xfId="0" applyFont="1" applyFill="1" applyBorder="1" applyAlignment="1">
      <alignment/>
    </xf>
    <xf numFmtId="2" fontId="0" fillId="34" borderId="35" xfId="0" applyNumberFormat="1" applyFill="1" applyBorder="1" applyAlignment="1">
      <alignment horizontal="right"/>
    </xf>
    <xf numFmtId="2" fontId="0" fillId="34" borderId="35" xfId="0" applyNumberFormat="1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0" fontId="5" fillId="34" borderId="37" xfId="0" applyFont="1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6" xfId="0" applyFont="1" applyFill="1" applyBorder="1" applyAlignment="1">
      <alignment/>
    </xf>
    <xf numFmtId="2" fontId="0" fillId="34" borderId="16" xfId="0" applyNumberFormat="1" applyFill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2" fontId="5" fillId="34" borderId="40" xfId="0" applyNumberFormat="1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5" borderId="0" xfId="0" applyFill="1" applyAlignment="1">
      <alignment/>
    </xf>
    <xf numFmtId="0" fontId="10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3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27" xfId="0" applyFill="1" applyBorder="1" applyAlignment="1">
      <alignment/>
    </xf>
    <xf numFmtId="0" fontId="8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0" fillId="35" borderId="31" xfId="0" applyFill="1" applyBorder="1" applyAlignment="1">
      <alignment horizontal="center"/>
    </xf>
    <xf numFmtId="0" fontId="0" fillId="35" borderId="14" xfId="0" applyFill="1" applyBorder="1" applyAlignment="1">
      <alignment horizontal="right"/>
    </xf>
    <xf numFmtId="174" fontId="0" fillId="35" borderId="12" xfId="0" applyNumberForma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right"/>
    </xf>
    <xf numFmtId="174" fontId="0" fillId="35" borderId="34" xfId="0" applyNumberFormat="1" applyFill="1" applyBorder="1" applyAlignment="1">
      <alignment horizontal="right"/>
    </xf>
    <xf numFmtId="0" fontId="0" fillId="35" borderId="35" xfId="0" applyFont="1" applyFill="1" applyBorder="1" applyAlignment="1">
      <alignment/>
    </xf>
    <xf numFmtId="2" fontId="0" fillId="35" borderId="35" xfId="0" applyNumberFormat="1" applyFill="1" applyBorder="1" applyAlignment="1">
      <alignment horizontal="right"/>
    </xf>
    <xf numFmtId="2" fontId="0" fillId="35" borderId="35" xfId="0" applyNumberFormat="1" applyFill="1" applyBorder="1" applyAlignment="1">
      <alignment horizontal="center"/>
    </xf>
    <xf numFmtId="0" fontId="5" fillId="35" borderId="37" xfId="0" applyFont="1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16" xfId="0" applyFont="1" applyFill="1" applyBorder="1" applyAlignment="1">
      <alignment/>
    </xf>
    <xf numFmtId="2" fontId="0" fillId="35" borderId="16" xfId="0" applyNumberFormat="1" applyFill="1" applyBorder="1" applyAlignment="1">
      <alignment horizontal="center"/>
    </xf>
    <xf numFmtId="2" fontId="0" fillId="35" borderId="38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2" fontId="5" fillId="35" borderId="40" xfId="0" applyNumberFormat="1" applyFont="1" applyFill="1" applyBorder="1" applyAlignment="1">
      <alignment/>
    </xf>
    <xf numFmtId="0" fontId="5" fillId="35" borderId="40" xfId="0" applyFont="1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3" fillId="35" borderId="0" xfId="0" applyFont="1" applyFill="1" applyAlignment="1">
      <alignment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4" fillId="35" borderId="27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14" fillId="35" borderId="16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0" fillId="35" borderId="39" xfId="0" applyFill="1" applyBorder="1" applyAlignment="1">
      <alignment/>
    </xf>
    <xf numFmtId="0" fontId="5" fillId="34" borderId="2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1" fontId="0" fillId="33" borderId="29" xfId="0" applyNumberForma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2" fontId="0" fillId="35" borderId="42" xfId="0" applyNumberFormat="1" applyFill="1" applyBorder="1" applyAlignment="1">
      <alignment horizontal="center"/>
    </xf>
    <xf numFmtId="0" fontId="0" fillId="34" borderId="0" xfId="50" applyFont="1" applyFill="1" applyBorder="1">
      <alignment/>
      <protection/>
    </xf>
    <xf numFmtId="0" fontId="0" fillId="34" borderId="27" xfId="50" applyFont="1" applyFill="1" applyBorder="1">
      <alignment/>
      <protection/>
    </xf>
    <xf numFmtId="0" fontId="0" fillId="34" borderId="40" xfId="50" applyFont="1" applyFill="1" applyBorder="1">
      <alignment/>
      <protection/>
    </xf>
    <xf numFmtId="0" fontId="0" fillId="34" borderId="41" xfId="50" applyFont="1" applyFill="1" applyBorder="1">
      <alignment/>
      <protection/>
    </xf>
    <xf numFmtId="0" fontId="0" fillId="35" borderId="0" xfId="50" applyFont="1" applyFill="1" applyBorder="1">
      <alignment/>
      <protection/>
    </xf>
    <xf numFmtId="0" fontId="0" fillId="35" borderId="27" xfId="50" applyFont="1" applyFill="1" applyBorder="1">
      <alignment/>
      <protection/>
    </xf>
    <xf numFmtId="0" fontId="0" fillId="35" borderId="40" xfId="50" applyFont="1" applyFill="1" applyBorder="1">
      <alignment/>
      <protection/>
    </xf>
    <xf numFmtId="0" fontId="0" fillId="35" borderId="41" xfId="50" applyFont="1" applyFill="1" applyBorder="1">
      <alignment/>
      <protection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34" borderId="43" xfId="0" applyFont="1" applyFill="1" applyBorder="1" applyAlignment="1">
      <alignment horizontal="right" wrapText="1"/>
    </xf>
    <xf numFmtId="0" fontId="5" fillId="35" borderId="43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1" fillId="36" borderId="23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9" xfId="0" applyFill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4" xfId="0" applyFont="1" applyFill="1" applyBorder="1" applyAlignment="1">
      <alignment/>
    </xf>
    <xf numFmtId="0" fontId="11" fillId="37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5" borderId="38" xfId="0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5" fillId="35" borderId="45" xfId="0" applyFont="1" applyFill="1" applyBorder="1" applyAlignment="1">
      <alignment horizontal="center"/>
    </xf>
    <xf numFmtId="1" fontId="0" fillId="33" borderId="46" xfId="0" applyNumberFormat="1" applyFill="1" applyBorder="1" applyAlignment="1">
      <alignment horizontal="center"/>
    </xf>
    <xf numFmtId="1" fontId="0" fillId="33" borderId="47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74" fontId="0" fillId="33" borderId="49" xfId="0" applyNumberForma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50" applyFont="1" applyFill="1" applyBorder="1">
      <alignment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11" fillId="38" borderId="23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 wrapText="1"/>
    </xf>
    <xf numFmtId="0" fontId="0" fillId="38" borderId="27" xfId="0" applyFont="1" applyFill="1" applyBorder="1" applyAlignment="1">
      <alignment horizontal="left" wrapText="1"/>
    </xf>
    <xf numFmtId="0" fontId="0" fillId="38" borderId="26" xfId="0" applyFont="1" applyFill="1" applyBorder="1" applyAlignment="1">
      <alignment horizontal="left" wrapText="1"/>
    </xf>
    <xf numFmtId="0" fontId="17" fillId="38" borderId="26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left"/>
    </xf>
    <xf numFmtId="0" fontId="0" fillId="38" borderId="27" xfId="0" applyFill="1" applyBorder="1" applyAlignment="1">
      <alignment horizontal="left"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0" fillId="38" borderId="41" xfId="0" applyFill="1" applyBorder="1" applyAlignment="1">
      <alignment/>
    </xf>
    <xf numFmtId="0" fontId="0" fillId="33" borderId="0" xfId="0" applyFill="1" applyAlignment="1">
      <alignment/>
    </xf>
    <xf numFmtId="0" fontId="6" fillId="38" borderId="2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1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173" fontId="0" fillId="33" borderId="0" xfId="0" applyNumberFormat="1" applyFill="1" applyBorder="1" applyAlignment="1">
      <alignment horizontal="center"/>
    </xf>
    <xf numFmtId="0" fontId="1" fillId="33" borderId="0" xfId="44" applyFill="1" applyAlignment="1" applyProtection="1">
      <alignment horizontal="center"/>
      <protection/>
    </xf>
    <xf numFmtId="0" fontId="0" fillId="33" borderId="0" xfId="0" applyFont="1" applyFill="1" applyAlignment="1">
      <alignment horizontal="right"/>
    </xf>
    <xf numFmtId="174" fontId="0" fillId="0" borderId="0" xfId="0" applyNumberFormat="1" applyAlignment="1" applyProtection="1">
      <alignment horizontal="center"/>
      <protection locked="0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8" borderId="26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left" wrapText="1"/>
    </xf>
    <xf numFmtId="0" fontId="0" fillId="38" borderId="27" xfId="0" applyFont="1" applyFill="1" applyBorder="1" applyAlignment="1">
      <alignment horizontal="left" wrapText="1"/>
    </xf>
    <xf numFmtId="0" fontId="0" fillId="38" borderId="26" xfId="0" applyFont="1" applyFill="1" applyBorder="1" applyAlignment="1">
      <alignment horizontal="left" wrapText="1"/>
    </xf>
    <xf numFmtId="0" fontId="17" fillId="38" borderId="26" xfId="0" applyFont="1" applyFill="1" applyBorder="1" applyAlignment="1">
      <alignment horizontal="left" wrapText="1"/>
    </xf>
    <xf numFmtId="0" fontId="17" fillId="38" borderId="0" xfId="0" applyFont="1" applyFill="1" applyBorder="1" applyAlignment="1">
      <alignment horizontal="left" wrapText="1"/>
    </xf>
    <xf numFmtId="0" fontId="21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33" borderId="26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174" fontId="0" fillId="34" borderId="0" xfId="0" applyNumberFormat="1" applyFill="1" applyBorder="1" applyAlignment="1">
      <alignment horizontal="center"/>
    </xf>
    <xf numFmtId="0" fontId="8" fillId="35" borderId="46" xfId="0" applyFont="1" applyFill="1" applyBorder="1" applyAlignment="1">
      <alignment horizontal="center" wrapText="1"/>
    </xf>
    <xf numFmtId="0" fontId="0" fillId="35" borderId="48" xfId="0" applyFill="1" applyBorder="1" applyAlignment="1">
      <alignment wrapText="1"/>
    </xf>
    <xf numFmtId="0" fontId="14" fillId="35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 wrapText="1"/>
    </xf>
    <xf numFmtId="0" fontId="0" fillId="34" borderId="48" xfId="0" applyFill="1" applyBorder="1" applyAlignment="1">
      <alignment wrapText="1"/>
    </xf>
    <xf numFmtId="0" fontId="8" fillId="34" borderId="17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6" fillId="0" borderId="0" xfId="50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4" fillId="35" borderId="16" xfId="0" applyFont="1" applyFill="1" applyBorder="1" applyAlignment="1">
      <alignment horizontal="center"/>
    </xf>
    <xf numFmtId="174" fontId="0" fillId="35" borderId="0" xfId="0" applyNumberFormat="1" applyFill="1" applyBorder="1" applyAlignment="1">
      <alignment horizontal="center"/>
    </xf>
    <xf numFmtId="174" fontId="0" fillId="35" borderId="40" xfId="0" applyNumberFormat="1" applyFill="1" applyBorder="1" applyAlignment="1">
      <alignment horizontal="center"/>
    </xf>
    <xf numFmtId="174" fontId="0" fillId="34" borderId="40" xfId="0" applyNumberForma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weibull2001 modified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965"/>
          <c:w val="0.898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horiz lines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95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99.9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Calculations!$A$28:$A$74</c:f>
              <c:numCache>
                <c:ptCount val="47"/>
                <c:pt idx="0">
                  <c:v>0.01</c:v>
                </c:pt>
                <c:pt idx="1">
                  <c:v>10</c:v>
                </c:pt>
                <c:pt idx="3">
                  <c:v>0.01</c:v>
                </c:pt>
                <c:pt idx="4">
                  <c:v>10</c:v>
                </c:pt>
                <c:pt idx="6">
                  <c:v>0.01</c:v>
                </c:pt>
                <c:pt idx="7">
                  <c:v>10</c:v>
                </c:pt>
                <c:pt idx="9">
                  <c:v>0.01</c:v>
                </c:pt>
                <c:pt idx="10">
                  <c:v>10</c:v>
                </c:pt>
                <c:pt idx="12">
                  <c:v>0.01</c:v>
                </c:pt>
                <c:pt idx="13">
                  <c:v>10</c:v>
                </c:pt>
                <c:pt idx="15">
                  <c:v>0.01</c:v>
                </c:pt>
                <c:pt idx="16">
                  <c:v>10</c:v>
                </c:pt>
                <c:pt idx="18">
                  <c:v>0.01</c:v>
                </c:pt>
                <c:pt idx="19">
                  <c:v>10</c:v>
                </c:pt>
                <c:pt idx="21">
                  <c:v>0.01</c:v>
                </c:pt>
                <c:pt idx="22">
                  <c:v>10</c:v>
                </c:pt>
                <c:pt idx="24">
                  <c:v>0.01</c:v>
                </c:pt>
                <c:pt idx="25">
                  <c:v>10</c:v>
                </c:pt>
                <c:pt idx="27">
                  <c:v>0.01</c:v>
                </c:pt>
                <c:pt idx="28">
                  <c:v>10</c:v>
                </c:pt>
                <c:pt idx="30">
                  <c:v>0.01</c:v>
                </c:pt>
                <c:pt idx="31">
                  <c:v>10</c:v>
                </c:pt>
                <c:pt idx="33">
                  <c:v>0.01</c:v>
                </c:pt>
                <c:pt idx="34">
                  <c:v>10</c:v>
                </c:pt>
                <c:pt idx="36">
                  <c:v>0.01</c:v>
                </c:pt>
                <c:pt idx="37">
                  <c:v>10</c:v>
                </c:pt>
                <c:pt idx="39">
                  <c:v>0.01</c:v>
                </c:pt>
                <c:pt idx="40">
                  <c:v>10</c:v>
                </c:pt>
                <c:pt idx="42">
                  <c:v>0.01</c:v>
                </c:pt>
                <c:pt idx="43">
                  <c:v>10</c:v>
                </c:pt>
                <c:pt idx="45">
                  <c:v>0.01</c:v>
                </c:pt>
                <c:pt idx="46">
                  <c:v>10</c:v>
                </c:pt>
              </c:numCache>
            </c:numRef>
          </c:xVal>
          <c:yVal>
            <c:numRef>
              <c:f>Calculations!$D$28:$D$74</c:f>
              <c:numCache>
                <c:ptCount val="47"/>
                <c:pt idx="0">
                  <c:v>0.1</c:v>
                </c:pt>
                <c:pt idx="1">
                  <c:v>0.1</c:v>
                </c:pt>
                <c:pt idx="3">
                  <c:v>0.8638844321269724</c:v>
                </c:pt>
                <c:pt idx="4">
                  <c:v>0.8638844321269724</c:v>
                </c:pt>
                <c:pt idx="6">
                  <c:v>1.1364833955359908</c:v>
                </c:pt>
                <c:pt idx="7">
                  <c:v>1.1364833955359908</c:v>
                </c:pt>
                <c:pt idx="9">
                  <c:v>1.5453786792163406</c:v>
                </c:pt>
                <c:pt idx="10">
                  <c:v>1.5453786792163406</c:v>
                </c:pt>
                <c:pt idx="12">
                  <c:v>1.9086807406232127</c:v>
                </c:pt>
                <c:pt idx="13">
                  <c:v>1.9086807406232127</c:v>
                </c:pt>
                <c:pt idx="15">
                  <c:v>2.3486110725948985</c:v>
                </c:pt>
                <c:pt idx="16">
                  <c:v>2.3486110725948985</c:v>
                </c:pt>
                <c:pt idx="18">
                  <c:v>2.6658317934597724</c:v>
                </c:pt>
                <c:pt idx="19">
                  <c:v>2.6658317934597724</c:v>
                </c:pt>
                <c:pt idx="21">
                  <c:v>2.9368852030320136</c:v>
                </c:pt>
                <c:pt idx="22">
                  <c:v>2.9368852030320136</c:v>
                </c:pt>
                <c:pt idx="24">
                  <c:v>3.1902323061678133</c:v>
                </c:pt>
                <c:pt idx="25">
                  <c:v>3.1902323061678133</c:v>
                </c:pt>
                <c:pt idx="27">
                  <c:v>3.443579409303613</c:v>
                </c:pt>
                <c:pt idx="28">
                  <c:v>3.443579409303613</c:v>
                </c:pt>
                <c:pt idx="30">
                  <c:v>3.714632818875854</c:v>
                </c:pt>
                <c:pt idx="31">
                  <c:v>3.714632818875854</c:v>
                </c:pt>
                <c:pt idx="33">
                  <c:v>4.031853539740728</c:v>
                </c:pt>
                <c:pt idx="34">
                  <c:v>4.031853539740728</c:v>
                </c:pt>
                <c:pt idx="36">
                  <c:v>4.471783871712414</c:v>
                </c:pt>
                <c:pt idx="37">
                  <c:v>4.471783871712414</c:v>
                </c:pt>
                <c:pt idx="39">
                  <c:v>4.835085933119284</c:v>
                </c:pt>
                <c:pt idx="40">
                  <c:v>4.835085933119284</c:v>
                </c:pt>
                <c:pt idx="42">
                  <c:v>5.516580180208654</c:v>
                </c:pt>
                <c:pt idx="43">
                  <c:v>5.516580180208654</c:v>
                </c:pt>
                <c:pt idx="45">
                  <c:v>6.28046461233566</c:v>
                </c:pt>
                <c:pt idx="46">
                  <c:v>6.28046461233566</c:v>
                </c:pt>
              </c:numCache>
            </c:numRef>
          </c:yVal>
          <c:smooth val="0"/>
        </c:ser>
        <c:ser>
          <c:idx val="6"/>
          <c:order val="1"/>
          <c:tx>
            <c:v>target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Calculations!$P$81:$P$97</c:f>
              <c:numCache>
                <c:ptCount val="17"/>
                <c:pt idx="0">
                  <c:v>0.14</c:v>
                </c:pt>
                <c:pt idx="1">
                  <c:v>0.14</c:v>
                </c:pt>
                <c:pt idx="2">
                  <c:v>0.185</c:v>
                </c:pt>
                <c:pt idx="3">
                  <c:v>0.185</c:v>
                </c:pt>
                <c:pt idx="4">
                  <c:v>0.14</c:v>
                </c:pt>
                <c:pt idx="6">
                  <c:v>0.27</c:v>
                </c:pt>
                <c:pt idx="7">
                  <c:v>0.27</c:v>
                </c:pt>
                <c:pt idx="8">
                  <c:v>0.36</c:v>
                </c:pt>
                <c:pt idx="9">
                  <c:v>0.36</c:v>
                </c:pt>
                <c:pt idx="10">
                  <c:v>0.27</c:v>
                </c:pt>
                <c:pt idx="12">
                  <c:v>0.65</c:v>
                </c:pt>
                <c:pt idx="13">
                  <c:v>0.65</c:v>
                </c:pt>
                <c:pt idx="14">
                  <c:v>0.86</c:v>
                </c:pt>
                <c:pt idx="15">
                  <c:v>0.86</c:v>
                </c:pt>
                <c:pt idx="16">
                  <c:v>0.65</c:v>
                </c:pt>
              </c:numCache>
            </c:numRef>
          </c:xVal>
          <c:yVal>
            <c:numRef>
              <c:f>Calculations!$S$81:$S$97</c:f>
              <c:numCache>
                <c:ptCount val="17"/>
                <c:pt idx="0">
                  <c:v>0.8638844321269724</c:v>
                </c:pt>
                <c:pt idx="1">
                  <c:v>1.9086807406232127</c:v>
                </c:pt>
                <c:pt idx="2">
                  <c:v>1.9086807406232127</c:v>
                </c:pt>
                <c:pt idx="3">
                  <c:v>0.8638844321269724</c:v>
                </c:pt>
                <c:pt idx="4">
                  <c:v>0.8638844321269724</c:v>
                </c:pt>
                <c:pt idx="6">
                  <c:v>2.577419315151186</c:v>
                </c:pt>
                <c:pt idx="7">
                  <c:v>3.240385889632547</c:v>
                </c:pt>
                <c:pt idx="8">
                  <c:v>3.240385889632547</c:v>
                </c:pt>
                <c:pt idx="9">
                  <c:v>2.577419315151186</c:v>
                </c:pt>
                <c:pt idx="10">
                  <c:v>2.577419315151186</c:v>
                </c:pt>
                <c:pt idx="12">
                  <c:v>4.595303866477446</c:v>
                </c:pt>
                <c:pt idx="13">
                  <c:v>5.071025914319064</c:v>
                </c:pt>
                <c:pt idx="14">
                  <c:v>5.071025914319064</c:v>
                </c:pt>
                <c:pt idx="15">
                  <c:v>4.595303866477446</c:v>
                </c:pt>
                <c:pt idx="16">
                  <c:v>4.595303866477446</c:v>
                </c:pt>
              </c:numCache>
            </c:numRef>
          </c:yVal>
          <c:smooth val="0"/>
        </c:ser>
        <c:ser>
          <c:idx val="2"/>
          <c:order val="2"/>
          <c:tx>
            <c:v>vert lines</c:v>
          </c:tx>
          <c:spPr>
            <a:ln w="381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Calculations!$A$100:$A$107</c:f>
              <c:numCache>
                <c:ptCount val="8"/>
                <c:pt idx="0">
                  <c:v>0.16</c:v>
                </c:pt>
                <c:pt idx="1">
                  <c:v>0.16</c:v>
                </c:pt>
                <c:pt idx="3">
                  <c:v>0.31</c:v>
                </c:pt>
                <c:pt idx="4">
                  <c:v>0.31</c:v>
                </c:pt>
                <c:pt idx="6">
                  <c:v>0.75</c:v>
                </c:pt>
                <c:pt idx="7">
                  <c:v>0.75</c:v>
                </c:pt>
              </c:numCache>
            </c:numRef>
          </c:xVal>
          <c:yVal>
            <c:numRef>
              <c:f>Calculations!$B$100:$B$107</c:f>
              <c:numCache>
                <c:ptCount val="8"/>
                <c:pt idx="0">
                  <c:v>0.1</c:v>
                </c:pt>
                <c:pt idx="1">
                  <c:v>6.3</c:v>
                </c:pt>
                <c:pt idx="3">
                  <c:v>0.1</c:v>
                </c:pt>
                <c:pt idx="4">
                  <c:v>6.3</c:v>
                </c:pt>
                <c:pt idx="6">
                  <c:v>0.1</c:v>
                </c:pt>
                <c:pt idx="7">
                  <c:v>6.3</c:v>
                </c:pt>
              </c:numCache>
            </c:numRef>
          </c:yVal>
          <c:smooth val="0"/>
        </c:ser>
        <c:ser>
          <c:idx val="1"/>
          <c:order val="3"/>
          <c:tx>
            <c:v>sample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Calculations!$B$19:$B$21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0.16</c:v>
                </c:pt>
              </c:numCache>
            </c:numRef>
          </c:xVal>
          <c:yVal>
            <c:numRef>
              <c:f>Calculations!$F$19:$F$21</c:f>
              <c:numCache>
                <c:ptCount val="3"/>
                <c:pt idx="0">
                  <c:v>4.041531688468967</c:v>
                </c:pt>
                <c:pt idx="1">
                  <c:v>2.070994858088458</c:v>
                </c:pt>
                <c:pt idx="2">
                  <c:v>1.0724734896841448</c:v>
                </c:pt>
              </c:numCache>
            </c:numRef>
          </c:yVal>
          <c:smooth val="0"/>
        </c:ser>
        <c:ser>
          <c:idx val="3"/>
          <c:order val="4"/>
          <c:tx>
            <c:v>sample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xVal>
            <c:numRef>
              <c:f>Calculations!$J$19:$J$21</c:f>
              <c:numCache>
                <c:ptCount val="3"/>
                <c:pt idx="0">
                  <c:v>0.75</c:v>
                </c:pt>
                <c:pt idx="1">
                  <c:v>0.31</c:v>
                </c:pt>
                <c:pt idx="2">
                  <c:v>0.16</c:v>
                </c:pt>
              </c:numCache>
            </c:numRef>
          </c:xVal>
          <c:yVal>
            <c:numRef>
              <c:f>Calculations!$N$19:$N$21</c:f>
              <c:numCache>
                <c:ptCount val="3"/>
                <c:pt idx="0">
                  <c:v>4.068287028576865</c:v>
                </c:pt>
                <c:pt idx="1">
                  <c:v>2.0416237773867505</c:v>
                </c:pt>
                <c:pt idx="2">
                  <c:v>1.0390723293657498</c:v>
                </c:pt>
              </c:numCache>
            </c:numRef>
          </c:yVal>
          <c:smooth val="0"/>
        </c:ser>
        <c:axId val="14911660"/>
        <c:axId val="67096077"/>
      </c:scatterChart>
      <c:valAx>
        <c:axId val="14911660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size (inches)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crossBetween val="midCat"/>
        <c:dispUnits/>
      </c:valAx>
      <c:valAx>
        <c:axId val="67096077"/>
        <c:scaling>
          <c:orientation val="minMax"/>
          <c:max val="6.3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Percentage Undersized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4911660"/>
        <c:crossesAt val="0.0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015"/>
          <c:y val="0.11375"/>
          <c:w val="0.14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0.75" bottom="0.75" header="0" footer="0.5"/>
  <pageSetup horizontalDpi="300" verticalDpi="300" orientation="portrait"/>
  <headerFooter>
    <oddFooter>&amp;RPrinted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3</xdr:col>
      <xdr:colOff>28575</xdr:colOff>
      <xdr:row>0</xdr:row>
      <xdr:rowOff>619125</xdr:rowOff>
    </xdr:to>
    <xdr:pic>
      <xdr:nvPicPr>
        <xdr:cNvPr id="1" name="Picture 1" descr="PSU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476250</xdr:colOff>
      <xdr:row>0</xdr:row>
      <xdr:rowOff>609600</xdr:rowOff>
    </xdr:to>
    <xdr:pic>
      <xdr:nvPicPr>
        <xdr:cNvPr id="1" name="Picture 0" descr="PSU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0.2545</cdr:x>
      <cdr:y>0.0065</cdr:y>
    </cdr:from>
    <cdr:to>
      <cdr:x>0.9895</cdr:x>
      <cdr:y>0.04725</cdr:y>
    </cdr:to>
    <cdr:sp textlink="Calculations!$A$110">
      <cdr:nvSpPr>
        <cdr:cNvPr id="1" name="Text Box 20"/>
        <cdr:cNvSpPr txBox="1">
          <a:spLocks noChangeArrowheads="1"/>
        </cdr:cNvSpPr>
      </cdr:nvSpPr>
      <cdr:spPr>
        <a:xfrm>
          <a:off x="1619250" y="47625"/>
          <a:ext cx="4695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b550fa78-1073-4cca-87cb-483c492b5889}" type="TxLink"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 Silage Particle Size Analysis</a:t>
          </a:fld>
        </a:p>
      </cdr:txBody>
    </cdr:sp>
  </cdr:relSizeAnchor>
  <cdr:relSizeAnchor xmlns:cdr="http://schemas.openxmlformats.org/drawingml/2006/chartDrawing">
    <cdr:from>
      <cdr:x>0.241</cdr:x>
      <cdr:y>0.038</cdr:y>
    </cdr:from>
    <cdr:to>
      <cdr:x>0.9895</cdr:x>
      <cdr:y>0.07025</cdr:y>
    </cdr:to>
    <cdr:sp textlink="Calculations!$B$111">
      <cdr:nvSpPr>
        <cdr:cNvPr id="2" name="Text Box 1"/>
        <cdr:cNvSpPr txBox="1">
          <a:spLocks noChangeArrowheads="1"/>
        </cdr:cNvSpPr>
      </cdr:nvSpPr>
      <cdr:spPr>
        <a:xfrm>
          <a:off x="1533525" y="323850"/>
          <a:ext cx="478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aacb5308-fe4b-4816-8772-6796b3716219}" type="TxLink"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For: Maximum Milk Makers</a:t>
          </a:fld>
        </a:p>
      </cdr:txBody>
    </cdr:sp>
  </cdr:relSizeAnchor>
  <cdr:relSizeAnchor xmlns:cdr="http://schemas.openxmlformats.org/drawingml/2006/chartDrawing">
    <cdr:from>
      <cdr:x>0.692</cdr:x>
      <cdr:y>0.078</cdr:y>
    </cdr:from>
    <cdr:to>
      <cdr:x>0.97</cdr:x>
      <cdr:y>0.09275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419600" y="676275"/>
          <a:ext cx="17811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0.00575</cdr:y>
    </cdr:from>
    <cdr:to>
      <cdr:x>0.23925</cdr:x>
      <cdr:y>0.08175</cdr:y>
    </cdr:to>
    <cdr:pic>
      <cdr:nvPicPr>
        <cdr:cNvPr id="4" name="Picture 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47625"/>
          <a:ext cx="1476375" cy="657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ension.psu.edu/dairynutriti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4.57421875" style="0" customWidth="1"/>
    <col min="9" max="9" width="19.00390625" style="0" customWidth="1"/>
    <col min="10" max="12" width="9.140625" style="207" customWidth="1"/>
  </cols>
  <sheetData>
    <row r="1" spans="1:9" ht="50.25" customHeight="1">
      <c r="A1" s="231" t="s">
        <v>61</v>
      </c>
      <c r="B1" s="231"/>
      <c r="C1" s="231"/>
      <c r="D1" s="231"/>
      <c r="E1" s="231"/>
      <c r="F1" s="231"/>
      <c r="G1" s="231"/>
      <c r="H1" s="231"/>
      <c r="I1" s="231"/>
    </row>
    <row r="2" spans="1:9" ht="12.75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2.75">
      <c r="A3" s="207"/>
      <c r="B3" s="207"/>
      <c r="C3" s="207"/>
      <c r="D3" s="207"/>
      <c r="E3" s="207"/>
      <c r="F3" s="226" t="s">
        <v>102</v>
      </c>
      <c r="G3" s="207"/>
      <c r="H3" s="207"/>
      <c r="I3" s="207"/>
    </row>
    <row r="4" spans="1:9" ht="12.75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6.5" thickBot="1">
      <c r="A5" s="232" t="s">
        <v>62</v>
      </c>
      <c r="B5" s="232"/>
      <c r="C5" s="232"/>
      <c r="D5" s="232"/>
      <c r="E5" s="232"/>
      <c r="F5" s="232"/>
      <c r="G5" s="232"/>
      <c r="H5" s="232"/>
      <c r="I5" s="232"/>
    </row>
    <row r="6" spans="1:9" ht="10.5" customHeight="1">
      <c r="A6" s="192"/>
      <c r="B6" s="193"/>
      <c r="C6" s="193"/>
      <c r="D6" s="193"/>
      <c r="E6" s="193"/>
      <c r="F6" s="193"/>
      <c r="G6" s="193"/>
      <c r="H6" s="193"/>
      <c r="I6" s="194"/>
    </row>
    <row r="7" spans="1:9" ht="15.75" customHeight="1">
      <c r="A7" s="233" t="s">
        <v>89</v>
      </c>
      <c r="B7" s="234"/>
      <c r="C7" s="234"/>
      <c r="D7" s="234"/>
      <c r="E7" s="234"/>
      <c r="F7" s="234"/>
      <c r="G7" s="234"/>
      <c r="H7" s="234"/>
      <c r="I7" s="235"/>
    </row>
    <row r="8" spans="1:9" ht="22.5" customHeight="1">
      <c r="A8" s="236"/>
      <c r="B8" s="234"/>
      <c r="C8" s="234"/>
      <c r="D8" s="234"/>
      <c r="E8" s="234"/>
      <c r="F8" s="234"/>
      <c r="G8" s="234"/>
      <c r="H8" s="234"/>
      <c r="I8" s="235"/>
    </row>
    <row r="9" spans="1:9" ht="12" customHeight="1">
      <c r="A9" s="197"/>
      <c r="B9" s="195"/>
      <c r="C9" s="195"/>
      <c r="D9" s="195"/>
      <c r="E9" s="195"/>
      <c r="F9" s="195"/>
      <c r="G9" s="195"/>
      <c r="H9" s="195"/>
      <c r="I9" s="196"/>
    </row>
    <row r="10" spans="1:9" ht="12" customHeight="1">
      <c r="A10" s="237" t="s">
        <v>98</v>
      </c>
      <c r="B10" s="238"/>
      <c r="C10" s="238"/>
      <c r="D10" s="238"/>
      <c r="E10" s="238"/>
      <c r="F10" s="238"/>
      <c r="G10" s="238"/>
      <c r="H10" s="195"/>
      <c r="I10" s="196"/>
    </row>
    <row r="11" spans="1:9" ht="42" customHeight="1">
      <c r="A11" s="197"/>
      <c r="B11" s="234" t="s">
        <v>99</v>
      </c>
      <c r="C11" s="234"/>
      <c r="D11" s="234"/>
      <c r="E11" s="234"/>
      <c r="F11" s="234"/>
      <c r="G11" s="234"/>
      <c r="H11" s="234"/>
      <c r="I11" s="235"/>
    </row>
    <row r="12" spans="1:9" ht="11.25" customHeight="1">
      <c r="A12" s="197"/>
      <c r="B12" s="195"/>
      <c r="C12" s="195"/>
      <c r="D12" s="195"/>
      <c r="E12" s="195"/>
      <c r="F12" s="195"/>
      <c r="G12" s="195"/>
      <c r="H12" s="195"/>
      <c r="I12" s="196"/>
    </row>
    <row r="13" spans="1:9" ht="12.75">
      <c r="A13" s="198" t="s">
        <v>67</v>
      </c>
      <c r="B13" s="199"/>
      <c r="C13" s="199"/>
      <c r="D13" s="200"/>
      <c r="E13" s="200"/>
      <c r="F13" s="200"/>
      <c r="G13" s="200"/>
      <c r="H13" s="200"/>
      <c r="I13" s="201"/>
    </row>
    <row r="14" spans="1:9" ht="12.75">
      <c r="A14" s="202"/>
      <c r="B14" s="200" t="s">
        <v>63</v>
      </c>
      <c r="C14" s="200"/>
      <c r="D14" s="199"/>
      <c r="E14" s="199"/>
      <c r="F14" s="199"/>
      <c r="G14" s="199"/>
      <c r="H14" s="199"/>
      <c r="I14" s="203"/>
    </row>
    <row r="15" spans="1:9" ht="12.75">
      <c r="A15" s="202"/>
      <c r="B15" s="199" t="s">
        <v>84</v>
      </c>
      <c r="C15" s="199"/>
      <c r="D15" s="199"/>
      <c r="E15" s="199"/>
      <c r="F15" s="199"/>
      <c r="G15" s="199"/>
      <c r="H15" s="199"/>
      <c r="I15" s="203"/>
    </row>
    <row r="16" spans="1:9" ht="12.75">
      <c r="A16" s="202"/>
      <c r="B16" s="199" t="s">
        <v>64</v>
      </c>
      <c r="C16" s="199"/>
      <c r="D16" s="199"/>
      <c r="E16" s="199"/>
      <c r="F16" s="199"/>
      <c r="G16" s="199"/>
      <c r="H16" s="199"/>
      <c r="I16" s="203"/>
    </row>
    <row r="17" spans="1:9" ht="12.75">
      <c r="A17" s="202"/>
      <c r="B17" s="199"/>
      <c r="C17" s="199" t="s">
        <v>68</v>
      </c>
      <c r="D17" s="199"/>
      <c r="E17" s="199"/>
      <c r="F17" s="199"/>
      <c r="G17" s="199"/>
      <c r="H17" s="199"/>
      <c r="I17" s="203"/>
    </row>
    <row r="18" spans="1:9" ht="12.75">
      <c r="A18" s="202"/>
      <c r="B18" s="199"/>
      <c r="C18" s="199" t="s">
        <v>85</v>
      </c>
      <c r="D18" s="199"/>
      <c r="E18" s="199"/>
      <c r="F18" s="199"/>
      <c r="G18" s="199"/>
      <c r="H18" s="199"/>
      <c r="I18" s="203"/>
    </row>
    <row r="19" spans="1:9" ht="12.75">
      <c r="A19" s="202"/>
      <c r="B19" s="199" t="s">
        <v>65</v>
      </c>
      <c r="C19" s="199"/>
      <c r="D19" s="199"/>
      <c r="E19" s="199"/>
      <c r="F19" s="199"/>
      <c r="G19" s="199"/>
      <c r="H19" s="199"/>
      <c r="I19" s="203"/>
    </row>
    <row r="20" spans="1:9" ht="12.75">
      <c r="A20" s="202"/>
      <c r="B20" s="199"/>
      <c r="C20" s="199" t="s">
        <v>66</v>
      </c>
      <c r="D20" s="199"/>
      <c r="E20" s="199"/>
      <c r="F20" s="199"/>
      <c r="G20" s="199"/>
      <c r="H20" s="199"/>
      <c r="I20" s="203"/>
    </row>
    <row r="21" spans="1:9" ht="12.75">
      <c r="A21" s="202"/>
      <c r="B21" s="199"/>
      <c r="C21" s="199"/>
      <c r="D21" s="199"/>
      <c r="E21" s="199"/>
      <c r="F21" s="199"/>
      <c r="G21" s="199"/>
      <c r="H21" s="199"/>
      <c r="I21" s="203"/>
    </row>
    <row r="22" spans="1:9" ht="12.75">
      <c r="A22" s="198" t="s">
        <v>69</v>
      </c>
      <c r="B22" s="199"/>
      <c r="C22" s="199"/>
      <c r="D22" s="199"/>
      <c r="E22" s="199"/>
      <c r="F22" s="199"/>
      <c r="G22" s="199"/>
      <c r="H22" s="199"/>
      <c r="I22" s="203"/>
    </row>
    <row r="23" spans="1:9" ht="12.75">
      <c r="A23" s="202"/>
      <c r="B23" s="199" t="s">
        <v>70</v>
      </c>
      <c r="C23" s="199"/>
      <c r="D23" s="199"/>
      <c r="E23" s="199"/>
      <c r="F23" s="199"/>
      <c r="G23" s="199"/>
      <c r="H23" s="199"/>
      <c r="I23" s="203"/>
    </row>
    <row r="24" spans="1:9" ht="12.75">
      <c r="A24" s="202"/>
      <c r="B24" s="199"/>
      <c r="C24" s="199" t="s">
        <v>71</v>
      </c>
      <c r="D24" s="199"/>
      <c r="E24" s="199"/>
      <c r="F24" s="199"/>
      <c r="G24" s="199"/>
      <c r="H24" s="199"/>
      <c r="I24" s="203"/>
    </row>
    <row r="25" spans="1:9" ht="12.75">
      <c r="A25" s="202"/>
      <c r="B25" s="199"/>
      <c r="C25" s="199" t="s">
        <v>77</v>
      </c>
      <c r="D25" s="199"/>
      <c r="E25" s="199"/>
      <c r="F25" s="199"/>
      <c r="G25" s="199"/>
      <c r="H25" s="199"/>
      <c r="I25" s="203"/>
    </row>
    <row r="26" spans="1:9" ht="12.75">
      <c r="A26" s="202"/>
      <c r="B26" s="199" t="s">
        <v>72</v>
      </c>
      <c r="C26" s="199"/>
      <c r="D26" s="199"/>
      <c r="E26" s="199"/>
      <c r="F26" s="199"/>
      <c r="G26" s="199"/>
      <c r="H26" s="199"/>
      <c r="I26" s="203"/>
    </row>
    <row r="27" spans="1:9" ht="12.75">
      <c r="A27" s="202"/>
      <c r="B27" s="199"/>
      <c r="C27" s="199" t="s">
        <v>73</v>
      </c>
      <c r="D27" s="199"/>
      <c r="E27" s="199"/>
      <c r="F27" s="199"/>
      <c r="G27" s="199"/>
      <c r="H27" s="199"/>
      <c r="I27" s="203"/>
    </row>
    <row r="28" spans="1:9" ht="12.75">
      <c r="A28" s="202"/>
      <c r="B28" s="199"/>
      <c r="C28" s="199" t="s">
        <v>100</v>
      </c>
      <c r="D28" s="199"/>
      <c r="E28" s="199"/>
      <c r="F28" s="199"/>
      <c r="G28" s="199"/>
      <c r="H28" s="199"/>
      <c r="I28" s="203"/>
    </row>
    <row r="29" spans="1:9" ht="12.75">
      <c r="A29" s="202"/>
      <c r="B29" s="199"/>
      <c r="C29" s="199" t="s">
        <v>74</v>
      </c>
      <c r="D29" s="199"/>
      <c r="E29" s="199"/>
      <c r="F29" s="199"/>
      <c r="G29" s="199"/>
      <c r="H29" s="199"/>
      <c r="I29" s="203"/>
    </row>
    <row r="30" spans="1:9" ht="12.75">
      <c r="A30" s="202"/>
      <c r="B30" s="199"/>
      <c r="C30" s="199" t="s">
        <v>75</v>
      </c>
      <c r="D30" s="199"/>
      <c r="E30" s="199"/>
      <c r="F30" s="199"/>
      <c r="G30" s="199"/>
      <c r="H30" s="199"/>
      <c r="I30" s="203"/>
    </row>
    <row r="31" spans="1:9" ht="12.75">
      <c r="A31" s="202"/>
      <c r="B31" s="199"/>
      <c r="C31" s="199" t="s">
        <v>93</v>
      </c>
      <c r="D31" s="199"/>
      <c r="E31" s="199"/>
      <c r="F31" s="199"/>
      <c r="G31" s="199"/>
      <c r="H31" s="199"/>
      <c r="I31" s="203"/>
    </row>
    <row r="32" spans="1:9" ht="12.75">
      <c r="A32" s="202"/>
      <c r="B32" s="199" t="s">
        <v>76</v>
      </c>
      <c r="C32" s="199"/>
      <c r="D32" s="199"/>
      <c r="E32" s="199"/>
      <c r="F32" s="199"/>
      <c r="G32" s="199"/>
      <c r="H32" s="199"/>
      <c r="I32" s="203"/>
    </row>
    <row r="33" spans="1:9" ht="12.75">
      <c r="A33" s="202"/>
      <c r="B33" s="199"/>
      <c r="C33" s="199" t="s">
        <v>101</v>
      </c>
      <c r="D33" s="199"/>
      <c r="E33" s="199"/>
      <c r="F33" s="199"/>
      <c r="G33" s="199"/>
      <c r="H33" s="199"/>
      <c r="I33" s="203"/>
    </row>
    <row r="34" spans="1:9" ht="12.75">
      <c r="A34" s="202"/>
      <c r="B34" s="199"/>
      <c r="C34" s="199" t="s">
        <v>80</v>
      </c>
      <c r="D34" s="199"/>
      <c r="E34" s="199"/>
      <c r="F34" s="199"/>
      <c r="G34" s="199"/>
      <c r="H34" s="199"/>
      <c r="I34" s="203"/>
    </row>
    <row r="35" spans="1:9" ht="12.75">
      <c r="A35" s="202"/>
      <c r="B35" s="199"/>
      <c r="C35" s="199" t="s">
        <v>90</v>
      </c>
      <c r="D35" s="199"/>
      <c r="E35" s="199"/>
      <c r="F35" s="199"/>
      <c r="G35" s="199"/>
      <c r="H35" s="199"/>
      <c r="I35" s="203"/>
    </row>
    <row r="36" spans="1:9" ht="12.75">
      <c r="A36" s="202"/>
      <c r="B36" s="199"/>
      <c r="C36" s="199"/>
      <c r="D36" s="199"/>
      <c r="E36" s="199"/>
      <c r="F36" s="199"/>
      <c r="G36" s="199"/>
      <c r="H36" s="199"/>
      <c r="I36" s="203"/>
    </row>
    <row r="37" spans="1:9" ht="12.75">
      <c r="A37" s="208" t="s">
        <v>78</v>
      </c>
      <c r="B37" s="199"/>
      <c r="C37" s="199"/>
      <c r="D37" s="199"/>
      <c r="E37" s="199"/>
      <c r="F37" s="199"/>
      <c r="G37" s="199"/>
      <c r="H37" s="199"/>
      <c r="I37" s="203"/>
    </row>
    <row r="38" spans="1:9" ht="12.75">
      <c r="A38" s="208" t="s">
        <v>79</v>
      </c>
      <c r="B38" s="199"/>
      <c r="C38" s="199"/>
      <c r="D38" s="199"/>
      <c r="E38" s="199"/>
      <c r="F38" s="199"/>
      <c r="G38" s="199"/>
      <c r="H38" s="199"/>
      <c r="I38" s="203"/>
    </row>
    <row r="39" spans="1:9" ht="13.5" thickBot="1">
      <c r="A39" s="204"/>
      <c r="B39" s="205"/>
      <c r="C39" s="205"/>
      <c r="D39" s="205"/>
      <c r="E39" s="205"/>
      <c r="F39" s="205"/>
      <c r="G39" s="205"/>
      <c r="H39" s="205"/>
      <c r="I39" s="206"/>
    </row>
    <row r="40" spans="1:9" ht="12.75">
      <c r="A40" s="207"/>
      <c r="B40" s="207"/>
      <c r="C40" s="207"/>
      <c r="D40" s="207"/>
      <c r="E40" s="207"/>
      <c r="F40" s="207"/>
      <c r="G40" s="207"/>
      <c r="H40" s="207"/>
      <c r="I40" s="227" t="s">
        <v>103</v>
      </c>
    </row>
    <row r="41" spans="1:9" ht="12.75">
      <c r="A41" s="230" t="s">
        <v>81</v>
      </c>
      <c r="B41" s="230"/>
      <c r="C41" s="230"/>
      <c r="D41" s="230"/>
      <c r="E41" s="230"/>
      <c r="F41" s="230"/>
      <c r="G41" s="230"/>
      <c r="H41" s="230"/>
      <c r="I41" s="230"/>
    </row>
    <row r="42" spans="1:9" ht="12.75">
      <c r="A42" s="207"/>
      <c r="B42" s="207"/>
      <c r="C42" s="207"/>
      <c r="D42" s="207"/>
      <c r="E42" s="207"/>
      <c r="F42" s="207"/>
      <c r="G42" s="207"/>
      <c r="H42" s="207"/>
      <c r="I42" s="207"/>
    </row>
    <row r="43" spans="1:9" ht="12.75">
      <c r="A43" s="229" t="s">
        <v>82</v>
      </c>
      <c r="B43" s="229"/>
      <c r="C43" s="229"/>
      <c r="D43" s="229"/>
      <c r="E43" s="229"/>
      <c r="F43" s="229"/>
      <c r="G43" s="229"/>
      <c r="H43" s="229"/>
      <c r="I43" s="229"/>
    </row>
    <row r="44" spans="1:9" ht="12.75">
      <c r="A44" s="230" t="s">
        <v>94</v>
      </c>
      <c r="B44" s="230"/>
      <c r="C44" s="230"/>
      <c r="D44" s="230"/>
      <c r="E44" s="230"/>
      <c r="F44" s="230"/>
      <c r="G44" s="230"/>
      <c r="H44" s="230"/>
      <c r="I44" s="230"/>
    </row>
    <row r="45" spans="1:9" ht="12.75">
      <c r="A45" s="230" t="s">
        <v>83</v>
      </c>
      <c r="B45" s="230"/>
      <c r="C45" s="230"/>
      <c r="D45" s="230"/>
      <c r="E45" s="230"/>
      <c r="F45" s="230"/>
      <c r="G45" s="230"/>
      <c r="H45" s="230"/>
      <c r="I45" s="230"/>
    </row>
    <row r="46" spans="1:9" ht="12.75">
      <c r="A46" s="207"/>
      <c r="B46" s="207"/>
      <c r="C46" s="207"/>
      <c r="D46" s="207"/>
      <c r="E46" s="207"/>
      <c r="F46" s="207"/>
      <c r="G46" s="207"/>
      <c r="H46" s="207"/>
      <c r="I46" s="207"/>
    </row>
    <row r="47" spans="1:9" ht="12.75">
      <c r="A47" s="207"/>
      <c r="B47" s="207"/>
      <c r="C47" s="207"/>
      <c r="D47" s="207"/>
      <c r="E47" s="207"/>
      <c r="F47" s="207"/>
      <c r="G47" s="207"/>
      <c r="H47" s="207"/>
      <c r="I47" s="207"/>
    </row>
    <row r="48" spans="1:9" ht="12.75">
      <c r="A48" s="207"/>
      <c r="B48" s="207"/>
      <c r="C48" s="207"/>
      <c r="D48" s="207"/>
      <c r="E48" s="207"/>
      <c r="F48" s="207"/>
      <c r="G48" s="207"/>
      <c r="H48" s="207"/>
      <c r="I48" s="207"/>
    </row>
    <row r="49" spans="1:9" ht="12.75">
      <c r="A49" s="207"/>
      <c r="B49" s="207"/>
      <c r="C49" s="207"/>
      <c r="D49" s="207"/>
      <c r="E49" s="207"/>
      <c r="F49" s="207"/>
      <c r="G49" s="207"/>
      <c r="H49" s="207"/>
      <c r="I49" s="207"/>
    </row>
    <row r="50" spans="1:9" ht="12.75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ht="12.75">
      <c r="A51" s="207"/>
      <c r="B51" s="207"/>
      <c r="C51" s="207"/>
      <c r="D51" s="207"/>
      <c r="E51" s="207"/>
      <c r="F51" s="207"/>
      <c r="G51" s="207"/>
      <c r="H51" s="207"/>
      <c r="I51" s="207"/>
    </row>
    <row r="52" spans="1:9" ht="12.75">
      <c r="A52" s="207"/>
      <c r="B52" s="207"/>
      <c r="C52" s="207"/>
      <c r="D52" s="207"/>
      <c r="E52" s="207"/>
      <c r="F52" s="207"/>
      <c r="G52" s="207"/>
      <c r="H52" s="207"/>
      <c r="I52" s="207"/>
    </row>
    <row r="53" spans="1:9" ht="12.75">
      <c r="A53" s="207"/>
      <c r="B53" s="207"/>
      <c r="C53" s="207"/>
      <c r="D53" s="207"/>
      <c r="E53" s="207"/>
      <c r="F53" s="207"/>
      <c r="G53" s="207"/>
      <c r="H53" s="207"/>
      <c r="I53" s="207"/>
    </row>
    <row r="54" spans="1:9" ht="12.75">
      <c r="A54" s="207"/>
      <c r="B54" s="207"/>
      <c r="C54" s="207"/>
      <c r="D54" s="207"/>
      <c r="E54" s="207"/>
      <c r="F54" s="207"/>
      <c r="G54" s="207"/>
      <c r="H54" s="207"/>
      <c r="I54" s="207"/>
    </row>
    <row r="55" spans="1:9" ht="12.75">
      <c r="A55" s="207"/>
      <c r="B55" s="207"/>
      <c r="C55" s="207"/>
      <c r="D55" s="207"/>
      <c r="E55" s="207"/>
      <c r="F55" s="207"/>
      <c r="G55" s="207"/>
      <c r="H55" s="207"/>
      <c r="I55" s="207"/>
    </row>
  </sheetData>
  <sheetProtection sheet="1" objects="1" scenarios="1"/>
  <mergeCells count="9">
    <mergeCell ref="A43:I43"/>
    <mergeCell ref="A44:I44"/>
    <mergeCell ref="A45:I45"/>
    <mergeCell ref="A1:I1"/>
    <mergeCell ref="A5:I5"/>
    <mergeCell ref="A7:I8"/>
    <mergeCell ref="A41:I41"/>
    <mergeCell ref="A10:G10"/>
    <mergeCell ref="B11:I11"/>
  </mergeCells>
  <hyperlinks>
    <hyperlink ref="F3" r:id="rId1" display="extension.psu.edu/dairynutrition"/>
  </hyperlinks>
  <printOptions horizontalCentered="1"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3" width="20.00390625" style="0" customWidth="1"/>
    <col min="4" max="4" width="20.57421875" style="0" customWidth="1"/>
    <col min="5" max="5" width="19.28125" style="5" customWidth="1"/>
    <col min="6" max="6" width="20.421875" style="5" customWidth="1"/>
    <col min="7" max="16384" width="9.140625" style="5" customWidth="1"/>
  </cols>
  <sheetData>
    <row r="1" spans="1:6" ht="60" customHeight="1" thickBot="1">
      <c r="A1" s="223"/>
      <c r="B1" s="223"/>
      <c r="C1" s="239" t="s">
        <v>97</v>
      </c>
      <c r="D1" s="240"/>
      <c r="E1" s="240"/>
      <c r="F1" s="224"/>
    </row>
    <row r="2" spans="1:6" ht="18" customHeight="1" thickTop="1">
      <c r="A2" s="2" t="s">
        <v>53</v>
      </c>
      <c r="B2" s="247" t="s">
        <v>86</v>
      </c>
      <c r="C2" s="247"/>
      <c r="E2" s="150" t="s">
        <v>57</v>
      </c>
      <c r="F2" s="188">
        <v>37452</v>
      </c>
    </row>
    <row r="3" spans="1:6" ht="12.75">
      <c r="A3" s="2" t="s">
        <v>54</v>
      </c>
      <c r="B3" s="247" t="s">
        <v>87</v>
      </c>
      <c r="C3" s="247"/>
      <c r="E3" s="180" t="s">
        <v>59</v>
      </c>
      <c r="F3" s="189">
        <v>2</v>
      </c>
    </row>
    <row r="4" spans="1:6" ht="12.75">
      <c r="A4" s="2"/>
      <c r="B4" s="247" t="s">
        <v>88</v>
      </c>
      <c r="C4" s="247"/>
      <c r="D4" s="179"/>
      <c r="F4" s="182" t="s">
        <v>58</v>
      </c>
    </row>
    <row r="5" spans="1:6" ht="12.75">
      <c r="A5" s="2"/>
      <c r="B5" s="187"/>
      <c r="C5" s="187"/>
      <c r="D5" s="5"/>
      <c r="E5" s="181"/>
      <c r="F5" s="181"/>
    </row>
    <row r="6" ht="13.5" thickBot="1"/>
    <row r="7" spans="1:6" ht="15.75">
      <c r="A7" s="155" t="s">
        <v>55</v>
      </c>
      <c r="B7" s="156"/>
      <c r="C7" s="156"/>
      <c r="D7" s="156"/>
      <c r="E7" s="156"/>
      <c r="F7" s="157"/>
    </row>
    <row r="8" spans="1:6" ht="12.75">
      <c r="A8" s="160"/>
      <c r="B8" s="154"/>
      <c r="C8" s="154"/>
      <c r="D8" s="154"/>
      <c r="E8" s="154"/>
      <c r="F8" s="161"/>
    </row>
    <row r="9" spans="1:8" ht="12.75">
      <c r="A9" s="160"/>
      <c r="B9" s="154"/>
      <c r="C9" s="158" t="s">
        <v>36</v>
      </c>
      <c r="D9" s="190" t="s">
        <v>40</v>
      </c>
      <c r="E9" s="159" t="s">
        <v>38</v>
      </c>
      <c r="F9" s="191" t="s">
        <v>41</v>
      </c>
      <c r="G9" s="151"/>
      <c r="H9" s="151"/>
    </row>
    <row r="10" spans="1:6" ht="12.75">
      <c r="A10" s="253" t="s">
        <v>3</v>
      </c>
      <c r="B10" s="254"/>
      <c r="C10" s="152" t="s">
        <v>8</v>
      </c>
      <c r="D10" s="154"/>
      <c r="E10" s="153" t="s">
        <v>8</v>
      </c>
      <c r="F10" s="161"/>
    </row>
    <row r="11" spans="1:6" ht="12.75">
      <c r="A11" s="241" t="s">
        <v>4</v>
      </c>
      <c r="B11" s="255"/>
      <c r="C11" s="228">
        <v>176.21</v>
      </c>
      <c r="D11" s="154"/>
      <c r="E11" s="228">
        <v>164.82</v>
      </c>
      <c r="F11" s="161"/>
    </row>
    <row r="12" spans="1:6" ht="12.75">
      <c r="A12" s="241" t="s">
        <v>5</v>
      </c>
      <c r="B12" s="255"/>
      <c r="C12" s="228">
        <v>599.43</v>
      </c>
      <c r="D12" s="154"/>
      <c r="E12" s="228">
        <v>594.08</v>
      </c>
      <c r="F12" s="161"/>
    </row>
    <row r="13" spans="1:6" ht="12.75">
      <c r="A13" s="241" t="s">
        <v>6</v>
      </c>
      <c r="B13" s="255"/>
      <c r="C13" s="228">
        <v>102.19</v>
      </c>
      <c r="D13" s="154"/>
      <c r="E13" s="228">
        <v>95.12</v>
      </c>
      <c r="F13" s="161"/>
    </row>
    <row r="14" spans="1:6" ht="13.5" thickBot="1">
      <c r="A14" s="256" t="s">
        <v>7</v>
      </c>
      <c r="B14" s="257"/>
      <c r="C14" s="228">
        <v>15.27</v>
      </c>
      <c r="D14" s="154"/>
      <c r="E14" s="228">
        <v>13.65</v>
      </c>
      <c r="F14" s="161"/>
    </row>
    <row r="15" spans="1:6" ht="13.5" thickTop="1">
      <c r="A15" s="258" t="s">
        <v>9</v>
      </c>
      <c r="B15" s="259"/>
      <c r="C15" s="176">
        <f>SUM(C11:C14)</f>
        <v>893.0999999999999</v>
      </c>
      <c r="D15" s="154"/>
      <c r="E15" s="176">
        <f>SUM(E11:E14)</f>
        <v>867.6700000000001</v>
      </c>
      <c r="F15" s="161"/>
    </row>
    <row r="16" spans="1:8" ht="13.5" thickBot="1">
      <c r="A16" s="177"/>
      <c r="B16" s="162"/>
      <c r="C16" s="162"/>
      <c r="D16" s="162"/>
      <c r="E16" s="162"/>
      <c r="F16" s="163"/>
      <c r="G16"/>
      <c r="H16"/>
    </row>
    <row r="18" ht="13.5" thickBot="1"/>
    <row r="19" spans="1:6" ht="15.75">
      <c r="A19" s="165" t="s">
        <v>56</v>
      </c>
      <c r="B19" s="166"/>
      <c r="C19" s="166"/>
      <c r="D19" s="166"/>
      <c r="E19" s="166"/>
      <c r="F19" s="167"/>
    </row>
    <row r="20" spans="1:6" ht="12.75">
      <c r="A20" s="168" t="s">
        <v>19</v>
      </c>
      <c r="B20" s="154"/>
      <c r="C20" s="154"/>
      <c r="D20" s="154"/>
      <c r="E20" s="154"/>
      <c r="F20" s="161"/>
    </row>
    <row r="21" spans="1:6" ht="12.75">
      <c r="A21" s="168"/>
      <c r="B21" s="154"/>
      <c r="C21" s="154"/>
      <c r="D21" s="154"/>
      <c r="E21" s="154"/>
      <c r="F21" s="161"/>
    </row>
    <row r="22" spans="1:6" ht="12.75">
      <c r="A22" s="168"/>
      <c r="B22" s="154"/>
      <c r="C22" s="250" t="str">
        <f>Data!C9&amp;" "&amp;" "&amp;Data!D9</f>
        <v>Sample 1:  High Group TMR</v>
      </c>
      <c r="D22" s="250"/>
      <c r="E22" s="251" t="str">
        <f>Data!E9&amp;" "&amp;" "&amp;Data!F9</f>
        <v>Sample 2:  Low Group TMR</v>
      </c>
      <c r="F22" s="252"/>
    </row>
    <row r="23" spans="1:6" ht="12.75">
      <c r="A23" s="170"/>
      <c r="B23" s="137"/>
      <c r="C23" s="131" t="s">
        <v>17</v>
      </c>
      <c r="D23" s="132" t="s">
        <v>16</v>
      </c>
      <c r="E23" s="135" t="s">
        <v>17</v>
      </c>
      <c r="F23" s="171" t="s">
        <v>16</v>
      </c>
    </row>
    <row r="24" spans="1:6" ht="12.75">
      <c r="A24" s="245" t="s">
        <v>15</v>
      </c>
      <c r="B24" s="246"/>
      <c r="C24" s="133" t="s">
        <v>18</v>
      </c>
      <c r="D24" s="134" t="s">
        <v>14</v>
      </c>
      <c r="E24" s="136" t="s">
        <v>18</v>
      </c>
      <c r="F24" s="169" t="s">
        <v>14</v>
      </c>
    </row>
    <row r="25" spans="1:6" ht="12.75">
      <c r="A25" s="241" t="s">
        <v>4</v>
      </c>
      <c r="B25" s="242"/>
      <c r="C25" s="3">
        <f>Calculations!C7</f>
        <v>19.73015339827567</v>
      </c>
      <c r="D25" s="9">
        <f>Calculations!C19</f>
        <v>80.26984660172432</v>
      </c>
      <c r="E25" s="138">
        <f>Calculations!K7</f>
        <v>18.99570113061417</v>
      </c>
      <c r="F25" s="172">
        <f>Calculations!K19</f>
        <v>81.00429886938583</v>
      </c>
    </row>
    <row r="26" spans="1:6" ht="12.75">
      <c r="A26" s="241" t="s">
        <v>5</v>
      </c>
      <c r="B26" s="242"/>
      <c r="C26" s="3">
        <f>Calculations!C8</f>
        <v>67.117903930131</v>
      </c>
      <c r="D26" s="9">
        <f>Calculations!C20</f>
        <v>13.151942671593329</v>
      </c>
      <c r="E26" s="3">
        <f>Calculations!K8</f>
        <v>68.46842693650812</v>
      </c>
      <c r="F26" s="173">
        <f>Calculations!K20</f>
        <v>12.535871932877708</v>
      </c>
    </row>
    <row r="27" spans="1:6" ht="12.75">
      <c r="A27" s="241" t="s">
        <v>6</v>
      </c>
      <c r="B27" s="242"/>
      <c r="C27" s="3">
        <f>Calculations!C9</f>
        <v>11.442167730377339</v>
      </c>
      <c r="D27" s="9">
        <f>Calculations!C21</f>
        <v>1.7097749412159895</v>
      </c>
      <c r="E27" s="3">
        <f>Calculations!K9</f>
        <v>10.962693189807185</v>
      </c>
      <c r="F27" s="173">
        <f>Calculations!K21</f>
        <v>1.5731787430705222</v>
      </c>
    </row>
    <row r="28" spans="1:6" ht="12.75">
      <c r="A28" s="243" t="s">
        <v>7</v>
      </c>
      <c r="B28" s="244"/>
      <c r="C28" s="4">
        <f>Calculations!C10</f>
        <v>1.7097749412159895</v>
      </c>
      <c r="D28" s="10"/>
      <c r="E28" s="4">
        <f>Calculations!K10</f>
        <v>1.5731787430705222</v>
      </c>
      <c r="F28" s="174"/>
    </row>
    <row r="29" spans="1:6" ht="12.75">
      <c r="A29" s="160"/>
      <c r="B29" s="154"/>
      <c r="C29" s="154"/>
      <c r="D29" s="154"/>
      <c r="E29" s="154"/>
      <c r="F29" s="161"/>
    </row>
    <row r="30" spans="1:6" ht="12.75">
      <c r="A30" s="160"/>
      <c r="B30" s="154"/>
      <c r="C30" s="154"/>
      <c r="D30" s="154"/>
      <c r="E30" s="154"/>
      <c r="F30" s="161"/>
    </row>
    <row r="31" spans="1:6" ht="12.75">
      <c r="A31" s="168" t="s">
        <v>23</v>
      </c>
      <c r="B31" s="154"/>
      <c r="C31" s="154"/>
      <c r="D31" s="154"/>
      <c r="E31" s="154"/>
      <c r="F31" s="161"/>
    </row>
    <row r="32" spans="1:6" ht="12.75">
      <c r="A32" s="160"/>
      <c r="B32" s="154"/>
      <c r="C32" s="154"/>
      <c r="D32" s="154"/>
      <c r="E32" s="154"/>
      <c r="F32" s="161"/>
    </row>
    <row r="33" spans="1:6" ht="12.75">
      <c r="A33" s="160"/>
      <c r="B33" s="154"/>
      <c r="C33" s="139" t="s">
        <v>47</v>
      </c>
      <c r="D33" s="154"/>
      <c r="E33" s="140" t="s">
        <v>48</v>
      </c>
      <c r="F33" s="161"/>
    </row>
    <row r="34" spans="1:6" ht="12.75">
      <c r="A34" s="248" t="s">
        <v>34</v>
      </c>
      <c r="B34" s="249"/>
      <c r="C34" s="175">
        <f>Calculations!B13/25.4</f>
        <v>0.5130049748236257</v>
      </c>
      <c r="D34" s="154"/>
      <c r="E34" s="175">
        <f>Calculations!J13/25.4</f>
        <v>0.5128445856312521</v>
      </c>
      <c r="F34" s="161"/>
    </row>
    <row r="35" spans="1:6" ht="12.75">
      <c r="A35" s="248" t="s">
        <v>35</v>
      </c>
      <c r="B35" s="249"/>
      <c r="C35" s="225">
        <f>Calculations!E13/25.4</f>
        <v>0.06675879395052298</v>
      </c>
      <c r="D35" s="154"/>
      <c r="E35" s="225">
        <f>Calculations!M13/25.4</f>
        <v>0.06591976589598118</v>
      </c>
      <c r="F35" s="161"/>
    </row>
    <row r="36" spans="1:6" ht="12.75">
      <c r="A36" s="218"/>
      <c r="B36" s="219"/>
      <c r="C36" s="219"/>
      <c r="D36" s="219"/>
      <c r="E36" s="219"/>
      <c r="F36" s="220"/>
    </row>
    <row r="37" spans="1:6" ht="12.75">
      <c r="A37" s="160"/>
      <c r="B37" s="154"/>
      <c r="C37" s="154"/>
      <c r="D37" s="154"/>
      <c r="E37" s="154"/>
      <c r="F37" s="161"/>
    </row>
    <row r="38" spans="1:6" ht="12.75">
      <c r="A38" s="160"/>
      <c r="B38" s="154"/>
      <c r="C38" s="154"/>
      <c r="D38" s="154"/>
      <c r="E38" s="154"/>
      <c r="F38" s="161"/>
    </row>
    <row r="39" spans="1:6" ht="12.75">
      <c r="A39" s="168" t="s">
        <v>91</v>
      </c>
      <c r="B39" s="154"/>
      <c r="C39" s="154"/>
      <c r="D39" s="215" t="s">
        <v>92</v>
      </c>
      <c r="E39" s="221" t="str">
        <f>IF(F3=1,"TMR",(IF(F3=2,"Corn Silage","Haylage")))</f>
        <v>Corn Silage</v>
      </c>
      <c r="F39" s="161"/>
    </row>
    <row r="40" spans="1:6" ht="12.75">
      <c r="A40" s="160"/>
      <c r="B40" s="154"/>
      <c r="C40" s="154"/>
      <c r="D40" s="154"/>
      <c r="E40" s="154"/>
      <c r="F40" s="161"/>
    </row>
    <row r="41" spans="1:7" ht="12.75">
      <c r="A41" s="170"/>
      <c r="B41" s="137"/>
      <c r="C41" s="210" t="s">
        <v>17</v>
      </c>
      <c r="D41" s="209"/>
      <c r="E41" s="209"/>
      <c r="F41" s="214"/>
      <c r="G41" s="212"/>
    </row>
    <row r="42" spans="1:7" ht="12.75">
      <c r="A42" s="245" t="s">
        <v>15</v>
      </c>
      <c r="B42" s="246"/>
      <c r="C42" s="211" t="s">
        <v>18</v>
      </c>
      <c r="D42" s="209"/>
      <c r="E42" s="209"/>
      <c r="F42" s="214"/>
      <c r="G42" s="212"/>
    </row>
    <row r="43" spans="1:7" ht="12.75">
      <c r="A43" s="241" t="s">
        <v>4</v>
      </c>
      <c r="B43" s="242"/>
      <c r="C43" s="3" t="str">
        <f>IF(F3=1,"2 to 8",(IF(F3=2,"3 to 8","10 to 20")))</f>
        <v>3 to 8</v>
      </c>
      <c r="D43" s="213"/>
      <c r="E43" s="213"/>
      <c r="F43" s="216"/>
      <c r="G43" s="212"/>
    </row>
    <row r="44" spans="1:7" ht="12.75">
      <c r="A44" s="241" t="s">
        <v>5</v>
      </c>
      <c r="B44" s="242"/>
      <c r="C44" s="3" t="str">
        <f>IF(F3=1,"30 to 50",(IF(F3=2,"45 to 65","45 to 75")))</f>
        <v>45 to 65</v>
      </c>
      <c r="D44" s="213"/>
      <c r="E44" s="213"/>
      <c r="F44" s="216"/>
      <c r="G44" s="212"/>
    </row>
    <row r="45" spans="1:7" ht="12.75">
      <c r="A45" s="241" t="s">
        <v>6</v>
      </c>
      <c r="B45" s="242"/>
      <c r="C45" s="3" t="str">
        <f>IF(F3=1,"30 to 50",(IF(F3=2,"30 to 40","20 to 30")))</f>
        <v>30 to 40</v>
      </c>
      <c r="D45" s="213"/>
      <c r="E45" s="213"/>
      <c r="F45" s="216"/>
      <c r="G45" s="212"/>
    </row>
    <row r="46" spans="1:7" ht="12.75">
      <c r="A46" s="243" t="s">
        <v>7</v>
      </c>
      <c r="B46" s="244"/>
      <c r="C46" s="4" t="str">
        <f>IF(F3=1,"20 or less",(IF(F3=2,"less than 5","less than 5")))</f>
        <v>less than 5</v>
      </c>
      <c r="D46" s="154"/>
      <c r="E46" s="213"/>
      <c r="F46" s="217"/>
      <c r="G46" s="212"/>
    </row>
    <row r="47" spans="1:6" ht="13.5" thickBot="1">
      <c r="A47" s="164"/>
      <c r="B47" s="162"/>
      <c r="C47" s="162"/>
      <c r="D47" s="162"/>
      <c r="E47" s="162"/>
      <c r="F47" s="163"/>
    </row>
  </sheetData>
  <sheetProtection sheet="1" objects="1" scenarios="1"/>
  <mergeCells count="24">
    <mergeCell ref="A10:B10"/>
    <mergeCell ref="A11:B11"/>
    <mergeCell ref="A12:B12"/>
    <mergeCell ref="A13:B13"/>
    <mergeCell ref="A14:B14"/>
    <mergeCell ref="A15:B15"/>
    <mergeCell ref="C22:D22"/>
    <mergeCell ref="A24:B24"/>
    <mergeCell ref="A25:B25"/>
    <mergeCell ref="A26:B26"/>
    <mergeCell ref="A34:B34"/>
    <mergeCell ref="E22:F22"/>
    <mergeCell ref="A27:B27"/>
    <mergeCell ref="A28:B28"/>
    <mergeCell ref="C1:E1"/>
    <mergeCell ref="A44:B44"/>
    <mergeCell ref="A45:B45"/>
    <mergeCell ref="A46:B46"/>
    <mergeCell ref="A42:B42"/>
    <mergeCell ref="A43:B43"/>
    <mergeCell ref="B2:C2"/>
    <mergeCell ref="B3:C3"/>
    <mergeCell ref="B4:C4"/>
    <mergeCell ref="A35:B35"/>
  </mergeCells>
  <printOptions horizontalCentered="1"/>
  <pageMargins left="0.75" right="0.75" top="1" bottom="1" header="0.5" footer="0.5"/>
  <pageSetup fitToHeight="1" fitToWidth="1" horizontalDpi="96" verticalDpi="96" orientation="portrait" scale="84" r:id="rId2"/>
  <headerFooter alignWithMargins="0">
    <oddFooter>&amp;L&amp;F&amp;RPrinted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4" max="4" width="8.140625" style="1" customWidth="1"/>
    <col min="5" max="5" width="8.00390625" style="0" customWidth="1"/>
    <col min="6" max="6" width="10.28125" style="0" customWidth="1"/>
    <col min="7" max="7" width="9.8515625" style="0" customWidth="1"/>
  </cols>
  <sheetData>
    <row r="1" spans="1:15" ht="12.75">
      <c r="A1" s="266" t="s">
        <v>47</v>
      </c>
      <c r="B1" s="266"/>
      <c r="C1" s="266"/>
      <c r="D1" s="266"/>
      <c r="E1" s="266"/>
      <c r="F1" s="266"/>
      <c r="G1" s="266"/>
      <c r="I1" s="267" t="s">
        <v>48</v>
      </c>
      <c r="J1" s="267"/>
      <c r="K1" s="267"/>
      <c r="L1" s="267"/>
      <c r="M1" s="267"/>
      <c r="N1" s="267"/>
      <c r="O1" s="267"/>
    </row>
    <row r="2" spans="1:15" ht="13.5" thickBot="1">
      <c r="A2" s="33"/>
      <c r="B2" s="33"/>
      <c r="C2" s="33"/>
      <c r="D2" s="34"/>
      <c r="E2" s="33"/>
      <c r="F2" s="33"/>
      <c r="G2" s="33"/>
      <c r="I2" s="83"/>
      <c r="J2" s="83"/>
      <c r="K2" s="83"/>
      <c r="L2" s="83"/>
      <c r="M2" s="83"/>
      <c r="N2" s="83"/>
      <c r="O2" s="83"/>
    </row>
    <row r="3" spans="1:15" ht="15">
      <c r="A3" s="35" t="s">
        <v>52</v>
      </c>
      <c r="B3" s="36"/>
      <c r="C3" s="36"/>
      <c r="D3" s="37"/>
      <c r="E3" s="36"/>
      <c r="F3" s="36"/>
      <c r="G3" s="38"/>
      <c r="H3" s="5"/>
      <c r="I3" s="84" t="s">
        <v>52</v>
      </c>
      <c r="J3" s="85"/>
      <c r="K3" s="85"/>
      <c r="L3" s="86"/>
      <c r="M3" s="85"/>
      <c r="N3" s="85"/>
      <c r="O3" s="87"/>
    </row>
    <row r="4" spans="1:15" ht="12.75">
      <c r="A4" s="39"/>
      <c r="B4" s="40"/>
      <c r="C4" s="40"/>
      <c r="D4" s="41"/>
      <c r="E4" s="40"/>
      <c r="F4" s="40"/>
      <c r="G4" s="42"/>
      <c r="H4" s="5"/>
      <c r="I4" s="88"/>
      <c r="J4" s="89"/>
      <c r="K4" s="89"/>
      <c r="L4" s="90"/>
      <c r="M4" s="89"/>
      <c r="N4" s="89"/>
      <c r="O4" s="91"/>
    </row>
    <row r="5" spans="1:15" ht="12.75" customHeight="1">
      <c r="A5" s="43" t="s">
        <v>11</v>
      </c>
      <c r="B5" s="272" t="s">
        <v>12</v>
      </c>
      <c r="C5" s="273"/>
      <c r="D5" s="44" t="s">
        <v>42</v>
      </c>
      <c r="E5" s="44" t="s">
        <v>43</v>
      </c>
      <c r="F5" s="44" t="s">
        <v>44</v>
      </c>
      <c r="G5" s="270" t="s">
        <v>45</v>
      </c>
      <c r="H5" s="5"/>
      <c r="I5" s="92" t="s">
        <v>11</v>
      </c>
      <c r="J5" s="268" t="s">
        <v>12</v>
      </c>
      <c r="K5" s="269"/>
      <c r="L5" s="93" t="s">
        <v>42</v>
      </c>
      <c r="M5" s="93" t="s">
        <v>43</v>
      </c>
      <c r="N5" s="93" t="s">
        <v>44</v>
      </c>
      <c r="O5" s="263" t="s">
        <v>45</v>
      </c>
    </row>
    <row r="6" spans="1:15" ht="12.75">
      <c r="A6" s="45" t="s">
        <v>10</v>
      </c>
      <c r="B6" s="46" t="s">
        <v>2</v>
      </c>
      <c r="C6" s="47" t="s">
        <v>46</v>
      </c>
      <c r="D6" s="48" t="s">
        <v>0</v>
      </c>
      <c r="E6" s="49"/>
      <c r="F6" s="49"/>
      <c r="G6" s="271"/>
      <c r="H6" s="5"/>
      <c r="I6" s="94" t="s">
        <v>10</v>
      </c>
      <c r="J6" s="95" t="s">
        <v>2</v>
      </c>
      <c r="K6" s="96" t="s">
        <v>46</v>
      </c>
      <c r="L6" s="97" t="s">
        <v>0</v>
      </c>
      <c r="M6" s="98"/>
      <c r="N6" s="98"/>
      <c r="O6" s="264"/>
    </row>
    <row r="7" spans="1:15" ht="12.75">
      <c r="A7" s="50">
        <v>0.75</v>
      </c>
      <c r="B7" s="51">
        <f>Data!C11</f>
        <v>176.21</v>
      </c>
      <c r="C7" s="52">
        <f>B7/$B$11*100</f>
        <v>19.73015339827567</v>
      </c>
      <c r="D7" s="53">
        <v>30</v>
      </c>
      <c r="E7" s="54">
        <f>LOG(D7)</f>
        <v>1.4771212547196624</v>
      </c>
      <c r="F7" s="55">
        <f>C7*E7</f>
        <v>29.14382894347237</v>
      </c>
      <c r="G7" s="56">
        <f>C7*((E7-LOG($B$13))^2)</f>
        <v>2.5878894631872877</v>
      </c>
      <c r="H7" s="5"/>
      <c r="I7" s="99">
        <v>0.75</v>
      </c>
      <c r="J7" s="100">
        <f>Data!E11</f>
        <v>164.82</v>
      </c>
      <c r="K7" s="101">
        <f>J7/$J$11*100</f>
        <v>18.99570113061417</v>
      </c>
      <c r="L7" s="102">
        <v>30</v>
      </c>
      <c r="M7" s="103">
        <f>LOG(L7)</f>
        <v>1.4771212547196624</v>
      </c>
      <c r="N7" s="104">
        <f>K7*M7</f>
        <v>28.05895388833251</v>
      </c>
      <c r="O7" s="105">
        <f>K7*((M7-LOG($J$13))^2)</f>
        <v>2.4934245054463644</v>
      </c>
    </row>
    <row r="8" spans="1:15" ht="12.75">
      <c r="A8" s="50">
        <v>0.31</v>
      </c>
      <c r="B8" s="51">
        <f>Data!C12</f>
        <v>599.43</v>
      </c>
      <c r="C8" s="52">
        <f>B8/$B$11*100</f>
        <v>67.117903930131</v>
      </c>
      <c r="D8" s="53">
        <v>12.33</v>
      </c>
      <c r="E8" s="54">
        <f>LOG(D8)</f>
        <v>1.0909630765957317</v>
      </c>
      <c r="F8" s="55">
        <f>C8*E8</f>
        <v>73.22315496627247</v>
      </c>
      <c r="G8" s="56">
        <f>C8*((E8-LOG($B$13))^2)</f>
        <v>0.038634841560930985</v>
      </c>
      <c r="H8" s="5"/>
      <c r="I8" s="99">
        <v>0.31</v>
      </c>
      <c r="J8" s="100">
        <f>Data!E12</f>
        <v>594.08</v>
      </c>
      <c r="K8" s="101">
        <f>J8/$J$11*100</f>
        <v>68.46842693650812</v>
      </c>
      <c r="L8" s="102">
        <v>12.33</v>
      </c>
      <c r="M8" s="103">
        <f>LOG(L8)</f>
        <v>1.0909630765957317</v>
      </c>
      <c r="N8" s="104">
        <f>K8*M8</f>
        <v>74.69652570032297</v>
      </c>
      <c r="O8" s="105">
        <f>K8*((M8-LOG($J$13))^2)</f>
        <v>0.038967335062465046</v>
      </c>
    </row>
    <row r="9" spans="1:15" ht="12.75">
      <c r="A9" s="50">
        <v>0.16</v>
      </c>
      <c r="B9" s="51">
        <f>Data!C13</f>
        <v>102.19</v>
      </c>
      <c r="C9" s="52">
        <f>B9/$B$11*100</f>
        <v>11.442167730377339</v>
      </c>
      <c r="D9" s="53">
        <v>5.66</v>
      </c>
      <c r="E9" s="54">
        <f>LOG(D9)</f>
        <v>0.7528164311882715</v>
      </c>
      <c r="F9" s="55">
        <f>C9*E9</f>
        <v>8.613851875840272</v>
      </c>
      <c r="G9" s="56">
        <f>C9*((E9-LOG($B$13))^2)</f>
        <v>1.500578000297123</v>
      </c>
      <c r="H9" s="5"/>
      <c r="I9" s="99">
        <v>0.16</v>
      </c>
      <c r="J9" s="100">
        <f>Data!E13</f>
        <v>95.12</v>
      </c>
      <c r="K9" s="101">
        <f>J9/$J$11*100</f>
        <v>10.962693189807185</v>
      </c>
      <c r="L9" s="102">
        <v>5.66</v>
      </c>
      <c r="M9" s="103">
        <f>LOG(L9)</f>
        <v>0.7528164311882715</v>
      </c>
      <c r="N9" s="104">
        <f>K9*M9</f>
        <v>8.252895563362612</v>
      </c>
      <c r="O9" s="105">
        <f>K9*((M9-LOG($J$13))^2)</f>
        <v>1.4366194555137088</v>
      </c>
    </row>
    <row r="10" spans="1:15" ht="13.5" thickBot="1">
      <c r="A10" s="57">
        <v>0</v>
      </c>
      <c r="B10" s="58">
        <f>Data!C14</f>
        <v>15.27</v>
      </c>
      <c r="C10" s="59">
        <f>B10/$B$11*100</f>
        <v>1.7097749412159895</v>
      </c>
      <c r="D10" s="60">
        <v>2</v>
      </c>
      <c r="E10" s="61">
        <f>LOG(D10)</f>
        <v>0.3010299956639812</v>
      </c>
      <c r="F10" s="62">
        <f>C10*E10</f>
        <v>0.514693543140633</v>
      </c>
      <c r="G10" s="63">
        <f>C10*((E10-LOG($B$13))^2)</f>
        <v>1.1326821114093715</v>
      </c>
      <c r="H10" s="5"/>
      <c r="I10" s="106">
        <v>0</v>
      </c>
      <c r="J10" s="107">
        <f>Data!E14</f>
        <v>13.65</v>
      </c>
      <c r="K10" s="108">
        <f>J10/$J$11*100</f>
        <v>1.5731787430705222</v>
      </c>
      <c r="L10" s="109">
        <v>2</v>
      </c>
      <c r="M10" s="110">
        <f>LOG(L10)</f>
        <v>0.3010299956639812</v>
      </c>
      <c r="N10" s="111">
        <f>K10*M10</f>
        <v>0.4735739902051867</v>
      </c>
      <c r="O10" s="141">
        <f>K10*((M10-LOG($J$13))^2)</f>
        <v>1.0418428823744406</v>
      </c>
    </row>
    <row r="11" spans="1:15" ht="13.5" thickTop="1">
      <c r="A11" s="64" t="s">
        <v>1</v>
      </c>
      <c r="B11" s="65">
        <f>SUM(B7:B10)</f>
        <v>893.0999999999999</v>
      </c>
      <c r="C11" s="65">
        <f>SUM(C7:C10)</f>
        <v>100</v>
      </c>
      <c r="D11" s="66"/>
      <c r="E11" s="65"/>
      <c r="F11" s="67">
        <f>SUM(F7:F10)</f>
        <v>111.49552932872575</v>
      </c>
      <c r="G11" s="68">
        <f>SUM(G7:G10)</f>
        <v>5.259784416454713</v>
      </c>
      <c r="H11" s="5"/>
      <c r="I11" s="112" t="s">
        <v>1</v>
      </c>
      <c r="J11" s="113">
        <f>SUM(J7:J10)</f>
        <v>867.6700000000001</v>
      </c>
      <c r="K11" s="113">
        <f>SUM(K7:K10)</f>
        <v>100</v>
      </c>
      <c r="L11" s="114"/>
      <c r="M11" s="113"/>
      <c r="N11" s="115">
        <f>SUM(N7:N10)</f>
        <v>111.48194914222327</v>
      </c>
      <c r="O11" s="116">
        <f>SUM(O7:O10)</f>
        <v>5.010854178396979</v>
      </c>
    </row>
    <row r="12" spans="1:15" ht="12.75">
      <c r="A12" s="39"/>
      <c r="B12" s="40"/>
      <c r="C12" s="40"/>
      <c r="D12" s="69"/>
      <c r="E12" s="40"/>
      <c r="F12" s="40"/>
      <c r="G12" s="42"/>
      <c r="H12" s="5"/>
      <c r="I12" s="88"/>
      <c r="J12" s="89"/>
      <c r="K12" s="89"/>
      <c r="L12" s="117"/>
      <c r="M12" s="89"/>
      <c r="N12" s="89"/>
      <c r="O12" s="91"/>
    </row>
    <row r="13" spans="1:15" ht="15" thickBot="1">
      <c r="A13" s="70" t="s">
        <v>24</v>
      </c>
      <c r="B13" s="71">
        <f>10^(F11/C11)</f>
        <v>13.030326360520093</v>
      </c>
      <c r="C13" s="72"/>
      <c r="D13" s="72" t="s">
        <v>25</v>
      </c>
      <c r="E13" s="71">
        <f>10^((G11/C11)^0.5)</f>
        <v>1.6956733663432835</v>
      </c>
      <c r="F13" s="73"/>
      <c r="G13" s="74"/>
      <c r="H13" s="5"/>
      <c r="I13" s="118" t="s">
        <v>24</v>
      </c>
      <c r="J13" s="119">
        <f>10^(N11/K11)</f>
        <v>13.026252475033802</v>
      </c>
      <c r="K13" s="120"/>
      <c r="L13" s="120" t="s">
        <v>25</v>
      </c>
      <c r="M13" s="119">
        <f>10^((O11/K11)^0.5)</f>
        <v>1.6743620537579218</v>
      </c>
      <c r="N13" s="121"/>
      <c r="O13" s="122"/>
    </row>
    <row r="14" spans="1:15" ht="13.5" thickBot="1">
      <c r="A14" s="33"/>
      <c r="B14" s="33"/>
      <c r="C14" s="33"/>
      <c r="D14" s="34"/>
      <c r="E14" s="33"/>
      <c r="F14" s="33"/>
      <c r="G14" s="33"/>
      <c r="H14" s="5"/>
      <c r="I14" s="83"/>
      <c r="J14" s="83"/>
      <c r="K14" s="83"/>
      <c r="L14" s="123"/>
      <c r="M14" s="83"/>
      <c r="N14" s="83"/>
      <c r="O14" s="83"/>
    </row>
    <row r="15" spans="1:15" ht="15">
      <c r="A15" s="35" t="s">
        <v>49</v>
      </c>
      <c r="B15" s="36"/>
      <c r="C15" s="36"/>
      <c r="D15" s="37"/>
      <c r="E15" s="36"/>
      <c r="F15" s="38"/>
      <c r="G15" s="33"/>
      <c r="I15" s="84" t="s">
        <v>49</v>
      </c>
      <c r="J15" s="85"/>
      <c r="K15" s="85"/>
      <c r="L15" s="86"/>
      <c r="M15" s="85"/>
      <c r="N15" s="87"/>
      <c r="O15" s="83"/>
    </row>
    <row r="16" spans="1:15" ht="12.75">
      <c r="A16" s="39"/>
      <c r="B16" s="75" t="s">
        <v>29</v>
      </c>
      <c r="C16" s="260" t="s">
        <v>30</v>
      </c>
      <c r="D16" s="260"/>
      <c r="E16" s="76"/>
      <c r="F16" s="77"/>
      <c r="G16" s="33"/>
      <c r="I16" s="88"/>
      <c r="J16" s="124" t="s">
        <v>29</v>
      </c>
      <c r="K16" s="265" t="s">
        <v>30</v>
      </c>
      <c r="L16" s="265"/>
      <c r="M16" s="125"/>
      <c r="N16" s="126"/>
      <c r="O16" s="83"/>
    </row>
    <row r="17" spans="1:15" ht="12.75">
      <c r="A17" s="39"/>
      <c r="B17" s="76" t="s">
        <v>28</v>
      </c>
      <c r="C17" s="260" t="s">
        <v>26</v>
      </c>
      <c r="D17" s="260"/>
      <c r="E17" s="76"/>
      <c r="F17" s="77"/>
      <c r="G17" s="33"/>
      <c r="I17" s="88"/>
      <c r="J17" s="125" t="s">
        <v>28</v>
      </c>
      <c r="K17" s="265" t="s">
        <v>26</v>
      </c>
      <c r="L17" s="265"/>
      <c r="M17" s="125"/>
      <c r="N17" s="126"/>
      <c r="O17" s="83"/>
    </row>
    <row r="18" spans="1:15" ht="12.75">
      <c r="A18" s="78"/>
      <c r="B18" s="79" t="s">
        <v>13</v>
      </c>
      <c r="C18" s="261" t="s">
        <v>27</v>
      </c>
      <c r="D18" s="261"/>
      <c r="E18" s="80" t="s">
        <v>31</v>
      </c>
      <c r="F18" s="81" t="s">
        <v>21</v>
      </c>
      <c r="G18" s="33"/>
      <c r="I18" s="88"/>
      <c r="J18" s="127" t="s">
        <v>13</v>
      </c>
      <c r="K18" s="276" t="s">
        <v>27</v>
      </c>
      <c r="L18" s="276"/>
      <c r="M18" s="128" t="s">
        <v>31</v>
      </c>
      <c r="N18" s="129" t="s">
        <v>21</v>
      </c>
      <c r="O18" s="83"/>
    </row>
    <row r="19" spans="1:15" ht="12.75">
      <c r="A19" s="39" t="s">
        <v>4</v>
      </c>
      <c r="B19" s="40">
        <v>0.75</v>
      </c>
      <c r="C19" s="262">
        <f>C8+C9+C10</f>
        <v>80.26984660172432</v>
      </c>
      <c r="D19" s="262"/>
      <c r="E19" s="142">
        <f>NORMSINV(C19/100)</f>
        <v>0.8512993823011539</v>
      </c>
      <c r="F19" s="143">
        <f>E19-$C$28+$D$28</f>
        <v>4.041531688468967</v>
      </c>
      <c r="G19" s="33"/>
      <c r="I19" s="88" t="s">
        <v>4</v>
      </c>
      <c r="J19" s="89">
        <v>0.75</v>
      </c>
      <c r="K19" s="277">
        <f>K8+K9+K10</f>
        <v>81.00429886938583</v>
      </c>
      <c r="L19" s="277"/>
      <c r="M19" s="146">
        <f>NORMSINV(K19/100)</f>
        <v>0.8780547224090522</v>
      </c>
      <c r="N19" s="147">
        <f>M19-$C$28+$D$28</f>
        <v>4.068287028576865</v>
      </c>
      <c r="O19" s="83"/>
    </row>
    <row r="20" spans="1:15" ht="12.75">
      <c r="A20" s="39" t="s">
        <v>5</v>
      </c>
      <c r="B20" s="40">
        <v>0.31</v>
      </c>
      <c r="C20" s="262">
        <f>C9+C10</f>
        <v>13.151942671593329</v>
      </c>
      <c r="D20" s="262"/>
      <c r="E20" s="142">
        <f>NORMSINV(C20/100)</f>
        <v>-1.1192374480793552</v>
      </c>
      <c r="F20" s="143">
        <f>E20-$C$28+$D$28</f>
        <v>2.070994858088458</v>
      </c>
      <c r="G20" s="33"/>
      <c r="I20" s="88" t="s">
        <v>5</v>
      </c>
      <c r="J20" s="89">
        <v>0.31</v>
      </c>
      <c r="K20" s="277">
        <f>K9+K10</f>
        <v>12.535871932877708</v>
      </c>
      <c r="L20" s="277"/>
      <c r="M20" s="146">
        <f>NORMSINV(K20/100)</f>
        <v>-1.1486085287810628</v>
      </c>
      <c r="N20" s="147">
        <f>M20-$C$28+$D$28</f>
        <v>2.0416237773867505</v>
      </c>
      <c r="O20" s="83"/>
    </row>
    <row r="21" spans="1:15" ht="13.5" thickBot="1">
      <c r="A21" s="82" t="s">
        <v>6</v>
      </c>
      <c r="B21" s="73">
        <v>0.16</v>
      </c>
      <c r="C21" s="279">
        <f>C10</f>
        <v>1.7097749412159895</v>
      </c>
      <c r="D21" s="279"/>
      <c r="E21" s="144">
        <f>NORMSINV(C21/100)</f>
        <v>-2.1177588164836685</v>
      </c>
      <c r="F21" s="145">
        <f>E21-$C$28+$D$28</f>
        <v>1.0724734896841448</v>
      </c>
      <c r="G21" s="33"/>
      <c r="I21" s="130" t="s">
        <v>6</v>
      </c>
      <c r="J21" s="121">
        <v>0.16</v>
      </c>
      <c r="K21" s="278">
        <f>K10</f>
        <v>1.5731787430705222</v>
      </c>
      <c r="L21" s="278"/>
      <c r="M21" s="148">
        <f>NORMSINV(K21/100)</f>
        <v>-2.1511599768020635</v>
      </c>
      <c r="N21" s="149">
        <f>M21-$C$28+$D$28</f>
        <v>1.0390723293657498</v>
      </c>
      <c r="O21" s="83"/>
    </row>
    <row r="24" spans="1:4" ht="15">
      <c r="A24" s="13" t="s">
        <v>33</v>
      </c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24" t="s">
        <v>50</v>
      </c>
      <c r="B26" s="15"/>
      <c r="C26" s="15"/>
      <c r="D26" s="15"/>
    </row>
    <row r="27" spans="1:4" ht="12.75">
      <c r="A27" s="25" t="s">
        <v>29</v>
      </c>
      <c r="B27" s="26" t="s">
        <v>30</v>
      </c>
      <c r="C27" s="26" t="s">
        <v>20</v>
      </c>
      <c r="D27" s="27" t="s">
        <v>21</v>
      </c>
    </row>
    <row r="28" spans="1:6" ht="12.75">
      <c r="A28" s="14">
        <v>0.01</v>
      </c>
      <c r="B28" s="15">
        <v>0.1</v>
      </c>
      <c r="C28" s="15">
        <f>NORMSINV(B28/100)</f>
        <v>-3.090232306167813</v>
      </c>
      <c r="D28" s="16">
        <f>B28</f>
        <v>0.1</v>
      </c>
      <c r="F28" s="11"/>
    </row>
    <row r="29" spans="1:6" ht="12.75">
      <c r="A29" s="14">
        <v>10</v>
      </c>
      <c r="B29" s="15"/>
      <c r="C29" s="15"/>
      <c r="D29" s="16">
        <f>D28</f>
        <v>0.1</v>
      </c>
      <c r="F29" s="11"/>
    </row>
    <row r="30" spans="1:6" ht="12.75">
      <c r="A30" s="14"/>
      <c r="B30" s="15"/>
      <c r="C30" s="15"/>
      <c r="D30" s="16"/>
      <c r="F30" s="11"/>
    </row>
    <row r="31" spans="1:6" ht="12.75">
      <c r="A31" s="14">
        <v>0.01</v>
      </c>
      <c r="B31" s="15">
        <v>1</v>
      </c>
      <c r="C31" s="15">
        <f>NORMSINV(B31/100)</f>
        <v>-2.3263478740408408</v>
      </c>
      <c r="D31" s="16">
        <f>C31-$C$28+$D$28</f>
        <v>0.8638844321269724</v>
      </c>
      <c r="F31" s="11"/>
    </row>
    <row r="32" spans="1:6" ht="12.75">
      <c r="A32" s="14">
        <v>10</v>
      </c>
      <c r="B32" s="15"/>
      <c r="C32" s="15"/>
      <c r="D32" s="16">
        <f>D31</f>
        <v>0.8638844321269724</v>
      </c>
      <c r="F32" s="11"/>
    </row>
    <row r="33" spans="1:6" ht="12.75">
      <c r="A33" s="14"/>
      <c r="B33" s="15"/>
      <c r="C33" s="15"/>
      <c r="D33" s="16"/>
      <c r="F33" s="11"/>
    </row>
    <row r="34" spans="1:6" ht="12.75">
      <c r="A34" s="14">
        <v>0.01</v>
      </c>
      <c r="B34" s="15">
        <v>2</v>
      </c>
      <c r="C34" s="15">
        <f>NORMSINV(B34/100)</f>
        <v>-2.0537489106318225</v>
      </c>
      <c r="D34" s="16">
        <f>C34-$C$28+$D$28</f>
        <v>1.1364833955359908</v>
      </c>
      <c r="F34" s="11"/>
    </row>
    <row r="35" spans="1:6" ht="12.75">
      <c r="A35" s="14">
        <v>10</v>
      </c>
      <c r="B35" s="15"/>
      <c r="C35" s="15"/>
      <c r="D35" s="16">
        <f>D34</f>
        <v>1.1364833955359908</v>
      </c>
      <c r="F35" s="11"/>
    </row>
    <row r="36" spans="1:6" ht="12.75">
      <c r="A36" s="14"/>
      <c r="B36" s="15"/>
      <c r="C36" s="15"/>
      <c r="D36" s="16"/>
      <c r="F36" s="11"/>
    </row>
    <row r="37" spans="1:6" ht="12.75">
      <c r="A37" s="14">
        <v>0.01</v>
      </c>
      <c r="B37" s="15">
        <v>5</v>
      </c>
      <c r="C37" s="15">
        <f>NORMSINV(B37/100)</f>
        <v>-1.6448536269514726</v>
      </c>
      <c r="D37" s="16">
        <f>C37-$C$28+$D$28</f>
        <v>1.5453786792163406</v>
      </c>
      <c r="F37" s="11"/>
    </row>
    <row r="38" spans="1:6" ht="12.75">
      <c r="A38" s="14">
        <v>10</v>
      </c>
      <c r="B38" s="15"/>
      <c r="C38" s="15"/>
      <c r="D38" s="16">
        <f>D37</f>
        <v>1.5453786792163406</v>
      </c>
      <c r="F38" s="11"/>
    </row>
    <row r="39" spans="1:6" ht="12.75">
      <c r="A39" s="14"/>
      <c r="B39" s="15"/>
      <c r="C39" s="15"/>
      <c r="D39" s="16"/>
      <c r="F39" s="11"/>
    </row>
    <row r="40" spans="1:6" ht="12.75">
      <c r="A40" s="14">
        <v>0.01</v>
      </c>
      <c r="B40" s="15">
        <v>10</v>
      </c>
      <c r="C40" s="15">
        <f>NORMSINV(B40/100)</f>
        <v>-1.2815515655446006</v>
      </c>
      <c r="D40" s="16">
        <f>C40-$C$28+$D$28</f>
        <v>1.9086807406232127</v>
      </c>
      <c r="F40" s="11"/>
    </row>
    <row r="41" spans="1:6" ht="12.75">
      <c r="A41" s="14">
        <v>10</v>
      </c>
      <c r="B41" s="15"/>
      <c r="C41" s="15"/>
      <c r="D41" s="16">
        <f>D40</f>
        <v>1.9086807406232127</v>
      </c>
      <c r="F41" s="11"/>
    </row>
    <row r="42" spans="1:6" ht="12.75">
      <c r="A42" s="14"/>
      <c r="B42" s="15"/>
      <c r="C42" s="15"/>
      <c r="D42" s="16"/>
      <c r="F42" s="11"/>
    </row>
    <row r="43" spans="1:6" ht="12.75">
      <c r="A43" s="14">
        <v>0.01</v>
      </c>
      <c r="B43" s="15">
        <v>20</v>
      </c>
      <c r="C43" s="15">
        <f>NORMSINV(B43/100)</f>
        <v>-0.8416212335729145</v>
      </c>
      <c r="D43" s="16">
        <f>C43-$C$28+$D$28</f>
        <v>2.3486110725948985</v>
      </c>
      <c r="F43" s="11"/>
    </row>
    <row r="44" spans="1:4" ht="12.75">
      <c r="A44" s="14">
        <v>10</v>
      </c>
      <c r="B44" s="15"/>
      <c r="C44" s="15"/>
      <c r="D44" s="16">
        <f>D43</f>
        <v>2.3486110725948985</v>
      </c>
    </row>
    <row r="45" spans="1:4" ht="12.75">
      <c r="A45" s="14"/>
      <c r="B45" s="15"/>
      <c r="C45" s="15"/>
      <c r="D45" s="16"/>
    </row>
    <row r="46" spans="1:4" ht="12.75">
      <c r="A46" s="14">
        <v>0.01</v>
      </c>
      <c r="B46" s="15">
        <v>30</v>
      </c>
      <c r="C46" s="15">
        <f>NORMSINV(B46/100)</f>
        <v>-0.5244005127080409</v>
      </c>
      <c r="D46" s="16">
        <f>C46-$C$28+$D$28</f>
        <v>2.6658317934597724</v>
      </c>
    </row>
    <row r="47" spans="1:4" ht="12.75">
      <c r="A47" s="14">
        <v>10</v>
      </c>
      <c r="B47" s="15"/>
      <c r="C47" s="15"/>
      <c r="D47" s="16">
        <f>D46</f>
        <v>2.6658317934597724</v>
      </c>
    </row>
    <row r="48" spans="1:4" ht="12.75">
      <c r="A48" s="14"/>
      <c r="B48" s="15"/>
      <c r="C48" s="15"/>
      <c r="D48" s="16"/>
    </row>
    <row r="49" spans="1:4" ht="12.75">
      <c r="A49" s="14">
        <v>0.01</v>
      </c>
      <c r="B49" s="15">
        <v>40</v>
      </c>
      <c r="C49" s="15">
        <f>NORMSINV(B49/100)</f>
        <v>-0.2533471031357998</v>
      </c>
      <c r="D49" s="16">
        <f>C49-$C$28+$D$28</f>
        <v>2.9368852030320136</v>
      </c>
    </row>
    <row r="50" spans="1:4" ht="12.75">
      <c r="A50" s="14">
        <v>10</v>
      </c>
      <c r="B50" s="15"/>
      <c r="C50" s="15"/>
      <c r="D50" s="16">
        <f>D49</f>
        <v>2.9368852030320136</v>
      </c>
    </row>
    <row r="51" spans="1:4" ht="12.75">
      <c r="A51" s="14"/>
      <c r="B51" s="15"/>
      <c r="C51" s="15"/>
      <c r="D51" s="16"/>
    </row>
    <row r="52" spans="1:4" ht="12.75">
      <c r="A52" s="14">
        <v>0.01</v>
      </c>
      <c r="B52" s="15">
        <v>50</v>
      </c>
      <c r="C52" s="15">
        <f>NORMSINV(B52/100)</f>
        <v>0</v>
      </c>
      <c r="D52" s="16">
        <f>C52-$C$28+$D$28</f>
        <v>3.1902323061678133</v>
      </c>
    </row>
    <row r="53" spans="1:4" ht="12.75">
      <c r="A53" s="14">
        <v>10</v>
      </c>
      <c r="B53" s="15"/>
      <c r="C53" s="15"/>
      <c r="D53" s="16">
        <f>D52</f>
        <v>3.1902323061678133</v>
      </c>
    </row>
    <row r="54" spans="1:4" ht="12.75">
      <c r="A54" s="14"/>
      <c r="B54" s="15"/>
      <c r="C54" s="15"/>
      <c r="D54" s="16"/>
    </row>
    <row r="55" spans="1:4" ht="12.75">
      <c r="A55" s="14">
        <v>0.01</v>
      </c>
      <c r="B55" s="15">
        <v>60</v>
      </c>
      <c r="C55" s="15">
        <f>NORMSINV(B55/100)</f>
        <v>0.2533471031357998</v>
      </c>
      <c r="D55" s="16">
        <f>C55-$C$28+$D$28</f>
        <v>3.443579409303613</v>
      </c>
    </row>
    <row r="56" spans="1:4" ht="12.75">
      <c r="A56" s="14">
        <v>10</v>
      </c>
      <c r="B56" s="15"/>
      <c r="C56" s="15"/>
      <c r="D56" s="16">
        <f>D55</f>
        <v>3.443579409303613</v>
      </c>
    </row>
    <row r="57" spans="1:4" ht="12.75">
      <c r="A57" s="14"/>
      <c r="B57" s="15"/>
      <c r="C57" s="15"/>
      <c r="D57" s="16"/>
    </row>
    <row r="58" spans="1:4" ht="12.75">
      <c r="A58" s="14">
        <v>0.01</v>
      </c>
      <c r="B58" s="15">
        <v>70</v>
      </c>
      <c r="C58" s="15">
        <f>NORMSINV(B58/100)</f>
        <v>0.5244005127080408</v>
      </c>
      <c r="D58" s="16">
        <f>C58-$C$28+$D$28</f>
        <v>3.714632818875854</v>
      </c>
    </row>
    <row r="59" spans="1:4" ht="12.75">
      <c r="A59" s="14">
        <v>10</v>
      </c>
      <c r="B59" s="15"/>
      <c r="C59" s="15"/>
      <c r="D59" s="16">
        <f>D58</f>
        <v>3.714632818875854</v>
      </c>
    </row>
    <row r="60" spans="1:4" ht="12.75">
      <c r="A60" s="14"/>
      <c r="B60" s="15"/>
      <c r="C60" s="15"/>
      <c r="D60" s="16"/>
    </row>
    <row r="61" spans="1:4" ht="12.75">
      <c r="A61" s="14">
        <v>0.01</v>
      </c>
      <c r="B61" s="15">
        <v>80</v>
      </c>
      <c r="C61" s="15">
        <f>NORMSINV(B61/100)</f>
        <v>0.8416212335729147</v>
      </c>
      <c r="D61" s="16">
        <f>C61-$C$28+$D$28</f>
        <v>4.031853539740728</v>
      </c>
    </row>
    <row r="62" spans="1:4" ht="12.75">
      <c r="A62" s="14">
        <v>10</v>
      </c>
      <c r="B62" s="15"/>
      <c r="C62" s="15"/>
      <c r="D62" s="16">
        <f>D61</f>
        <v>4.031853539740728</v>
      </c>
    </row>
    <row r="63" spans="1:4" ht="12.75">
      <c r="A63" s="14"/>
      <c r="B63" s="15"/>
      <c r="C63" s="15"/>
      <c r="D63" s="16"/>
    </row>
    <row r="64" spans="1:4" ht="12.75">
      <c r="A64" s="14">
        <v>0.01</v>
      </c>
      <c r="B64" s="15">
        <v>90</v>
      </c>
      <c r="C64" s="15">
        <f>NORMSINV(B64/100)</f>
        <v>1.2815515655446006</v>
      </c>
      <c r="D64" s="16">
        <f>C64-$C$28+$D$28</f>
        <v>4.471783871712414</v>
      </c>
    </row>
    <row r="65" spans="1:4" ht="12.75">
      <c r="A65" s="14">
        <v>10</v>
      </c>
      <c r="B65" s="15"/>
      <c r="C65" s="15"/>
      <c r="D65" s="16">
        <f>D64</f>
        <v>4.471783871712414</v>
      </c>
    </row>
    <row r="66" spans="1:4" ht="12.75">
      <c r="A66" s="14"/>
      <c r="B66" s="15"/>
      <c r="C66" s="15"/>
      <c r="D66" s="16"/>
    </row>
    <row r="67" spans="1:4" ht="12.75">
      <c r="A67" s="14">
        <v>0.01</v>
      </c>
      <c r="B67" s="15">
        <v>95</v>
      </c>
      <c r="C67" s="15">
        <f>NORMSINV(B67/100)</f>
        <v>1.6448536269514715</v>
      </c>
      <c r="D67" s="16">
        <f>C67-$C$28+$D$28</f>
        <v>4.835085933119284</v>
      </c>
    </row>
    <row r="68" spans="1:4" ht="12.75">
      <c r="A68" s="14">
        <v>10</v>
      </c>
      <c r="B68" s="15"/>
      <c r="C68" s="15"/>
      <c r="D68" s="16">
        <f>D67</f>
        <v>4.835085933119284</v>
      </c>
    </row>
    <row r="69" spans="1:4" ht="12.75">
      <c r="A69" s="14"/>
      <c r="B69" s="15"/>
      <c r="C69" s="15"/>
      <c r="D69" s="16"/>
    </row>
    <row r="70" spans="1:4" ht="12.75">
      <c r="A70" s="14">
        <v>0.01</v>
      </c>
      <c r="B70" s="15">
        <v>99</v>
      </c>
      <c r="C70" s="15">
        <f>NORMSINV(B70/100)</f>
        <v>2.3263478740408408</v>
      </c>
      <c r="D70" s="16">
        <f>C70-$C$28+$D$28</f>
        <v>5.516580180208654</v>
      </c>
    </row>
    <row r="71" spans="1:4" ht="12.75">
      <c r="A71" s="14">
        <v>10</v>
      </c>
      <c r="B71" s="15"/>
      <c r="C71" s="15"/>
      <c r="D71" s="16">
        <f>D70</f>
        <v>5.516580180208654</v>
      </c>
    </row>
    <row r="72" spans="1:4" ht="12.75">
      <c r="A72" s="14"/>
      <c r="B72" s="15"/>
      <c r="C72" s="15"/>
      <c r="D72" s="16"/>
    </row>
    <row r="73" spans="1:4" ht="12.75">
      <c r="A73" s="14">
        <v>0.01</v>
      </c>
      <c r="B73" s="15">
        <v>99.9</v>
      </c>
      <c r="C73" s="15">
        <f>NORMSINV(B73/100)</f>
        <v>3.0902323061678465</v>
      </c>
      <c r="D73" s="16">
        <f>C73-$C$28+$D$28</f>
        <v>6.28046461233566</v>
      </c>
    </row>
    <row r="74" spans="1:4" ht="12.75">
      <c r="A74" s="17">
        <v>10</v>
      </c>
      <c r="B74" s="18"/>
      <c r="C74" s="18"/>
      <c r="D74" s="19">
        <f>D73</f>
        <v>6.28046461233566</v>
      </c>
    </row>
    <row r="76" spans="1:4" ht="15.75">
      <c r="A76" s="8"/>
      <c r="B76" s="8"/>
      <c r="C76" s="8"/>
      <c r="D76" s="8"/>
    </row>
    <row r="77" spans="1:4" ht="12.75">
      <c r="A77" s="23" t="s">
        <v>32</v>
      </c>
      <c r="B77" s="12"/>
      <c r="C77" s="12"/>
      <c r="D77" s="12"/>
    </row>
    <row r="78" spans="1:4" ht="12.75">
      <c r="A78" s="12"/>
      <c r="B78" s="12"/>
      <c r="C78" s="12"/>
      <c r="D78" s="12"/>
    </row>
    <row r="79" spans="1:19" ht="12.75">
      <c r="A79" s="274" t="s">
        <v>39</v>
      </c>
      <c r="B79" s="274"/>
      <c r="C79" s="274"/>
      <c r="D79" s="274"/>
      <c r="F79" s="275" t="s">
        <v>51</v>
      </c>
      <c r="G79" s="275"/>
      <c r="H79" s="275"/>
      <c r="I79" s="275"/>
      <c r="K79" s="275" t="s">
        <v>37</v>
      </c>
      <c r="L79" s="275"/>
      <c r="M79" s="275"/>
      <c r="N79" s="275"/>
      <c r="P79" s="185" t="s">
        <v>60</v>
      </c>
      <c r="Q79" s="186"/>
      <c r="R79" s="2" t="str">
        <f>IF(Data!$F$3=1,"TMR",IF(Data!$F$3=2,"Corn Silage","Haylage"))</f>
        <v>Corn Silage</v>
      </c>
      <c r="S79" s="186"/>
    </row>
    <row r="80" spans="1:19" ht="12.75">
      <c r="A80" s="20" t="s">
        <v>29</v>
      </c>
      <c r="B80" s="21" t="s">
        <v>30</v>
      </c>
      <c r="C80" s="21" t="s">
        <v>31</v>
      </c>
      <c r="D80" s="22" t="s">
        <v>21</v>
      </c>
      <c r="E80" s="6"/>
      <c r="F80" s="20" t="s">
        <v>29</v>
      </c>
      <c r="G80" s="21" t="s">
        <v>30</v>
      </c>
      <c r="H80" s="21" t="s">
        <v>31</v>
      </c>
      <c r="I80" s="22" t="s">
        <v>21</v>
      </c>
      <c r="J80" s="6"/>
      <c r="K80" s="20" t="s">
        <v>29</v>
      </c>
      <c r="L80" s="21" t="s">
        <v>30</v>
      </c>
      <c r="M80" s="21" t="s">
        <v>31</v>
      </c>
      <c r="N80" s="22" t="s">
        <v>21</v>
      </c>
      <c r="P80" s="20" t="s">
        <v>29</v>
      </c>
      <c r="Q80" s="21" t="s">
        <v>30</v>
      </c>
      <c r="R80" s="21" t="s">
        <v>31</v>
      </c>
      <c r="S80" s="22" t="s">
        <v>21</v>
      </c>
    </row>
    <row r="81" spans="1:19" ht="12.75">
      <c r="A81" s="14">
        <v>0.14</v>
      </c>
      <c r="B81" s="15">
        <v>30</v>
      </c>
      <c r="C81" s="15">
        <f>NORMSINV(B81/100)</f>
        <v>-0.5244005127080409</v>
      </c>
      <c r="D81" s="16">
        <f>C81-$C$28+$D$28</f>
        <v>2.6658317934597724</v>
      </c>
      <c r="F81" s="14">
        <v>0.14</v>
      </c>
      <c r="G81" s="15">
        <v>1</v>
      </c>
      <c r="H81" s="15">
        <f>NORMSINV(G81/100)</f>
        <v>-2.3263478740408408</v>
      </c>
      <c r="I81" s="16">
        <f>H81-$C$28+$D$28</f>
        <v>0.8638844321269724</v>
      </c>
      <c r="K81" s="14">
        <v>0.14</v>
      </c>
      <c r="L81" s="15">
        <v>1</v>
      </c>
      <c r="M81" s="15">
        <f>NORMSINV(L81/100)</f>
        <v>-2.3263478740408408</v>
      </c>
      <c r="N81" s="16">
        <f>M81-$C$28+$D$28</f>
        <v>0.8638844321269724</v>
      </c>
      <c r="P81" s="14">
        <v>0.14</v>
      </c>
      <c r="Q81" s="183">
        <f>IF(Data!$F$3=1,Calculations!B81,IF(Data!$F$3=2,G81,L81))</f>
        <v>1</v>
      </c>
      <c r="R81" s="15">
        <f>NORMSINV(Q81/100)</f>
        <v>-2.3263478740408408</v>
      </c>
      <c r="S81" s="16">
        <f>R81-$C$28+$D$28</f>
        <v>0.8638844321269724</v>
      </c>
    </row>
    <row r="82" spans="1:19" ht="12.75">
      <c r="A82" s="14">
        <v>0.14</v>
      </c>
      <c r="B82" s="15">
        <v>40</v>
      </c>
      <c r="C82" s="15">
        <f aca="true" t="shared" si="0" ref="C82:C97">NORMSINV(B82/100)</f>
        <v>-0.2533471031357998</v>
      </c>
      <c r="D82" s="16">
        <f aca="true" t="shared" si="1" ref="D82:D97">C82-$C$28+$D$28</f>
        <v>2.9368852030320136</v>
      </c>
      <c r="F82" s="14">
        <v>0.14</v>
      </c>
      <c r="G82" s="15">
        <v>10</v>
      </c>
      <c r="H82" s="15">
        <f aca="true" t="shared" si="2" ref="H82:H97">NORMSINV(G82/100)</f>
        <v>-1.2815515655446006</v>
      </c>
      <c r="I82" s="16">
        <f aca="true" t="shared" si="3" ref="I82:I97">H82-$C$28+$D$28</f>
        <v>1.9086807406232127</v>
      </c>
      <c r="K82" s="14">
        <v>0.14</v>
      </c>
      <c r="L82" s="15">
        <v>10</v>
      </c>
      <c r="M82" s="15">
        <f aca="true" t="shared" si="4" ref="M82:M97">NORMSINV(L82/100)</f>
        <v>-1.2815515655446006</v>
      </c>
      <c r="N82" s="16">
        <f aca="true" t="shared" si="5" ref="N82:N97">M82-$C$28+$D$28</f>
        <v>1.9086807406232127</v>
      </c>
      <c r="P82" s="14">
        <v>0.14</v>
      </c>
      <c r="Q82" s="183">
        <f>IF(Data!$F$3=1,Calculations!B82,IF(Data!$F$3=2,G82,L82))</f>
        <v>10</v>
      </c>
      <c r="R82" s="15">
        <f aca="true" t="shared" si="6" ref="R82:R97">NORMSINV(Q82/100)</f>
        <v>-1.2815515655446006</v>
      </c>
      <c r="S82" s="16">
        <f aca="true" t="shared" si="7" ref="S82:S97">R82-$C$28+$D$28</f>
        <v>1.9086807406232127</v>
      </c>
    </row>
    <row r="83" spans="1:19" ht="12.75">
      <c r="A83" s="14">
        <v>0.185</v>
      </c>
      <c r="B83" s="15">
        <v>40</v>
      </c>
      <c r="C83" s="15">
        <f t="shared" si="0"/>
        <v>-0.2533471031357998</v>
      </c>
      <c r="D83" s="16">
        <f t="shared" si="1"/>
        <v>2.9368852030320136</v>
      </c>
      <c r="F83" s="14">
        <v>0.185</v>
      </c>
      <c r="G83" s="15">
        <v>10</v>
      </c>
      <c r="H83" s="15">
        <f t="shared" si="2"/>
        <v>-1.2815515655446006</v>
      </c>
      <c r="I83" s="16">
        <f t="shared" si="3"/>
        <v>1.9086807406232127</v>
      </c>
      <c r="K83" s="14">
        <v>0.185</v>
      </c>
      <c r="L83" s="15">
        <v>10</v>
      </c>
      <c r="M83" s="15">
        <f t="shared" si="4"/>
        <v>-1.2815515655446006</v>
      </c>
      <c r="N83" s="16">
        <f t="shared" si="5"/>
        <v>1.9086807406232127</v>
      </c>
      <c r="P83" s="14">
        <v>0.185</v>
      </c>
      <c r="Q83" s="183">
        <f>IF(Data!$F$3=1,Calculations!B83,IF(Data!$F$3=2,G83,L83))</f>
        <v>10</v>
      </c>
      <c r="R83" s="15">
        <f t="shared" si="6"/>
        <v>-1.2815515655446006</v>
      </c>
      <c r="S83" s="16">
        <f t="shared" si="7"/>
        <v>1.9086807406232127</v>
      </c>
    </row>
    <row r="84" spans="1:19" ht="12.75">
      <c r="A84" s="14">
        <v>0.185</v>
      </c>
      <c r="B84" s="15">
        <v>30</v>
      </c>
      <c r="C84" s="15">
        <f t="shared" si="0"/>
        <v>-0.5244005127080409</v>
      </c>
      <c r="D84" s="16">
        <f t="shared" si="1"/>
        <v>2.6658317934597724</v>
      </c>
      <c r="F84" s="14">
        <v>0.185</v>
      </c>
      <c r="G84" s="15">
        <v>1</v>
      </c>
      <c r="H84" s="15">
        <f t="shared" si="2"/>
        <v>-2.3263478740408408</v>
      </c>
      <c r="I84" s="16">
        <f t="shared" si="3"/>
        <v>0.8638844321269724</v>
      </c>
      <c r="K84" s="14">
        <v>0.185</v>
      </c>
      <c r="L84" s="15">
        <v>1</v>
      </c>
      <c r="M84" s="15">
        <f t="shared" si="4"/>
        <v>-2.3263478740408408</v>
      </c>
      <c r="N84" s="16">
        <f t="shared" si="5"/>
        <v>0.8638844321269724</v>
      </c>
      <c r="P84" s="14">
        <v>0.185</v>
      </c>
      <c r="Q84" s="183">
        <f>IF(Data!$F$3=1,Calculations!B84,IF(Data!$F$3=2,G84,L84))</f>
        <v>1</v>
      </c>
      <c r="R84" s="15">
        <f t="shared" si="6"/>
        <v>-2.3263478740408408</v>
      </c>
      <c r="S84" s="16">
        <f t="shared" si="7"/>
        <v>0.8638844321269724</v>
      </c>
    </row>
    <row r="85" spans="1:19" ht="12.75">
      <c r="A85" s="14">
        <v>0.14</v>
      </c>
      <c r="B85" s="15">
        <v>30</v>
      </c>
      <c r="C85" s="15">
        <f t="shared" si="0"/>
        <v>-0.5244005127080409</v>
      </c>
      <c r="D85" s="16">
        <f t="shared" si="1"/>
        <v>2.6658317934597724</v>
      </c>
      <c r="F85" s="14">
        <v>0.14</v>
      </c>
      <c r="G85" s="15">
        <v>1</v>
      </c>
      <c r="H85" s="15">
        <f t="shared" si="2"/>
        <v>-2.3263478740408408</v>
      </c>
      <c r="I85" s="16">
        <f t="shared" si="3"/>
        <v>0.8638844321269724</v>
      </c>
      <c r="K85" s="14">
        <v>0.14</v>
      </c>
      <c r="L85" s="15">
        <v>1</v>
      </c>
      <c r="M85" s="15">
        <f t="shared" si="4"/>
        <v>-2.3263478740408408</v>
      </c>
      <c r="N85" s="16">
        <f t="shared" si="5"/>
        <v>0.8638844321269724</v>
      </c>
      <c r="P85" s="14">
        <v>0.14</v>
      </c>
      <c r="Q85" s="183">
        <f>IF(Data!$F$3=1,Calculations!B85,IF(Data!$F$3=2,G85,L85))</f>
        <v>1</v>
      </c>
      <c r="R85" s="15">
        <f t="shared" si="6"/>
        <v>-2.3263478740408408</v>
      </c>
      <c r="S85" s="16">
        <f t="shared" si="7"/>
        <v>0.8638844321269724</v>
      </c>
    </row>
    <row r="86" spans="1:19" ht="12.75">
      <c r="A86" s="14"/>
      <c r="B86" s="15"/>
      <c r="C86" s="15"/>
      <c r="D86" s="16"/>
      <c r="F86" s="14"/>
      <c r="G86" s="15"/>
      <c r="H86" s="15"/>
      <c r="I86" s="16"/>
      <c r="K86" s="14"/>
      <c r="L86" s="15"/>
      <c r="M86" s="15"/>
      <c r="N86" s="16"/>
      <c r="P86" s="14"/>
      <c r="Q86" s="183"/>
      <c r="R86" s="15"/>
      <c r="S86" s="16"/>
    </row>
    <row r="87" spans="1:19" ht="12.75">
      <c r="A87" s="14">
        <v>0.27</v>
      </c>
      <c r="B87" s="15">
        <v>42</v>
      </c>
      <c r="C87" s="15">
        <f t="shared" si="0"/>
        <v>-0.20189347914185088</v>
      </c>
      <c r="D87" s="16">
        <f t="shared" si="1"/>
        <v>2.9883388270259625</v>
      </c>
      <c r="F87" s="14">
        <v>0.27</v>
      </c>
      <c r="G87" s="15">
        <v>27</v>
      </c>
      <c r="H87" s="15">
        <f t="shared" si="2"/>
        <v>-0.6128129910166273</v>
      </c>
      <c r="I87" s="16">
        <f t="shared" si="3"/>
        <v>2.577419315151186</v>
      </c>
      <c r="K87" s="14">
        <v>0.27</v>
      </c>
      <c r="L87" s="15">
        <v>5</v>
      </c>
      <c r="M87" s="15">
        <f t="shared" si="4"/>
        <v>-1.6448536269514726</v>
      </c>
      <c r="N87" s="16">
        <f t="shared" si="5"/>
        <v>1.5453786792163406</v>
      </c>
      <c r="P87" s="14">
        <v>0.27</v>
      </c>
      <c r="Q87" s="183">
        <f>IF(Data!$F$3=1,Calculations!B87,IF(Data!$F$3=2,G87,L87))</f>
        <v>27</v>
      </c>
      <c r="R87" s="15">
        <f t="shared" si="6"/>
        <v>-0.6128129910166273</v>
      </c>
      <c r="S87" s="16">
        <f t="shared" si="7"/>
        <v>2.577419315151186</v>
      </c>
    </row>
    <row r="88" spans="1:19" ht="12.75">
      <c r="A88" s="14">
        <v>0.27</v>
      </c>
      <c r="B88" s="15">
        <v>68</v>
      </c>
      <c r="C88" s="15">
        <f t="shared" si="0"/>
        <v>0.46769879911450835</v>
      </c>
      <c r="D88" s="16">
        <f t="shared" si="1"/>
        <v>3.6579311052823216</v>
      </c>
      <c r="F88" s="14">
        <v>0.27</v>
      </c>
      <c r="G88" s="15">
        <v>52</v>
      </c>
      <c r="H88" s="15">
        <f t="shared" si="2"/>
        <v>0.050153583464733656</v>
      </c>
      <c r="I88" s="16">
        <f t="shared" si="3"/>
        <v>3.240385889632547</v>
      </c>
      <c r="K88" s="14">
        <v>0.27</v>
      </c>
      <c r="L88" s="15">
        <v>45</v>
      </c>
      <c r="M88" s="15">
        <f t="shared" si="4"/>
        <v>-0.12566134685507402</v>
      </c>
      <c r="N88" s="16">
        <f t="shared" si="5"/>
        <v>3.0645709593127393</v>
      </c>
      <c r="P88" s="14">
        <v>0.27</v>
      </c>
      <c r="Q88" s="183">
        <f>IF(Data!$F$3=1,Calculations!B88,IF(Data!$F$3=2,G88,L88))</f>
        <v>52</v>
      </c>
      <c r="R88" s="15">
        <f t="shared" si="6"/>
        <v>0.050153583464733656</v>
      </c>
      <c r="S88" s="16">
        <f t="shared" si="7"/>
        <v>3.240385889632547</v>
      </c>
    </row>
    <row r="89" spans="1:19" ht="12.75">
      <c r="A89" s="14">
        <v>0.36</v>
      </c>
      <c r="B89" s="15">
        <v>68</v>
      </c>
      <c r="C89" s="15">
        <f t="shared" si="0"/>
        <v>0.46769879911450835</v>
      </c>
      <c r="D89" s="16">
        <f t="shared" si="1"/>
        <v>3.6579311052823216</v>
      </c>
      <c r="F89" s="14">
        <v>0.36</v>
      </c>
      <c r="G89" s="15">
        <v>52</v>
      </c>
      <c r="H89" s="15">
        <f t="shared" si="2"/>
        <v>0.050153583464733656</v>
      </c>
      <c r="I89" s="16">
        <f t="shared" si="3"/>
        <v>3.240385889632547</v>
      </c>
      <c r="K89" s="14">
        <v>0.36</v>
      </c>
      <c r="L89" s="15">
        <v>45</v>
      </c>
      <c r="M89" s="15">
        <f t="shared" si="4"/>
        <v>-0.12566134685507402</v>
      </c>
      <c r="N89" s="16">
        <f t="shared" si="5"/>
        <v>3.0645709593127393</v>
      </c>
      <c r="P89" s="14">
        <v>0.36</v>
      </c>
      <c r="Q89" s="183">
        <f>IF(Data!$F$3=1,Calculations!B89,IF(Data!$F$3=2,G89,L89))</f>
        <v>52</v>
      </c>
      <c r="R89" s="15">
        <f t="shared" si="6"/>
        <v>0.050153583464733656</v>
      </c>
      <c r="S89" s="16">
        <f t="shared" si="7"/>
        <v>3.240385889632547</v>
      </c>
    </row>
    <row r="90" spans="1:19" ht="12.75">
      <c r="A90" s="14">
        <v>0.36</v>
      </c>
      <c r="B90" s="15">
        <v>42</v>
      </c>
      <c r="C90" s="15">
        <f t="shared" si="0"/>
        <v>-0.20189347914185088</v>
      </c>
      <c r="D90" s="16">
        <f t="shared" si="1"/>
        <v>2.9883388270259625</v>
      </c>
      <c r="F90" s="14">
        <v>0.36</v>
      </c>
      <c r="G90" s="15">
        <v>27</v>
      </c>
      <c r="H90" s="15">
        <f t="shared" si="2"/>
        <v>-0.6128129910166273</v>
      </c>
      <c r="I90" s="16">
        <f t="shared" si="3"/>
        <v>2.577419315151186</v>
      </c>
      <c r="K90" s="14">
        <v>0.36</v>
      </c>
      <c r="L90" s="15">
        <v>5</v>
      </c>
      <c r="M90" s="15">
        <f t="shared" si="4"/>
        <v>-1.6448536269514726</v>
      </c>
      <c r="N90" s="16">
        <f t="shared" si="5"/>
        <v>1.5453786792163406</v>
      </c>
      <c r="P90" s="14">
        <v>0.36</v>
      </c>
      <c r="Q90" s="183">
        <f>IF(Data!$F$3=1,Calculations!B90,IF(Data!$F$3=2,G90,L90))</f>
        <v>27</v>
      </c>
      <c r="R90" s="15">
        <f t="shared" si="6"/>
        <v>-0.6128129910166273</v>
      </c>
      <c r="S90" s="16">
        <f t="shared" si="7"/>
        <v>2.577419315151186</v>
      </c>
    </row>
    <row r="91" spans="1:19" ht="12.75">
      <c r="A91" s="14">
        <v>0.27</v>
      </c>
      <c r="B91" s="15">
        <v>42</v>
      </c>
      <c r="C91" s="15">
        <f t="shared" si="0"/>
        <v>-0.20189347914185088</v>
      </c>
      <c r="D91" s="16">
        <f t="shared" si="1"/>
        <v>2.9883388270259625</v>
      </c>
      <c r="F91" s="14">
        <v>0.27</v>
      </c>
      <c r="G91" s="15">
        <v>27</v>
      </c>
      <c r="H91" s="15">
        <f t="shared" si="2"/>
        <v>-0.6128129910166273</v>
      </c>
      <c r="I91" s="16">
        <f t="shared" si="3"/>
        <v>2.577419315151186</v>
      </c>
      <c r="K91" s="14">
        <v>0.27</v>
      </c>
      <c r="L91" s="15">
        <v>5</v>
      </c>
      <c r="M91" s="15">
        <f t="shared" si="4"/>
        <v>-1.6448536269514726</v>
      </c>
      <c r="N91" s="16">
        <f t="shared" si="5"/>
        <v>1.5453786792163406</v>
      </c>
      <c r="P91" s="14">
        <v>0.27</v>
      </c>
      <c r="Q91" s="183">
        <f>IF(Data!$F$3=1,Calculations!B91,IF(Data!$F$3=2,G91,L91))</f>
        <v>27</v>
      </c>
      <c r="R91" s="15">
        <f t="shared" si="6"/>
        <v>-0.6128129910166273</v>
      </c>
      <c r="S91" s="16">
        <f t="shared" si="7"/>
        <v>2.577419315151186</v>
      </c>
    </row>
    <row r="92" spans="1:19" ht="12.75">
      <c r="A92" s="14"/>
      <c r="B92" s="15"/>
      <c r="C92" s="15"/>
      <c r="D92" s="16"/>
      <c r="F92" s="14"/>
      <c r="G92" s="15"/>
      <c r="H92" s="15"/>
      <c r="I92" s="16"/>
      <c r="K92" s="14"/>
      <c r="L92" s="15"/>
      <c r="M92" s="15"/>
      <c r="N92" s="16"/>
      <c r="P92" s="14"/>
      <c r="Q92" s="183"/>
      <c r="R92" s="15"/>
      <c r="S92" s="16"/>
    </row>
    <row r="93" spans="1:19" ht="12.75">
      <c r="A93" s="14">
        <v>0.65</v>
      </c>
      <c r="B93" s="15">
        <v>92</v>
      </c>
      <c r="C93" s="15">
        <f t="shared" si="0"/>
        <v>1.4050715603096329</v>
      </c>
      <c r="D93" s="16">
        <f t="shared" si="1"/>
        <v>4.595303866477446</v>
      </c>
      <c r="F93" s="14">
        <v>0.65</v>
      </c>
      <c r="G93" s="15">
        <v>92</v>
      </c>
      <c r="H93" s="15">
        <f t="shared" si="2"/>
        <v>1.4050715603096329</v>
      </c>
      <c r="I93" s="16">
        <f t="shared" si="3"/>
        <v>4.595303866477446</v>
      </c>
      <c r="K93" s="14">
        <v>0.65</v>
      </c>
      <c r="L93" s="15">
        <v>80</v>
      </c>
      <c r="M93" s="15">
        <f t="shared" si="4"/>
        <v>0.8416212335729147</v>
      </c>
      <c r="N93" s="16">
        <f t="shared" si="5"/>
        <v>4.031853539740728</v>
      </c>
      <c r="P93" s="14">
        <v>0.65</v>
      </c>
      <c r="Q93" s="183">
        <f>IF(Data!$F$3=1,Calculations!B93,IF(Data!$F$3=2,G93,L93))</f>
        <v>92</v>
      </c>
      <c r="R93" s="15">
        <f t="shared" si="6"/>
        <v>1.4050715603096329</v>
      </c>
      <c r="S93" s="16">
        <f t="shared" si="7"/>
        <v>4.595303866477446</v>
      </c>
    </row>
    <row r="94" spans="1:19" ht="12.75">
      <c r="A94" s="14">
        <v>0.65</v>
      </c>
      <c r="B94" s="15">
        <v>98</v>
      </c>
      <c r="C94" s="15">
        <f t="shared" si="0"/>
        <v>2.053748910631822</v>
      </c>
      <c r="D94" s="16">
        <f t="shared" si="1"/>
        <v>5.243981216799635</v>
      </c>
      <c r="F94" s="14">
        <v>0.65</v>
      </c>
      <c r="G94" s="15">
        <v>97</v>
      </c>
      <c r="H94" s="15">
        <f t="shared" si="2"/>
        <v>1.8807936081512504</v>
      </c>
      <c r="I94" s="16">
        <f t="shared" si="3"/>
        <v>5.071025914319064</v>
      </c>
      <c r="K94" s="14">
        <v>0.65</v>
      </c>
      <c r="L94" s="15">
        <v>90</v>
      </c>
      <c r="M94" s="15">
        <f t="shared" si="4"/>
        <v>1.2815515655446006</v>
      </c>
      <c r="N94" s="16">
        <f t="shared" si="5"/>
        <v>4.471783871712414</v>
      </c>
      <c r="P94" s="14">
        <v>0.65</v>
      </c>
      <c r="Q94" s="183">
        <f>IF(Data!$F$3=1,Calculations!B94,IF(Data!$F$3=2,G94,L94))</f>
        <v>97</v>
      </c>
      <c r="R94" s="15">
        <f t="shared" si="6"/>
        <v>1.8807936081512504</v>
      </c>
      <c r="S94" s="16">
        <f t="shared" si="7"/>
        <v>5.071025914319064</v>
      </c>
    </row>
    <row r="95" spans="1:19" ht="12.75">
      <c r="A95" s="14">
        <v>0.86</v>
      </c>
      <c r="B95" s="15">
        <v>98</v>
      </c>
      <c r="C95" s="15">
        <f t="shared" si="0"/>
        <v>2.053748910631822</v>
      </c>
      <c r="D95" s="16">
        <f t="shared" si="1"/>
        <v>5.243981216799635</v>
      </c>
      <c r="F95" s="14">
        <v>0.86</v>
      </c>
      <c r="G95" s="15">
        <v>97</v>
      </c>
      <c r="H95" s="15">
        <f t="shared" si="2"/>
        <v>1.8807936081512504</v>
      </c>
      <c r="I95" s="16">
        <f t="shared" si="3"/>
        <v>5.071025914319064</v>
      </c>
      <c r="K95" s="14">
        <v>0.86</v>
      </c>
      <c r="L95" s="15">
        <v>90</v>
      </c>
      <c r="M95" s="15">
        <f t="shared" si="4"/>
        <v>1.2815515655446006</v>
      </c>
      <c r="N95" s="16">
        <f t="shared" si="5"/>
        <v>4.471783871712414</v>
      </c>
      <c r="P95" s="14">
        <v>0.86</v>
      </c>
      <c r="Q95" s="183">
        <f>IF(Data!$F$3=1,Calculations!B95,IF(Data!$F$3=2,G95,L95))</f>
        <v>97</v>
      </c>
      <c r="R95" s="15">
        <f t="shared" si="6"/>
        <v>1.8807936081512504</v>
      </c>
      <c r="S95" s="16">
        <f t="shared" si="7"/>
        <v>5.071025914319064</v>
      </c>
    </row>
    <row r="96" spans="1:19" ht="12.75">
      <c r="A96" s="14">
        <v>0.86</v>
      </c>
      <c r="B96" s="15">
        <v>92</v>
      </c>
      <c r="C96" s="15">
        <f t="shared" si="0"/>
        <v>1.4050715603096329</v>
      </c>
      <c r="D96" s="16">
        <f t="shared" si="1"/>
        <v>4.595303866477446</v>
      </c>
      <c r="F96" s="14">
        <v>0.86</v>
      </c>
      <c r="G96" s="15">
        <v>92</v>
      </c>
      <c r="H96" s="15">
        <f t="shared" si="2"/>
        <v>1.4050715603096329</v>
      </c>
      <c r="I96" s="16">
        <f t="shared" si="3"/>
        <v>4.595303866477446</v>
      </c>
      <c r="K96" s="14">
        <v>0.86</v>
      </c>
      <c r="L96" s="15">
        <v>80</v>
      </c>
      <c r="M96" s="15">
        <f t="shared" si="4"/>
        <v>0.8416212335729147</v>
      </c>
      <c r="N96" s="16">
        <f t="shared" si="5"/>
        <v>4.031853539740728</v>
      </c>
      <c r="P96" s="14">
        <v>0.86</v>
      </c>
      <c r="Q96" s="183">
        <f>IF(Data!$F$3=1,Calculations!B96,IF(Data!$F$3=2,G96,L96))</f>
        <v>92</v>
      </c>
      <c r="R96" s="15">
        <f t="shared" si="6"/>
        <v>1.4050715603096329</v>
      </c>
      <c r="S96" s="16">
        <f t="shared" si="7"/>
        <v>4.595303866477446</v>
      </c>
    </row>
    <row r="97" spans="1:19" ht="12.75">
      <c r="A97" s="17">
        <v>0.65</v>
      </c>
      <c r="B97" s="18">
        <v>92</v>
      </c>
      <c r="C97" s="18">
        <f t="shared" si="0"/>
        <v>1.4050715603096329</v>
      </c>
      <c r="D97" s="19">
        <f t="shared" si="1"/>
        <v>4.595303866477446</v>
      </c>
      <c r="F97" s="17">
        <v>0.65</v>
      </c>
      <c r="G97" s="184">
        <v>92</v>
      </c>
      <c r="H97" s="18">
        <f t="shared" si="2"/>
        <v>1.4050715603096329</v>
      </c>
      <c r="I97" s="19">
        <f t="shared" si="3"/>
        <v>4.595303866477446</v>
      </c>
      <c r="K97" s="17">
        <v>0.65</v>
      </c>
      <c r="L97" s="184">
        <v>80</v>
      </c>
      <c r="M97" s="18">
        <f t="shared" si="4"/>
        <v>0.8416212335729147</v>
      </c>
      <c r="N97" s="19">
        <f t="shared" si="5"/>
        <v>4.031853539740728</v>
      </c>
      <c r="P97" s="17">
        <v>0.65</v>
      </c>
      <c r="Q97" s="178">
        <f>IF(Data!$F$3=1,Calculations!B97,IF(Data!$F$3=2,G97,L97))</f>
        <v>92</v>
      </c>
      <c r="R97" s="18">
        <f t="shared" si="6"/>
        <v>1.4050715603096329</v>
      </c>
      <c r="S97" s="19">
        <f t="shared" si="7"/>
        <v>4.595303866477446</v>
      </c>
    </row>
    <row r="98" spans="1:4" ht="12.75">
      <c r="A98" s="12"/>
      <c r="B98" s="12"/>
      <c r="C98" s="12"/>
      <c r="D98" s="12"/>
    </row>
    <row r="99" spans="1:4" ht="12.75">
      <c r="A99" s="23" t="s">
        <v>22</v>
      </c>
      <c r="B99" s="12"/>
      <c r="C99" s="12"/>
      <c r="D99" s="12"/>
    </row>
    <row r="100" spans="1:4" ht="12.75">
      <c r="A100" s="28">
        <v>0.16</v>
      </c>
      <c r="B100" s="29">
        <v>0.1</v>
      </c>
      <c r="C100" s="12"/>
      <c r="D100" s="12"/>
    </row>
    <row r="101" spans="1:4" ht="12.75">
      <c r="A101" s="30">
        <v>0.16</v>
      </c>
      <c r="B101" s="31">
        <v>6.3</v>
      </c>
      <c r="C101" s="12"/>
      <c r="D101" s="12"/>
    </row>
    <row r="102" spans="1:4" ht="12.75">
      <c r="A102" s="30"/>
      <c r="B102" s="31"/>
      <c r="C102" s="12"/>
      <c r="D102" s="12"/>
    </row>
    <row r="103" spans="1:4" ht="12.75">
      <c r="A103" s="14">
        <v>0.31</v>
      </c>
      <c r="B103" s="16">
        <v>0.1</v>
      </c>
      <c r="C103" s="12"/>
      <c r="D103" s="12"/>
    </row>
    <row r="104" spans="1:4" ht="12.75">
      <c r="A104" s="14">
        <v>0.31</v>
      </c>
      <c r="B104" s="31">
        <v>6.3</v>
      </c>
      <c r="C104" s="12"/>
      <c r="D104" s="12"/>
    </row>
    <row r="105" spans="1:3" ht="12.75">
      <c r="A105" s="14"/>
      <c r="B105" s="16"/>
      <c r="C105" s="7"/>
    </row>
    <row r="106" spans="1:3" ht="12.75">
      <c r="A106" s="14">
        <v>0.75</v>
      </c>
      <c r="B106" s="16">
        <v>0.1</v>
      </c>
      <c r="C106" s="7"/>
    </row>
    <row r="107" spans="1:3" ht="12.75">
      <c r="A107" s="17">
        <v>0.75</v>
      </c>
      <c r="B107" s="32">
        <v>6.3</v>
      </c>
      <c r="C107" s="7"/>
    </row>
    <row r="109" ht="12.75">
      <c r="A109" s="2" t="s">
        <v>96</v>
      </c>
    </row>
    <row r="110" ht="12.75">
      <c r="A110" s="222" t="str">
        <f>IF(Data!F3=1,"TMR Particle Size Analysis",(IF(Data!F3=2,"Corn Silage Particle Size Analysis","Haylage Particle Size Analysis")))</f>
        <v>Corn Silage Particle Size Analysis</v>
      </c>
    </row>
    <row r="111" spans="1:2" ht="12.75">
      <c r="A111" t="s">
        <v>95</v>
      </c>
      <c r="B111" t="str">
        <f>A111&amp;": "&amp;Data!B2</f>
        <v>For: Maximum Milk Makers</v>
      </c>
    </row>
  </sheetData>
  <sheetProtection sheet="1"/>
  <mergeCells count="21">
    <mergeCell ref="A79:D79"/>
    <mergeCell ref="F79:I79"/>
    <mergeCell ref="K79:N79"/>
    <mergeCell ref="K18:L18"/>
    <mergeCell ref="K19:L19"/>
    <mergeCell ref="K20:L20"/>
    <mergeCell ref="K21:L21"/>
    <mergeCell ref="C21:D21"/>
    <mergeCell ref="C20:D20"/>
    <mergeCell ref="A1:G1"/>
    <mergeCell ref="I1:O1"/>
    <mergeCell ref="J5:K5"/>
    <mergeCell ref="C16:D16"/>
    <mergeCell ref="G5:G6"/>
    <mergeCell ref="B5:C5"/>
    <mergeCell ref="C17:D17"/>
    <mergeCell ref="C18:D18"/>
    <mergeCell ref="C19:D19"/>
    <mergeCell ref="O5:O6"/>
    <mergeCell ref="K16:L16"/>
    <mergeCell ref="K17:L17"/>
  </mergeCells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 Dairy and 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Jones</dc:creator>
  <cp:keywords/>
  <dc:description/>
  <cp:lastModifiedBy>Diretoria</cp:lastModifiedBy>
  <cp:lastPrinted>2012-04-27T13:22:03Z</cp:lastPrinted>
  <dcterms:created xsi:type="dcterms:W3CDTF">2002-05-14T18:37:13Z</dcterms:created>
  <dcterms:modified xsi:type="dcterms:W3CDTF">2017-08-21T18:16:56Z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