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mac/Dropbox/DISCIPLINAS GRADUAÇÃO FEARP/RCC0320 - Gestão Estratégica de Custos/"/>
    </mc:Choice>
  </mc:AlternateContent>
  <bookViews>
    <workbookView xWindow="0" yWindow="460" windowWidth="51200" windowHeight="26740" tabRatio="500" activeTab="4"/>
  </bookViews>
  <sheets>
    <sheet name="acompanhamento" sheetId="1" r:id="rId1"/>
    <sheet name="FOTD" sheetId="2" r:id="rId2"/>
    <sheet name="Met Guaru" sheetId="3" r:id="rId3"/>
    <sheet name="Arnita" sheetId="4" r:id="rId4"/>
    <sheet name="Serviços" sheetId="9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9" l="1"/>
  <c r="J59" i="9"/>
  <c r="I59" i="9"/>
  <c r="K72" i="9"/>
  <c r="E79" i="9"/>
  <c r="D99" i="9"/>
  <c r="K71" i="9"/>
  <c r="D3" i="9"/>
  <c r="D4" i="9"/>
  <c r="D5" i="9"/>
  <c r="D6" i="9"/>
  <c r="I63" i="9"/>
  <c r="J63" i="9"/>
  <c r="K63" i="9"/>
  <c r="K64" i="9"/>
  <c r="K65" i="9"/>
  <c r="I7" i="9"/>
  <c r="J7" i="9"/>
  <c r="K7" i="9"/>
  <c r="L7" i="9"/>
  <c r="I8" i="9"/>
  <c r="J8" i="9"/>
  <c r="K8" i="9"/>
  <c r="L8" i="9"/>
  <c r="L9" i="9"/>
  <c r="I66" i="9"/>
  <c r="J66" i="9"/>
  <c r="K66" i="9"/>
  <c r="B35" i="9"/>
  <c r="B36" i="9"/>
  <c r="E27" i="9"/>
  <c r="B37" i="9"/>
  <c r="E28" i="9"/>
  <c r="B38" i="9"/>
  <c r="E29" i="9"/>
  <c r="B39" i="9"/>
  <c r="E30" i="9"/>
  <c r="B40" i="9"/>
  <c r="E31" i="9"/>
  <c r="B41" i="9"/>
  <c r="B42" i="9"/>
  <c r="E53" i="9"/>
  <c r="B58" i="9"/>
  <c r="E54" i="9"/>
  <c r="B59" i="9"/>
  <c r="B60" i="9"/>
  <c r="I40" i="9"/>
  <c r="C35" i="9"/>
  <c r="C36" i="9"/>
  <c r="C37" i="9"/>
  <c r="C38" i="9"/>
  <c r="C39" i="9"/>
  <c r="C40" i="9"/>
  <c r="C41" i="9"/>
  <c r="C42" i="9"/>
  <c r="C58" i="9"/>
  <c r="C59" i="9"/>
  <c r="C60" i="9"/>
  <c r="J40" i="9"/>
  <c r="D35" i="9"/>
  <c r="D36" i="9"/>
  <c r="D37" i="9"/>
  <c r="D38" i="9"/>
  <c r="D39" i="9"/>
  <c r="D40" i="9"/>
  <c r="D41" i="9"/>
  <c r="D42" i="9"/>
  <c r="D58" i="9"/>
  <c r="D59" i="9"/>
  <c r="D60" i="9"/>
  <c r="K40" i="9"/>
  <c r="I67" i="9"/>
  <c r="J67" i="9"/>
  <c r="K67" i="9"/>
  <c r="E72" i="9"/>
  <c r="B77" i="9"/>
  <c r="E73" i="9"/>
  <c r="B78" i="9"/>
  <c r="B80" i="9"/>
  <c r="I41" i="9"/>
  <c r="C77" i="9"/>
  <c r="C78" i="9"/>
  <c r="C80" i="9"/>
  <c r="J41" i="9"/>
  <c r="D77" i="9"/>
  <c r="D78" i="9"/>
  <c r="D80" i="9"/>
  <c r="K41" i="9"/>
  <c r="I68" i="9"/>
  <c r="J68" i="9"/>
  <c r="K68" i="9"/>
  <c r="D92" i="9"/>
  <c r="B97" i="9"/>
  <c r="D93" i="9"/>
  <c r="B98" i="9"/>
  <c r="B100" i="9"/>
  <c r="I69" i="9"/>
  <c r="C97" i="9"/>
  <c r="C98" i="9"/>
  <c r="C100" i="9"/>
  <c r="J69" i="9"/>
  <c r="K69" i="9"/>
  <c r="K70" i="9"/>
  <c r="I52" i="9"/>
  <c r="I53" i="9"/>
  <c r="I54" i="9"/>
  <c r="I55" i="9"/>
  <c r="B23" i="9"/>
  <c r="B49" i="9"/>
  <c r="I2" i="9"/>
  <c r="I56" i="9"/>
  <c r="I57" i="9"/>
  <c r="I36" i="9"/>
  <c r="J36" i="9"/>
  <c r="K36" i="9"/>
  <c r="L36" i="9"/>
  <c r="L37" i="9"/>
  <c r="L38" i="9"/>
  <c r="I9" i="9"/>
  <c r="I39" i="9"/>
  <c r="J9" i="9"/>
  <c r="J39" i="9"/>
  <c r="K9" i="9"/>
  <c r="K39" i="9"/>
  <c r="L39" i="9"/>
  <c r="L40" i="9"/>
  <c r="L41" i="9"/>
  <c r="L42" i="9"/>
  <c r="K37" i="9"/>
  <c r="K38" i="9"/>
  <c r="K42" i="9"/>
  <c r="J37" i="9"/>
  <c r="J38" i="9"/>
  <c r="J42" i="9"/>
  <c r="I37" i="9"/>
  <c r="I38" i="9"/>
  <c r="I42" i="9"/>
  <c r="J64" i="9"/>
  <c r="J65" i="9"/>
  <c r="J70" i="9"/>
  <c r="I64" i="9"/>
  <c r="I65" i="9"/>
  <c r="I70" i="9"/>
  <c r="B68" i="9"/>
  <c r="B88" i="9"/>
  <c r="I58" i="9"/>
  <c r="J58" i="9"/>
  <c r="K58" i="9"/>
  <c r="J52" i="9"/>
  <c r="K52" i="9"/>
  <c r="K53" i="9"/>
  <c r="K54" i="9"/>
  <c r="J55" i="9"/>
  <c r="K55" i="9"/>
  <c r="J56" i="9"/>
  <c r="K56" i="9"/>
  <c r="K57" i="9"/>
  <c r="K59" i="9"/>
  <c r="I26" i="9"/>
  <c r="I27" i="9"/>
  <c r="J53" i="9"/>
  <c r="J54" i="9"/>
  <c r="J57" i="9"/>
  <c r="L43" i="9"/>
  <c r="D97" i="9"/>
  <c r="D98" i="9"/>
  <c r="D100" i="9"/>
  <c r="L44" i="9"/>
  <c r="L45" i="9"/>
  <c r="L32" i="9"/>
  <c r="J26" i="9"/>
  <c r="K26" i="9"/>
  <c r="L26" i="9"/>
  <c r="L27" i="9"/>
  <c r="L28" i="9"/>
  <c r="I29" i="9"/>
  <c r="J29" i="9"/>
  <c r="K29" i="9"/>
  <c r="L29" i="9"/>
  <c r="I23" i="9"/>
  <c r="I30" i="9"/>
  <c r="J23" i="9"/>
  <c r="J30" i="9"/>
  <c r="K23" i="9"/>
  <c r="K30" i="9"/>
  <c r="L30" i="9"/>
  <c r="L31" i="9"/>
  <c r="L33" i="9"/>
  <c r="I14" i="9"/>
  <c r="J14" i="9"/>
  <c r="K14" i="9"/>
  <c r="L14" i="9"/>
  <c r="L15" i="9"/>
  <c r="L16" i="9"/>
  <c r="I17" i="9"/>
  <c r="J17" i="9"/>
  <c r="K17" i="9"/>
  <c r="L17" i="9"/>
  <c r="C6" i="9"/>
  <c r="I11" i="9"/>
  <c r="I18" i="9"/>
  <c r="J11" i="9"/>
  <c r="J18" i="9"/>
  <c r="K11" i="9"/>
  <c r="K18" i="9"/>
  <c r="L18" i="9"/>
  <c r="L19" i="9"/>
  <c r="L20" i="9"/>
  <c r="L21" i="9"/>
  <c r="E77" i="9"/>
  <c r="E78" i="9"/>
  <c r="E80" i="9"/>
  <c r="E60" i="9"/>
  <c r="E59" i="9"/>
  <c r="E58" i="9"/>
  <c r="E37" i="9"/>
  <c r="E38" i="9"/>
  <c r="E39" i="9"/>
  <c r="E40" i="9"/>
  <c r="E41" i="9"/>
  <c r="E35" i="9"/>
  <c r="E36" i="9"/>
  <c r="E42" i="9"/>
  <c r="K27" i="9"/>
  <c r="K28" i="9"/>
  <c r="K31" i="9"/>
  <c r="J27" i="9"/>
  <c r="J28" i="9"/>
  <c r="J31" i="9"/>
  <c r="I28" i="9"/>
  <c r="I31" i="9"/>
  <c r="J15" i="9"/>
  <c r="J16" i="9"/>
  <c r="J19" i="9"/>
  <c r="K15" i="9"/>
  <c r="K16" i="9"/>
  <c r="K19" i="9"/>
  <c r="I15" i="9"/>
  <c r="I16" i="9"/>
  <c r="I19" i="9"/>
  <c r="S13" i="4"/>
  <c r="T13" i="4"/>
  <c r="R13" i="4"/>
  <c r="T12" i="4"/>
  <c r="S12" i="4"/>
  <c r="S7" i="4"/>
  <c r="R7" i="4"/>
  <c r="T6" i="4"/>
  <c r="T7" i="4"/>
  <c r="S6" i="4"/>
  <c r="T20" i="4"/>
  <c r="S20" i="4"/>
  <c r="R20" i="4"/>
  <c r="T18" i="4"/>
  <c r="T19" i="4"/>
  <c r="S18" i="4"/>
  <c r="S19" i="4"/>
  <c r="R19" i="4"/>
  <c r="R18" i="4"/>
  <c r="M35" i="4"/>
  <c r="L35" i="4"/>
  <c r="N46" i="4"/>
  <c r="N47" i="4"/>
  <c r="N48" i="4"/>
  <c r="N49" i="4"/>
  <c r="N50" i="4"/>
  <c r="M50" i="4"/>
  <c r="L50" i="4"/>
  <c r="G25" i="4"/>
  <c r="E37" i="4"/>
  <c r="L40" i="4"/>
  <c r="F37" i="4"/>
  <c r="M40" i="4"/>
  <c r="N40" i="4"/>
  <c r="G27" i="4"/>
  <c r="E39" i="4"/>
  <c r="L41" i="4"/>
  <c r="F39" i="4"/>
  <c r="M41" i="4"/>
  <c r="N41" i="4"/>
  <c r="G29" i="4"/>
  <c r="E41" i="4"/>
  <c r="L42" i="4"/>
  <c r="F41" i="4"/>
  <c r="M42" i="4"/>
  <c r="N42" i="4"/>
  <c r="E32" i="4"/>
  <c r="F32" i="4"/>
  <c r="G32" i="4"/>
  <c r="E44" i="4"/>
  <c r="L43" i="4"/>
  <c r="F44" i="4"/>
  <c r="M43" i="4"/>
  <c r="N43" i="4"/>
  <c r="G33" i="4"/>
  <c r="E45" i="4"/>
  <c r="L44" i="4"/>
  <c r="F45" i="4"/>
  <c r="M44" i="4"/>
  <c r="N44" i="4"/>
  <c r="N45" i="4"/>
  <c r="M45" i="4"/>
  <c r="L45" i="4"/>
  <c r="L14" i="4"/>
  <c r="M14" i="4"/>
  <c r="N14" i="4"/>
  <c r="L15" i="4"/>
  <c r="L19" i="4"/>
  <c r="R12" i="4"/>
  <c r="L3" i="4"/>
  <c r="M3" i="4"/>
  <c r="N3" i="4"/>
  <c r="L4" i="4"/>
  <c r="L8" i="4"/>
  <c r="R6" i="4"/>
  <c r="R17" i="4"/>
  <c r="S17" i="4"/>
  <c r="T17" i="4"/>
  <c r="R11" i="4"/>
  <c r="S11" i="4"/>
  <c r="T11" i="4"/>
  <c r="R5" i="4"/>
  <c r="S5" i="4"/>
  <c r="T5" i="4"/>
  <c r="R16" i="4"/>
  <c r="S16" i="4"/>
  <c r="T16" i="4"/>
  <c r="R10" i="4"/>
  <c r="S10" i="4"/>
  <c r="T10" i="4"/>
  <c r="R4" i="4"/>
  <c r="S4" i="4"/>
  <c r="T4" i="4"/>
  <c r="G26" i="4"/>
  <c r="F38" i="4"/>
  <c r="M46" i="4"/>
  <c r="G28" i="4"/>
  <c r="F40" i="4"/>
  <c r="M47" i="4"/>
  <c r="G30" i="4"/>
  <c r="F42" i="4"/>
  <c r="M48" i="4"/>
  <c r="G31" i="4"/>
  <c r="F43" i="4"/>
  <c r="M49" i="4"/>
  <c r="M56" i="4"/>
  <c r="M54" i="4"/>
  <c r="M55" i="4"/>
  <c r="M57" i="4"/>
  <c r="M58" i="4"/>
  <c r="E38" i="4"/>
  <c r="L46" i="4"/>
  <c r="E40" i="4"/>
  <c r="L47" i="4"/>
  <c r="E42" i="4"/>
  <c r="L48" i="4"/>
  <c r="E43" i="4"/>
  <c r="L49" i="4"/>
  <c r="L56" i="4"/>
  <c r="L54" i="4"/>
  <c r="L55" i="4"/>
  <c r="L57" i="4"/>
  <c r="L58" i="4"/>
  <c r="L17" i="4"/>
  <c r="L26" i="4"/>
  <c r="G14" i="4"/>
  <c r="G15" i="4"/>
  <c r="G16" i="4"/>
  <c r="G17" i="4"/>
  <c r="G18" i="4"/>
  <c r="G19" i="4"/>
  <c r="G21" i="4"/>
  <c r="G13" i="4"/>
  <c r="L33" i="4"/>
  <c r="M33" i="4"/>
  <c r="N33" i="4"/>
  <c r="M26" i="4"/>
  <c r="N26" i="4"/>
  <c r="L27" i="4"/>
  <c r="M27" i="4"/>
  <c r="N27" i="4"/>
  <c r="L28" i="4"/>
  <c r="M28" i="4"/>
  <c r="N28" i="4"/>
  <c r="L29" i="4"/>
  <c r="M29" i="4"/>
  <c r="N29" i="4"/>
  <c r="L30" i="4"/>
  <c r="M30" i="4"/>
  <c r="N30" i="4"/>
  <c r="L31" i="4"/>
  <c r="M31" i="4"/>
  <c r="N31" i="4"/>
  <c r="L32" i="4"/>
  <c r="M32" i="4"/>
  <c r="N32" i="4"/>
  <c r="L34" i="4"/>
  <c r="M34" i="4"/>
  <c r="N34" i="4"/>
  <c r="N35" i="4"/>
  <c r="M17" i="4"/>
  <c r="M18" i="4"/>
  <c r="M15" i="4"/>
  <c r="M19" i="4"/>
  <c r="M20" i="4"/>
  <c r="M21" i="4"/>
  <c r="L18" i="4"/>
  <c r="L20" i="4"/>
  <c r="L21" i="4"/>
  <c r="N20" i="4"/>
  <c r="N19" i="4"/>
  <c r="N18" i="4"/>
  <c r="N17" i="4"/>
  <c r="L7" i="4"/>
  <c r="M7" i="4"/>
  <c r="N7" i="4"/>
  <c r="M4" i="4"/>
  <c r="M8" i="4"/>
  <c r="N8" i="4"/>
  <c r="L6" i="4"/>
  <c r="L9" i="4"/>
  <c r="M6" i="4"/>
  <c r="M9" i="4"/>
  <c r="N9" i="4"/>
  <c r="N6" i="4"/>
  <c r="M10" i="4"/>
  <c r="L10" i="4"/>
  <c r="F45" i="3"/>
  <c r="F46" i="3"/>
  <c r="F47" i="3"/>
  <c r="F48" i="3"/>
  <c r="F49" i="3"/>
  <c r="D49" i="3"/>
  <c r="E49" i="3"/>
  <c r="C49" i="3"/>
  <c r="F44" i="3"/>
  <c r="D44" i="3"/>
  <c r="E44" i="3"/>
  <c r="C44" i="3"/>
  <c r="F35" i="3"/>
  <c r="F36" i="3"/>
  <c r="E37" i="3"/>
  <c r="F37" i="3"/>
  <c r="F38" i="3"/>
  <c r="D40" i="3"/>
  <c r="D48" i="3"/>
  <c r="E38" i="3"/>
  <c r="E45" i="3"/>
  <c r="E46" i="3"/>
  <c r="E40" i="3"/>
  <c r="E48" i="3"/>
  <c r="C40" i="3"/>
  <c r="C48" i="3"/>
  <c r="C46" i="3"/>
  <c r="D46" i="3"/>
  <c r="D45" i="3"/>
  <c r="D47" i="3"/>
  <c r="E47" i="3"/>
  <c r="C47" i="3"/>
  <c r="C45" i="3"/>
  <c r="D38" i="3"/>
  <c r="C38" i="3"/>
  <c r="D37" i="3"/>
  <c r="C37" i="3"/>
  <c r="E36" i="3"/>
  <c r="D36" i="3"/>
  <c r="C36" i="3"/>
  <c r="E35" i="3"/>
  <c r="D35" i="3"/>
  <c r="C35" i="3"/>
  <c r="E34" i="3"/>
  <c r="D34" i="3"/>
  <c r="C34" i="3"/>
  <c r="D23" i="3"/>
  <c r="C23" i="3"/>
  <c r="F34" i="3"/>
  <c r="F33" i="3"/>
  <c r="E33" i="3"/>
  <c r="D33" i="3"/>
  <c r="C33" i="3"/>
  <c r="D52" i="2"/>
  <c r="C52" i="2"/>
  <c r="D51" i="2"/>
  <c r="C51" i="2"/>
  <c r="C44" i="2"/>
  <c r="D50" i="2"/>
  <c r="C50" i="2"/>
  <c r="C43" i="2"/>
  <c r="E50" i="2"/>
  <c r="E51" i="2"/>
  <c r="E52" i="2"/>
  <c r="E53" i="2"/>
  <c r="E54" i="2"/>
  <c r="D53" i="2"/>
  <c r="D54" i="2"/>
  <c r="C53" i="2"/>
  <c r="C54" i="2"/>
  <c r="D45" i="2"/>
  <c r="C45" i="2"/>
  <c r="D44" i="2"/>
  <c r="C37" i="2"/>
  <c r="D43" i="2"/>
  <c r="C36" i="2"/>
  <c r="E43" i="2"/>
  <c r="E44" i="2"/>
  <c r="E45" i="2"/>
  <c r="E46" i="2"/>
  <c r="E47" i="2"/>
  <c r="D46" i="2"/>
  <c r="D47" i="2"/>
  <c r="C46" i="2"/>
  <c r="C47" i="2"/>
  <c r="D40" i="2"/>
  <c r="E40" i="2"/>
  <c r="C40" i="2"/>
  <c r="D39" i="2"/>
  <c r="E39" i="2"/>
  <c r="C39" i="2"/>
  <c r="E38" i="2"/>
  <c r="D38" i="2"/>
  <c r="C38" i="2"/>
  <c r="E37" i="2"/>
  <c r="D37" i="2"/>
  <c r="E36" i="2"/>
  <c r="D36" i="2"/>
  <c r="C29" i="2"/>
  <c r="D29" i="2"/>
  <c r="D28" i="2"/>
  <c r="C28" i="2"/>
  <c r="D30" i="2"/>
  <c r="C30" i="2"/>
  <c r="E30" i="2"/>
  <c r="E26" i="2"/>
  <c r="E27" i="2"/>
  <c r="E28" i="2"/>
  <c r="E29" i="2"/>
  <c r="E25" i="2"/>
  <c r="D27" i="2"/>
  <c r="D26" i="2"/>
  <c r="D25" i="2"/>
  <c r="C27" i="2"/>
  <c r="C26" i="2"/>
  <c r="C25" i="2"/>
  <c r="D21" i="2"/>
  <c r="C21" i="2"/>
  <c r="D19" i="2"/>
  <c r="C19" i="2"/>
  <c r="E19" i="2"/>
  <c r="C20" i="2"/>
  <c r="D20" i="2"/>
  <c r="E21" i="2"/>
  <c r="E15" i="2"/>
  <c r="D15" i="2"/>
  <c r="C15" i="2"/>
  <c r="D14" i="2"/>
  <c r="C14" i="2"/>
  <c r="E13" i="2"/>
  <c r="D13" i="2"/>
  <c r="C13" i="2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AA109" i="1"/>
  <c r="Z109" i="1"/>
  <c r="Y109" i="1"/>
  <c r="AB109" i="1"/>
  <c r="AB110" i="1"/>
  <c r="AB111" i="1"/>
  <c r="AB112" i="1"/>
  <c r="AB113" i="1"/>
  <c r="AB114" i="1"/>
  <c r="AA114" i="1"/>
  <c r="Z114" i="1"/>
  <c r="Y114" i="1"/>
  <c r="W89" i="1"/>
  <c r="Z104" i="1"/>
  <c r="AA104" i="1"/>
  <c r="AB104" i="1"/>
  <c r="Y104" i="1"/>
  <c r="Y100" i="1"/>
  <c r="Z100" i="1"/>
  <c r="AA100" i="1"/>
  <c r="AB100" i="1"/>
  <c r="Y101" i="1"/>
  <c r="Z101" i="1"/>
  <c r="AA101" i="1"/>
  <c r="AB101" i="1"/>
  <c r="Y102" i="1"/>
  <c r="Z102" i="1"/>
  <c r="AA102" i="1"/>
  <c r="AB102" i="1"/>
  <c r="Y103" i="1"/>
  <c r="Z103" i="1"/>
  <c r="AA103" i="1"/>
  <c r="AB103" i="1"/>
  <c r="AA99" i="1"/>
  <c r="Z99" i="1"/>
  <c r="AB99" i="1"/>
  <c r="Y99" i="1"/>
  <c r="Y93" i="1"/>
  <c r="Z93" i="1"/>
  <c r="AA93" i="1"/>
  <c r="Y94" i="1"/>
  <c r="Z94" i="1"/>
  <c r="AA94" i="1"/>
  <c r="Y95" i="1"/>
  <c r="Z95" i="1"/>
  <c r="AA95" i="1"/>
  <c r="Y96" i="1"/>
  <c r="Z96" i="1"/>
  <c r="AA96" i="1"/>
  <c r="AA92" i="1"/>
  <c r="Z92" i="1"/>
  <c r="Y92" i="1"/>
  <c r="AB78" i="1"/>
  <c r="Q70" i="1"/>
  <c r="AB77" i="1"/>
  <c r="Q69" i="1"/>
  <c r="Z74" i="1"/>
  <c r="AA74" i="1"/>
  <c r="Y74" i="1"/>
  <c r="Z72" i="1"/>
  <c r="AA72" i="1"/>
  <c r="Z73" i="1"/>
  <c r="AA73" i="1"/>
  <c r="Y73" i="1"/>
  <c r="N65" i="1"/>
  <c r="Y72" i="1"/>
  <c r="N64" i="1"/>
  <c r="Z71" i="1"/>
  <c r="AA71" i="1"/>
  <c r="Y71" i="1"/>
  <c r="N63" i="1"/>
  <c r="Z69" i="1"/>
  <c r="AA69" i="1"/>
  <c r="Y69" i="1"/>
  <c r="N61" i="1"/>
  <c r="Z62" i="1"/>
  <c r="AA62" i="1"/>
  <c r="Y62" i="1"/>
  <c r="Z59" i="1"/>
  <c r="AA59" i="1"/>
  <c r="Y59" i="1"/>
  <c r="Y75" i="1"/>
  <c r="Z75" i="1"/>
  <c r="AA75" i="1"/>
  <c r="AB75" i="1"/>
  <c r="AB79" i="1"/>
  <c r="AB74" i="1"/>
  <c r="AB73" i="1"/>
  <c r="AB72" i="1"/>
  <c r="AB71" i="1"/>
  <c r="AB69" i="1"/>
  <c r="AA60" i="1"/>
  <c r="AA61" i="1"/>
  <c r="AA63" i="1"/>
  <c r="AA64" i="1"/>
  <c r="Z60" i="1"/>
  <c r="Z61" i="1"/>
  <c r="Z63" i="1"/>
  <c r="Z64" i="1"/>
  <c r="Y60" i="1"/>
  <c r="Y61" i="1"/>
  <c r="Y63" i="1"/>
  <c r="Y64" i="1"/>
  <c r="AA54" i="1"/>
  <c r="Z54" i="1"/>
  <c r="Y54" i="1"/>
  <c r="Y45" i="1"/>
  <c r="Z45" i="1"/>
  <c r="AA45" i="1"/>
  <c r="Y46" i="1"/>
  <c r="Z46" i="1"/>
  <c r="AA46" i="1"/>
  <c r="Y47" i="1"/>
  <c r="Z47" i="1"/>
  <c r="AA47" i="1"/>
  <c r="Y48" i="1"/>
  <c r="Z48" i="1"/>
  <c r="AA48" i="1"/>
  <c r="Y49" i="1"/>
  <c r="Z49" i="1"/>
  <c r="AA49" i="1"/>
  <c r="Y50" i="1"/>
  <c r="Z50" i="1"/>
  <c r="AA50" i="1"/>
  <c r="Y51" i="1"/>
  <c r="Z51" i="1"/>
  <c r="AA51" i="1"/>
  <c r="Y52" i="1"/>
  <c r="Z52" i="1"/>
  <c r="AA52" i="1"/>
  <c r="Y53" i="1"/>
  <c r="Z53" i="1"/>
  <c r="AA53" i="1"/>
  <c r="AA44" i="1"/>
  <c r="Z44" i="1"/>
  <c r="Y44" i="1"/>
  <c r="AB4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Y39" i="1"/>
  <c r="Z39" i="1"/>
  <c r="AA39" i="1"/>
  <c r="AB39" i="1"/>
  <c r="AB30" i="1"/>
  <c r="AA30" i="1"/>
  <c r="Z30" i="1"/>
  <c r="Y30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AA17" i="1"/>
  <c r="Z17" i="1"/>
  <c r="Y17" i="1"/>
  <c r="O66" i="1"/>
  <c r="P66" i="1"/>
  <c r="N66" i="1"/>
  <c r="O63" i="1"/>
  <c r="P63" i="1"/>
  <c r="O64" i="1"/>
  <c r="P64" i="1"/>
  <c r="O65" i="1"/>
  <c r="P65" i="1"/>
  <c r="O61" i="1"/>
  <c r="P61" i="1"/>
  <c r="N67" i="1"/>
  <c r="O67" i="1"/>
  <c r="P67" i="1"/>
  <c r="Q67" i="1"/>
  <c r="Q71" i="1"/>
  <c r="Q66" i="1"/>
  <c r="Q65" i="1"/>
  <c r="Q64" i="1"/>
  <c r="Q63" i="1"/>
  <c r="Q61" i="1"/>
  <c r="P56" i="1"/>
  <c r="O56" i="1"/>
  <c r="N56" i="1"/>
  <c r="P55" i="1"/>
  <c r="O55" i="1"/>
  <c r="N55" i="1"/>
  <c r="O54" i="1"/>
  <c r="P54" i="1"/>
  <c r="N54" i="1"/>
  <c r="P53" i="1"/>
  <c r="O53" i="1"/>
  <c r="N53" i="1"/>
  <c r="O52" i="1"/>
  <c r="P52" i="1"/>
  <c r="N52" i="1"/>
  <c r="O51" i="1"/>
  <c r="P51" i="1"/>
  <c r="N51" i="1"/>
  <c r="P46" i="1"/>
  <c r="O46" i="1"/>
  <c r="N46" i="1"/>
  <c r="O45" i="1"/>
  <c r="P45" i="1"/>
  <c r="N45" i="1"/>
  <c r="O44" i="1"/>
  <c r="P44" i="1"/>
  <c r="N44" i="1"/>
  <c r="P40" i="1"/>
  <c r="P39" i="1"/>
  <c r="O41" i="1"/>
  <c r="N41" i="1"/>
  <c r="O39" i="1"/>
  <c r="N39" i="1"/>
  <c r="O40" i="1"/>
  <c r="N40" i="1"/>
  <c r="Q34" i="1"/>
  <c r="O34" i="1"/>
  <c r="P34" i="1"/>
  <c r="N34" i="1"/>
  <c r="Q33" i="1"/>
  <c r="O33" i="1"/>
  <c r="P33" i="1"/>
  <c r="N33" i="1"/>
  <c r="N21" i="1"/>
  <c r="O21" i="1"/>
  <c r="P21" i="1"/>
  <c r="Q21" i="1"/>
  <c r="R21" i="1"/>
  <c r="S21" i="1"/>
  <c r="S22" i="1"/>
  <c r="O22" i="1"/>
  <c r="O23" i="1"/>
  <c r="P23" i="1"/>
  <c r="Q23" i="1"/>
  <c r="R23" i="1"/>
  <c r="S23" i="1"/>
  <c r="S24" i="1"/>
  <c r="P22" i="1"/>
  <c r="P24" i="1"/>
  <c r="P25" i="1"/>
  <c r="Q25" i="1"/>
  <c r="R25" i="1"/>
  <c r="S25" i="1"/>
  <c r="S26" i="1"/>
  <c r="R22" i="1"/>
  <c r="R24" i="1"/>
  <c r="R26" i="1"/>
  <c r="Q22" i="1"/>
  <c r="Q24" i="1"/>
  <c r="Q26" i="1"/>
  <c r="P26" i="1"/>
  <c r="O24" i="1"/>
  <c r="N22" i="1"/>
  <c r="I16" i="1"/>
  <c r="I13" i="1"/>
  <c r="I4" i="1"/>
  <c r="H4" i="1"/>
  <c r="J4" i="1"/>
  <c r="K4" i="1"/>
  <c r="I5" i="1"/>
  <c r="I7" i="1"/>
  <c r="I14" i="1"/>
  <c r="I15" i="1"/>
  <c r="I17" i="1"/>
  <c r="I18" i="1"/>
  <c r="J16" i="1"/>
  <c r="J13" i="1"/>
  <c r="J5" i="1"/>
  <c r="J7" i="1"/>
  <c r="J14" i="1"/>
  <c r="J15" i="1"/>
  <c r="J17" i="1"/>
  <c r="J18" i="1"/>
  <c r="H16" i="1"/>
  <c r="H13" i="1"/>
  <c r="H5" i="1"/>
  <c r="H7" i="1"/>
  <c r="H14" i="1"/>
  <c r="H15" i="1"/>
  <c r="H17" i="1"/>
  <c r="H18" i="1"/>
  <c r="H24" i="1"/>
  <c r="H26" i="1"/>
  <c r="H27" i="1"/>
  <c r="H28" i="1"/>
  <c r="H29" i="1"/>
  <c r="H30" i="1"/>
  <c r="I24" i="1"/>
  <c r="I26" i="1"/>
  <c r="I27" i="1"/>
  <c r="I28" i="1"/>
  <c r="I29" i="1"/>
  <c r="I30" i="1"/>
  <c r="J24" i="1"/>
  <c r="J26" i="1"/>
  <c r="J27" i="1"/>
  <c r="J28" i="1"/>
  <c r="J29" i="1"/>
  <c r="J30" i="1"/>
  <c r="K30" i="1"/>
  <c r="K32" i="1"/>
  <c r="K33" i="1"/>
  <c r="K34" i="1"/>
  <c r="K27" i="1"/>
  <c r="K28" i="1"/>
  <c r="K29" i="1"/>
  <c r="K26" i="1"/>
  <c r="K24" i="1"/>
  <c r="K7" i="1"/>
</calcChain>
</file>

<file path=xl/sharedStrings.xml><?xml version="1.0" encoding="utf-8"?>
<sst xmlns="http://schemas.openxmlformats.org/spreadsheetml/2006/main" count="787" uniqueCount="268">
  <si>
    <t>Camisetas</t>
  </si>
  <si>
    <t>Vestidos</t>
  </si>
  <si>
    <t>Calças</t>
  </si>
  <si>
    <t>Preço de Venda</t>
  </si>
  <si>
    <t>Volume de Produção</t>
  </si>
  <si>
    <t>Corte/Costura</t>
  </si>
  <si>
    <t>Acabamento</t>
  </si>
  <si>
    <t>Tecido</t>
  </si>
  <si>
    <t>Aviamentos</t>
  </si>
  <si>
    <t>MOD</t>
  </si>
  <si>
    <t>Custos Indiretos de Produção</t>
  </si>
  <si>
    <t xml:space="preserve"> Aluguel </t>
  </si>
  <si>
    <t xml:space="preserve"> EE </t>
  </si>
  <si>
    <t xml:space="preserve"> Sal. Supervisão </t>
  </si>
  <si>
    <t xml:space="preserve"> MOI </t>
  </si>
  <si>
    <t xml:space="preserve"> Depreciação </t>
  </si>
  <si>
    <t xml:space="preserve"> Materiais </t>
  </si>
  <si>
    <t xml:space="preserve"> Seguros </t>
  </si>
  <si>
    <t>Despesas Fixas</t>
  </si>
  <si>
    <t xml:space="preserve"> Adm. </t>
  </si>
  <si>
    <t xml:space="preserve"> Vendas </t>
  </si>
  <si>
    <t xml:space="preserve"> Comissões (5%) </t>
  </si>
  <si>
    <t xml:space="preserve"> Total </t>
  </si>
  <si>
    <t>Custo MOD</t>
  </si>
  <si>
    <t>TOTAL</t>
  </si>
  <si>
    <t>Proporção</t>
  </si>
  <si>
    <t>Rateio CIP</t>
  </si>
  <si>
    <t xml:space="preserve"> Quadro Resumo </t>
  </si>
  <si>
    <t xml:space="preserve"> Camisetas </t>
  </si>
  <si>
    <t xml:space="preserve"> Vestidos </t>
  </si>
  <si>
    <t xml:space="preserve"> Calças </t>
  </si>
  <si>
    <t xml:space="preserve"> Custo Direto</t>
  </si>
  <si>
    <t xml:space="preserve"> Custo Indireto</t>
  </si>
  <si>
    <t xml:space="preserve"> Custo Unitário </t>
  </si>
  <si>
    <t xml:space="preserve"> Preço de Venda </t>
  </si>
  <si>
    <t xml:space="preserve"> Lucro Bruto Unitário </t>
  </si>
  <si>
    <t xml:space="preserve"> Margem Bruta </t>
  </si>
  <si>
    <t xml:space="preserve"> Ranking </t>
  </si>
  <si>
    <t xml:space="preserve"> DRE </t>
  </si>
  <si>
    <t>Total</t>
  </si>
  <si>
    <t xml:space="preserve"> (-)CPV </t>
  </si>
  <si>
    <t xml:space="preserve">    Tecido </t>
  </si>
  <si>
    <t xml:space="preserve">    Aviamentos </t>
  </si>
  <si>
    <t xml:space="preserve">    MOD </t>
  </si>
  <si>
    <t xml:space="preserve">    Indiretos </t>
  </si>
  <si>
    <t xml:space="preserve"> Lucro Bruto </t>
  </si>
  <si>
    <t xml:space="preserve"> (-) Despesas </t>
  </si>
  <si>
    <t xml:space="preserve">    Adm. </t>
  </si>
  <si>
    <t xml:space="preserve">    Vendas </t>
  </si>
  <si>
    <t xml:space="preserve"> LAIR </t>
  </si>
  <si>
    <t>Compras</t>
  </si>
  <si>
    <t>Solicitação de Compra</t>
  </si>
  <si>
    <t>Almoxarifado</t>
  </si>
  <si>
    <t>Requisições</t>
  </si>
  <si>
    <t>Adm. Prod.</t>
  </si>
  <si>
    <t>Tempo</t>
  </si>
  <si>
    <t>C/C</t>
  </si>
  <si>
    <t xml:space="preserve"> Suporte </t>
  </si>
  <si>
    <t xml:space="preserve"> Produção </t>
  </si>
  <si>
    <t xml:space="preserve"> CIP </t>
  </si>
  <si>
    <t>Almox.</t>
  </si>
  <si>
    <t>Adm.Prod</t>
  </si>
  <si>
    <t>Acab.</t>
  </si>
  <si>
    <t xml:space="preserve">Aluguel </t>
  </si>
  <si>
    <t xml:space="preserve"> Salários Supervisão </t>
  </si>
  <si>
    <t xml:space="preserve"> Subtotal 1 </t>
  </si>
  <si>
    <t xml:space="preserve"> Rateio Compras </t>
  </si>
  <si>
    <t xml:space="preserve"> Subtotal 2 </t>
  </si>
  <si>
    <t xml:space="preserve"> Rateio Almoxarifado </t>
  </si>
  <si>
    <t xml:space="preserve"> Subtotal 3 </t>
  </si>
  <si>
    <t xml:space="preserve"> Rateio Adm. Produção </t>
  </si>
  <si>
    <t xml:space="preserve"> Total Deptos. Produção </t>
  </si>
  <si>
    <t xml:space="preserve"> Nº Horas Produtivas </t>
  </si>
  <si>
    <t xml:space="preserve"> CIP/hr </t>
  </si>
  <si>
    <t xml:space="preserve"> Tempo Produção Deptos</t>
  </si>
  <si>
    <t>Tempo Total</t>
  </si>
  <si>
    <t xml:space="preserve"> Corte/Costura </t>
  </si>
  <si>
    <t xml:space="preserve"> Acabamento </t>
  </si>
  <si>
    <t xml:space="preserve"> Total Deptos. Producao </t>
  </si>
  <si>
    <t xml:space="preserve"> CIP ($/hr) </t>
  </si>
  <si>
    <t xml:space="preserve"> CIP unitário</t>
  </si>
  <si>
    <t>Departamento</t>
  </si>
  <si>
    <t>Atividades</t>
  </si>
  <si>
    <t>Custos</t>
  </si>
  <si>
    <t>Drivers</t>
  </si>
  <si>
    <t xml:space="preserve">Comprar Materiais  </t>
  </si>
  <si>
    <t xml:space="preserve">  nº de pedidos  </t>
  </si>
  <si>
    <t xml:space="preserve">Desenvolver Fornecedores  </t>
  </si>
  <si>
    <t xml:space="preserve">  nº de fornecedores  </t>
  </si>
  <si>
    <t xml:space="preserve">Receber Materiais  </t>
  </si>
  <si>
    <t xml:space="preserve">  nº de recebimentos  </t>
  </si>
  <si>
    <t xml:space="preserve">Movimentar Materiais  </t>
  </si>
  <si>
    <t xml:space="preserve">  nº de requisições  </t>
  </si>
  <si>
    <t>Adm. Produção</t>
  </si>
  <si>
    <t xml:space="preserve">Programar Produção  </t>
  </si>
  <si>
    <t xml:space="preserve">  nº de produtos  </t>
  </si>
  <si>
    <t xml:space="preserve">Controlar Produção  </t>
  </si>
  <si>
    <t xml:space="preserve">  nº de lotes  </t>
  </si>
  <si>
    <t xml:space="preserve">Cortar  </t>
  </si>
  <si>
    <t xml:space="preserve">  tempo de corte  </t>
  </si>
  <si>
    <t xml:space="preserve">Costurar  </t>
  </si>
  <si>
    <t xml:space="preserve">  tempo de costura  </t>
  </si>
  <si>
    <t xml:space="preserve">Acabar  </t>
  </si>
  <si>
    <t xml:space="preserve">  tempo de acabamento  </t>
  </si>
  <si>
    <t xml:space="preserve">Despachar Produtos  </t>
  </si>
  <si>
    <t xml:space="preserve">  tempo de despacho  </t>
  </si>
  <si>
    <t xml:space="preserve">CIP Total </t>
  </si>
  <si>
    <t xml:space="preserve"> Atividades </t>
  </si>
  <si>
    <t xml:space="preserve"> Custo</t>
  </si>
  <si>
    <t xml:space="preserve"> Administração </t>
  </si>
  <si>
    <t xml:space="preserve"> Efetuar Registros Fiscais </t>
  </si>
  <si>
    <t xml:space="preserve"> Pagar Fornecedores </t>
  </si>
  <si>
    <t xml:space="preserve"> Receber Faturas </t>
  </si>
  <si>
    <t xml:space="preserve"> Visitar Clientes </t>
  </si>
  <si>
    <t xml:space="preserve"> Emitir Pedidos </t>
  </si>
  <si>
    <t xml:space="preserve"> Departamento</t>
  </si>
  <si>
    <t xml:space="preserve"> Drivers </t>
  </si>
  <si>
    <t xml:space="preserve"> nº registros entrada/saída </t>
  </si>
  <si>
    <t xml:space="preserve"> nº de cheques emitidos </t>
  </si>
  <si>
    <t xml:space="preserve"> nº de faturas emitidas </t>
  </si>
  <si>
    <t xml:space="preserve"> nº de visitas </t>
  </si>
  <si>
    <t xml:space="preserve"> nº de pedidos de venda </t>
  </si>
  <si>
    <t xml:space="preserve"> A </t>
  </si>
  <si>
    <t xml:space="preserve"> B </t>
  </si>
  <si>
    <t xml:space="preserve"> PV </t>
  </si>
  <si>
    <t xml:space="preserve"> Volume </t>
  </si>
  <si>
    <t xml:space="preserve"> Material Direto </t>
  </si>
  <si>
    <t xml:space="preserve"> MOD </t>
  </si>
  <si>
    <t xml:space="preserve"> $ </t>
  </si>
  <si>
    <t xml:space="preserve"> Inspecionar material </t>
  </si>
  <si>
    <t xml:space="preserve"> Armazenar material </t>
  </si>
  <si>
    <t xml:space="preserve"> Controlar estoques </t>
  </si>
  <si>
    <t xml:space="preserve"> Processar produtos (máquinas) </t>
  </si>
  <si>
    <t xml:space="preserve"> Controlar processos (engenharia) </t>
  </si>
  <si>
    <t xml:space="preserve"> Nº de lotes inspecionados e armazenados </t>
  </si>
  <si>
    <t xml:space="preserve"> Nº de H-MAQ de processamento de produtos </t>
  </si>
  <si>
    <t xml:space="preserve"> Dedicação de tempo de engenheiros </t>
  </si>
  <si>
    <t>CIP</t>
  </si>
  <si>
    <t>Custo MD</t>
  </si>
  <si>
    <t xml:space="preserve"> Receita Líquida </t>
  </si>
  <si>
    <t xml:space="preserve"> (-) CD </t>
  </si>
  <si>
    <t xml:space="preserve"> (-) CIP </t>
  </si>
  <si>
    <t>Custos Indiretos</t>
  </si>
  <si>
    <t xml:space="preserve"> Salários e encargos sociais </t>
  </si>
  <si>
    <t xml:space="preserve"> Depreciação de equipamentos </t>
  </si>
  <si>
    <t xml:space="preserve"> Viagens e estadias </t>
  </si>
  <si>
    <t xml:space="preserve"> Outros*</t>
  </si>
  <si>
    <t xml:space="preserve"> Cargo </t>
  </si>
  <si>
    <t xml:space="preserve"> Tempo Disponível (h) </t>
  </si>
  <si>
    <t xml:space="preserve"> Salário ($) </t>
  </si>
  <si>
    <t xml:space="preserve"> 1 Gerente </t>
  </si>
  <si>
    <t xml:space="preserve"> 1 Secretária*</t>
  </si>
  <si>
    <t xml:space="preserve"> 3 Engenheiros </t>
  </si>
  <si>
    <t xml:space="preserve"> 2 Estagiários </t>
  </si>
  <si>
    <t xml:space="preserve"> Projetar novos produtos </t>
  </si>
  <si>
    <t xml:space="preserve"> Elaborar fichas técnicas </t>
  </si>
  <si>
    <t xml:space="preserve"> Treinar funcionários </t>
  </si>
  <si>
    <t xml:space="preserve"> Gerente </t>
  </si>
  <si>
    <t xml:space="preserve"> Secretária </t>
  </si>
  <si>
    <t xml:space="preserve"> Engenheiros </t>
  </si>
  <si>
    <t xml:space="preserve"> Estagiários </t>
  </si>
  <si>
    <t xml:space="preserve"> Recurso</t>
  </si>
  <si>
    <t xml:space="preserve"> Viagens </t>
  </si>
  <si>
    <t>Secretária &gt;&gt;&gt; Gerente</t>
  </si>
  <si>
    <t>Distribuição Secretária</t>
  </si>
  <si>
    <t>Gerentes</t>
  </si>
  <si>
    <t>Engenheiros</t>
  </si>
  <si>
    <t>Secretária &gt;&gt;&gt; Engenheiros</t>
  </si>
  <si>
    <t>Estagiários</t>
  </si>
  <si>
    <t>Total de Pessoal</t>
  </si>
  <si>
    <t>Pessoal</t>
  </si>
  <si>
    <t xml:space="preserve"> Liquidificadores</t>
  </si>
  <si>
    <t>Mixers</t>
  </si>
  <si>
    <t xml:space="preserve"> Materiais Diretos </t>
  </si>
  <si>
    <t xml:space="preserve"> Custos Fixos </t>
  </si>
  <si>
    <t xml:space="preserve"> Despesas Fixas </t>
  </si>
  <si>
    <t xml:space="preserve"> Emitir faturas </t>
  </si>
  <si>
    <t xml:space="preserve"> Receber duplicatas </t>
  </si>
  <si>
    <t xml:space="preserve"> Despachar produtos </t>
  </si>
  <si>
    <t xml:space="preserve"> Pagar fornecedores </t>
  </si>
  <si>
    <t>Direcionador</t>
  </si>
  <si>
    <t>MD</t>
  </si>
  <si>
    <t>Custo Total</t>
  </si>
  <si>
    <t>Custo Unitário</t>
  </si>
  <si>
    <t>Número de lotes inspecionados</t>
  </si>
  <si>
    <t>Número de lotes armazenados</t>
  </si>
  <si>
    <t>Número de faturas emitidas</t>
  </si>
  <si>
    <t>Número de duplicatas recebidas</t>
  </si>
  <si>
    <t>Número de embarques</t>
  </si>
  <si>
    <t>Número de cheques emitidos</t>
  </si>
  <si>
    <t>Número de horas-máquina por unidade</t>
  </si>
  <si>
    <t>Tempo dedicado pelos engenheiros</t>
  </si>
  <si>
    <t>-</t>
  </si>
  <si>
    <t xml:space="preserve"> (-) Overheads Produção </t>
  </si>
  <si>
    <t xml:space="preserve"> (-) Overheads Administrativos </t>
  </si>
  <si>
    <t>Total Overhead Produção</t>
  </si>
  <si>
    <t>Total Overhead Adm/Com</t>
  </si>
  <si>
    <t>Volume</t>
  </si>
  <si>
    <t>S1</t>
  </si>
  <si>
    <t>S2</t>
  </si>
  <si>
    <t>S3</t>
  </si>
  <si>
    <t>Quantidade</t>
  </si>
  <si>
    <t>Planejar operações</t>
  </si>
  <si>
    <t>Tempo, em partes iguais</t>
  </si>
  <si>
    <t>Supervisionar operações</t>
  </si>
  <si>
    <t>Receber materiais</t>
  </si>
  <si>
    <t>Nº de recebimentos</t>
  </si>
  <si>
    <t>Estocar materiais</t>
  </si>
  <si>
    <t>Nº de lotes estocados</t>
  </si>
  <si>
    <t>Requisitar materiais</t>
  </si>
  <si>
    <t>Nº de requisições</t>
  </si>
  <si>
    <t>Comprar materiais</t>
  </si>
  <si>
    <t>Nº de pedidos</t>
  </si>
  <si>
    <t>Desenvolver fornecedores</t>
  </si>
  <si>
    <t>Nº de fornecedores</t>
  </si>
  <si>
    <t>Testar materiais</t>
  </si>
  <si>
    <t>Inspecionar execução dos serviços</t>
  </si>
  <si>
    <t>Quantidade de testes</t>
  </si>
  <si>
    <t>Quantidade de verificações</t>
  </si>
  <si>
    <t>Efetuar registros fiscais</t>
  </si>
  <si>
    <t>Pagar fornecedores</t>
  </si>
  <si>
    <t>Outras</t>
  </si>
  <si>
    <t>Quantidade de recebimentos de materiais</t>
  </si>
  <si>
    <t>Quantidade de pagamentos</t>
  </si>
  <si>
    <t>Emitir pedidos</t>
  </si>
  <si>
    <t>Emitir boletos bancários</t>
  </si>
  <si>
    <t>Volume (quantidade)</t>
  </si>
  <si>
    <t>PF</t>
  </si>
  <si>
    <t>PJ</t>
  </si>
  <si>
    <t>CD</t>
  </si>
  <si>
    <t>Lucro Bruto</t>
  </si>
  <si>
    <t>EBIT</t>
  </si>
  <si>
    <t>Serviços</t>
  </si>
  <si>
    <t>Preço de venda bruto</t>
  </si>
  <si>
    <t>(por un.)</t>
  </si>
  <si>
    <t>(un.)</t>
  </si>
  <si>
    <t>Material</t>
  </si>
  <si>
    <t>($)</t>
  </si>
  <si>
    <t>Drivers de Custos</t>
  </si>
  <si>
    <t>Categoria de Clientes</t>
  </si>
  <si>
    <t xml:space="preserve"> Pessoa Física </t>
  </si>
  <si>
    <t xml:space="preserve"> Pessoa Jurídica </t>
  </si>
  <si>
    <t>Atividades Logistica Interna</t>
  </si>
  <si>
    <t>Drivers de Custos Logistica Interna</t>
  </si>
  <si>
    <t>Atividades Ctrl Qualidade</t>
  </si>
  <si>
    <t>Drivers de Custos  Ctrl Qualidade</t>
  </si>
  <si>
    <t>Atividades - adm</t>
  </si>
  <si>
    <t>Drivers de Custos adm</t>
  </si>
  <si>
    <t>Receita</t>
  </si>
  <si>
    <t>Imposto s/ Venda</t>
  </si>
  <si>
    <t>Receita Liquida</t>
  </si>
  <si>
    <t>$</t>
  </si>
  <si>
    <t>Custos diretos</t>
  </si>
  <si>
    <t>Rateio Volume Produção</t>
  </si>
  <si>
    <t>Proporção Volume Produção</t>
  </si>
  <si>
    <t>CIP total</t>
  </si>
  <si>
    <t>Proporção Receita Bruta</t>
  </si>
  <si>
    <t>Rateio Receita Bruta</t>
  </si>
  <si>
    <t>Custo Atividade</t>
  </si>
  <si>
    <t>Custos Atividades</t>
  </si>
  <si>
    <t>.</t>
  </si>
  <si>
    <t>Despesas</t>
  </si>
  <si>
    <t>Despesas Adm./Com.</t>
  </si>
  <si>
    <t>Overhead Adm Alocado</t>
  </si>
  <si>
    <t>Overhead Adm Não Alocado</t>
  </si>
  <si>
    <t>Overhead Com.</t>
  </si>
  <si>
    <t>Distribuição Receita</t>
  </si>
  <si>
    <t>Overhead Adm./Com.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</si>
</sst>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rgb="FF000000"/>
      <name val="Tw Cen MT"/>
      <family val="2"/>
    </font>
    <font>
      <b/>
      <sz val="12"/>
      <color rgb="FF000000"/>
      <name val="Tw Cen MT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FFFFFF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Dashed">
        <color rgb="FF000000"/>
      </bottom>
      <diagonal/>
    </border>
    <border>
      <left style="medium">
        <color rgb="FF000000"/>
      </left>
      <right style="medium">
        <color rgb="FF000000"/>
      </right>
      <top style="mediumDashed">
        <color rgb="FF000000"/>
      </top>
      <bottom style="mediumDashed">
        <color rgb="FF000000"/>
      </bottom>
      <diagonal/>
    </border>
    <border>
      <left style="medium">
        <color rgb="FF000000"/>
      </left>
      <right style="medium">
        <color rgb="FF000000"/>
      </right>
      <top style="mediumDashed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7" fillId="0" borderId="1" xfId="0" applyFont="1" applyBorder="1" applyAlignment="1">
      <alignment horizontal="center" wrapText="1" readingOrder="1"/>
    </xf>
    <xf numFmtId="0" fontId="7" fillId="0" borderId="2" xfId="0" applyFont="1" applyBorder="1" applyAlignment="1">
      <alignment horizontal="center" wrapText="1" readingOrder="1"/>
    </xf>
    <xf numFmtId="0" fontId="7" fillId="0" borderId="4" xfId="0" applyFont="1" applyBorder="1" applyAlignment="1">
      <alignment horizontal="center" wrapText="1" readingOrder="1"/>
    </xf>
    <xf numFmtId="43" fontId="8" fillId="0" borderId="4" xfId="1" applyFont="1" applyBorder="1" applyAlignment="1">
      <alignment wrapText="1" readingOrder="1"/>
    </xf>
    <xf numFmtId="43" fontId="0" fillId="0" borderId="0" xfId="1" applyFont="1"/>
    <xf numFmtId="43" fontId="8" fillId="0" borderId="1" xfId="1" applyFont="1" applyBorder="1" applyAlignment="1">
      <alignment horizontal="center" wrapText="1" readingOrder="1"/>
    </xf>
    <xf numFmtId="164" fontId="8" fillId="0" borderId="2" xfId="1" applyNumberFormat="1" applyFont="1" applyBorder="1" applyAlignment="1">
      <alignment wrapText="1" readingOrder="1"/>
    </xf>
    <xf numFmtId="0" fontId="8" fillId="2" borderId="8" xfId="0" applyFont="1" applyFill="1" applyBorder="1" applyAlignment="1">
      <alignment horizontal="left" vertical="center" wrapText="1" readingOrder="1"/>
    </xf>
    <xf numFmtId="4" fontId="8" fillId="2" borderId="9" xfId="0" applyNumberFormat="1" applyFont="1" applyFill="1" applyBorder="1" applyAlignment="1">
      <alignment horizontal="right" vertical="center" wrapText="1" readingOrder="1"/>
    </xf>
    <xf numFmtId="0" fontId="8" fillId="2" borderId="8" xfId="0" applyFont="1" applyFill="1" applyBorder="1" applyAlignment="1">
      <alignment horizontal="left" wrapText="1" readingOrder="1"/>
    </xf>
    <xf numFmtId="0" fontId="8" fillId="2" borderId="9" xfId="0" applyFont="1" applyFill="1" applyBorder="1" applyAlignment="1">
      <alignment horizontal="left" wrapText="1" readingOrder="1"/>
    </xf>
    <xf numFmtId="0" fontId="8" fillId="2" borderId="11" xfId="0" applyFont="1" applyFill="1" applyBorder="1" applyAlignment="1">
      <alignment horizontal="left" vertical="center" wrapText="1" readingOrder="1"/>
    </xf>
    <xf numFmtId="4" fontId="8" fillId="2" borderId="12" xfId="0" applyNumberFormat="1" applyFont="1" applyFill="1" applyBorder="1" applyAlignment="1">
      <alignment horizontal="right" vertical="center" wrapText="1" readingOrder="1"/>
    </xf>
    <xf numFmtId="0" fontId="7" fillId="0" borderId="1" xfId="0" applyFont="1" applyBorder="1" applyAlignment="1">
      <alignment horizontal="center" readingOrder="1"/>
    </xf>
    <xf numFmtId="43" fontId="0" fillId="0" borderId="0" xfId="0" applyNumberFormat="1" applyFont="1"/>
    <xf numFmtId="0" fontId="8" fillId="0" borderId="1" xfId="0" applyFont="1" applyBorder="1" applyAlignment="1">
      <alignment horizontal="left" wrapText="1" readingOrder="1"/>
    </xf>
    <xf numFmtId="0" fontId="8" fillId="0" borderId="1" xfId="0" applyFont="1" applyBorder="1" applyAlignment="1">
      <alignment horizontal="left" readingOrder="1"/>
    </xf>
    <xf numFmtId="0" fontId="7" fillId="0" borderId="13" xfId="0" applyFont="1" applyBorder="1" applyAlignment="1">
      <alignment horizontal="center" readingOrder="1"/>
    </xf>
    <xf numFmtId="0" fontId="8" fillId="0" borderId="3" xfId="0" applyFont="1" applyBorder="1" applyAlignment="1">
      <alignment horizontal="left" readingOrder="1"/>
    </xf>
    <xf numFmtId="0" fontId="7" fillId="0" borderId="3" xfId="0" applyFont="1" applyBorder="1" applyAlignment="1">
      <alignment horizontal="center" readingOrder="1"/>
    </xf>
    <xf numFmtId="0" fontId="7" fillId="0" borderId="1" xfId="0" applyFont="1" applyBorder="1" applyAlignment="1">
      <alignment horizontal="left" readingOrder="1"/>
    </xf>
    <xf numFmtId="0" fontId="8" fillId="0" borderId="2" xfId="0" applyFont="1" applyBorder="1" applyAlignment="1">
      <alignment horizontal="left" wrapText="1" readingOrder="1"/>
    </xf>
    <xf numFmtId="0" fontId="8" fillId="0" borderId="17" xfId="0" applyFont="1" applyBorder="1" applyAlignment="1">
      <alignment horizontal="left" wrapText="1" readingOrder="1"/>
    </xf>
    <xf numFmtId="0" fontId="8" fillId="0" borderId="3" xfId="0" applyFont="1" applyBorder="1" applyAlignment="1">
      <alignment horizontal="left" wrapText="1" readingOrder="1"/>
    </xf>
    <xf numFmtId="0" fontId="9" fillId="0" borderId="1" xfId="0" applyFont="1" applyBorder="1" applyAlignment="1">
      <alignment horizontal="center" wrapText="1" readingOrder="1"/>
    </xf>
    <xf numFmtId="43" fontId="10" fillId="0" borderId="1" xfId="1" applyFont="1" applyBorder="1" applyAlignment="1">
      <alignment horizontal="center" wrapText="1" readingOrder="1"/>
    </xf>
    <xf numFmtId="0" fontId="10" fillId="0" borderId="1" xfId="0" applyFont="1" applyBorder="1" applyAlignment="1">
      <alignment horizontal="left" wrapText="1" readingOrder="1"/>
    </xf>
    <xf numFmtId="164" fontId="10" fillId="0" borderId="1" xfId="1" applyNumberFormat="1" applyFont="1" applyBorder="1" applyAlignment="1">
      <alignment horizontal="center" wrapText="1" readingOrder="1"/>
    </xf>
    <xf numFmtId="0" fontId="7" fillId="0" borderId="1" xfId="0" applyFont="1" applyBorder="1" applyAlignment="1">
      <alignment horizontal="left" wrapText="1" readingOrder="1"/>
    </xf>
    <xf numFmtId="0" fontId="11" fillId="0" borderId="13" xfId="0" applyFont="1" applyBorder="1" applyAlignment="1">
      <alignment horizontal="left" wrapText="1" readingOrder="1"/>
    </xf>
    <xf numFmtId="43" fontId="0" fillId="0" borderId="16" xfId="0" applyNumberFormat="1" applyFont="1" applyBorder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12" fillId="0" borderId="0" xfId="0" applyFont="1" applyAlignment="1"/>
    <xf numFmtId="0" fontId="8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43" fontId="12" fillId="0" borderId="0" xfId="0" applyNumberFormat="1" applyFont="1"/>
    <xf numFmtId="0" fontId="8" fillId="0" borderId="22" xfId="0" applyFont="1" applyBorder="1" applyAlignment="1">
      <alignment vertical="center"/>
    </xf>
    <xf numFmtId="10" fontId="8" fillId="0" borderId="23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0" borderId="24" xfId="0" applyFont="1" applyBorder="1"/>
    <xf numFmtId="9" fontId="12" fillId="0" borderId="0" xfId="2" applyFont="1"/>
    <xf numFmtId="43" fontId="12" fillId="0" borderId="0" xfId="1" applyFont="1"/>
    <xf numFmtId="0" fontId="7" fillId="0" borderId="25" xfId="0" applyFont="1" applyBorder="1" applyAlignment="1">
      <alignment horizontal="center" vertical="center" wrapText="1" readingOrder="1"/>
    </xf>
    <xf numFmtId="43" fontId="13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 readingOrder="1"/>
    </xf>
    <xf numFmtId="43" fontId="8" fillId="0" borderId="5" xfId="1" applyFont="1" applyBorder="1" applyAlignment="1">
      <alignment horizontal="center" vertical="center" wrapText="1" readingOrder="1"/>
    </xf>
    <xf numFmtId="43" fontId="13" fillId="0" borderId="1" xfId="1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 readingOrder="1"/>
    </xf>
    <xf numFmtId="43" fontId="8" fillId="0" borderId="10" xfId="1" applyFont="1" applyBorder="1" applyAlignment="1">
      <alignment horizontal="center" vertical="center" wrapText="1" readingOrder="1"/>
    </xf>
    <xf numFmtId="43" fontId="14" fillId="0" borderId="1" xfId="0" applyNumberFormat="1" applyFont="1" applyBorder="1" applyAlignment="1">
      <alignment horizontal="center"/>
    </xf>
    <xf numFmtId="165" fontId="13" fillId="0" borderId="1" xfId="2" applyNumberFormat="1" applyFont="1" applyBorder="1" applyAlignment="1"/>
    <xf numFmtId="0" fontId="8" fillId="0" borderId="30" xfId="0" applyFont="1" applyBorder="1" applyAlignment="1">
      <alignment horizontal="left" vertical="center" wrapText="1" readingOrder="1"/>
    </xf>
    <xf numFmtId="43" fontId="8" fillId="0" borderId="30" xfId="1" applyFont="1" applyBorder="1" applyAlignment="1">
      <alignment horizontal="center" vertical="center" wrapText="1" readingOrder="1"/>
    </xf>
    <xf numFmtId="0" fontId="7" fillId="0" borderId="31" xfId="0" applyFont="1" applyBorder="1" applyAlignment="1">
      <alignment horizontal="left" vertical="center" wrapText="1" readingOrder="1"/>
    </xf>
    <xf numFmtId="43" fontId="7" fillId="0" borderId="31" xfId="1" applyFont="1" applyBorder="1" applyAlignment="1">
      <alignment horizontal="center" vertical="center" wrapText="1" readingOrder="1"/>
    </xf>
    <xf numFmtId="0" fontId="8" fillId="0" borderId="31" xfId="0" applyFont="1" applyBorder="1" applyAlignment="1">
      <alignment horizontal="left" vertical="center" wrapText="1" readingOrder="1"/>
    </xf>
    <xf numFmtId="43" fontId="13" fillId="0" borderId="31" xfId="1" applyFont="1" applyBorder="1" applyAlignment="1">
      <alignment horizontal="center" vertical="center" wrapText="1"/>
    </xf>
    <xf numFmtId="43" fontId="13" fillId="0" borderId="31" xfId="1" applyFont="1" applyBorder="1" applyAlignment="1">
      <alignment wrapText="1"/>
    </xf>
    <xf numFmtId="43" fontId="14" fillId="0" borderId="31" xfId="1" applyFont="1" applyBorder="1" applyAlignment="1">
      <alignment wrapText="1"/>
    </xf>
    <xf numFmtId="0" fontId="13" fillId="0" borderId="1" xfId="0" applyFont="1" applyBorder="1" applyAlignment="1">
      <alignment wrapText="1"/>
    </xf>
    <xf numFmtId="43" fontId="13" fillId="0" borderId="2" xfId="1" applyFont="1" applyBorder="1" applyAlignment="1">
      <alignment horizontal="center" wrapText="1"/>
    </xf>
    <xf numFmtId="43" fontId="13" fillId="0" borderId="2" xfId="0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43" fontId="13" fillId="0" borderId="17" xfId="1" applyFont="1" applyBorder="1" applyAlignment="1">
      <alignment horizontal="center" wrapText="1"/>
    </xf>
    <xf numFmtId="43" fontId="13" fillId="0" borderId="17" xfId="0" applyNumberFormat="1" applyFont="1" applyBorder="1" applyAlignment="1">
      <alignment horizontal="center" wrapText="1"/>
    </xf>
    <xf numFmtId="0" fontId="7" fillId="0" borderId="32" xfId="0" applyFont="1" applyBorder="1" applyAlignment="1">
      <alignment horizontal="left" vertical="center" wrapText="1" readingOrder="1"/>
    </xf>
    <xf numFmtId="43" fontId="13" fillId="0" borderId="32" xfId="1" applyFont="1" applyBorder="1" applyAlignment="1">
      <alignment wrapText="1"/>
    </xf>
    <xf numFmtId="43" fontId="13" fillId="0" borderId="32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64" fontId="8" fillId="0" borderId="1" xfId="1" applyNumberFormat="1" applyFont="1" applyBorder="1" applyAlignment="1">
      <alignment horizontal="center" readingOrder="1"/>
    </xf>
    <xf numFmtId="164" fontId="13" fillId="0" borderId="1" xfId="1" applyNumberFormat="1" applyFont="1" applyBorder="1" applyAlignment="1">
      <alignment horizontal="center"/>
    </xf>
    <xf numFmtId="0" fontId="13" fillId="0" borderId="3" xfId="0" applyFont="1" applyBorder="1" applyAlignment="1">
      <alignment wrapText="1"/>
    </xf>
    <xf numFmtId="43" fontId="13" fillId="0" borderId="3" xfId="0" applyNumberFormat="1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wrapText="1" readingOrder="1"/>
    </xf>
    <xf numFmtId="43" fontId="12" fillId="0" borderId="16" xfId="0" applyNumberFormat="1" applyFont="1" applyBorder="1"/>
    <xf numFmtId="43" fontId="13" fillId="0" borderId="15" xfId="0" applyNumberFormat="1" applyFont="1" applyBorder="1" applyAlignment="1">
      <alignment horizontal="center" wrapText="1"/>
    </xf>
    <xf numFmtId="164" fontId="13" fillId="0" borderId="16" xfId="0" applyNumberFormat="1" applyFont="1" applyBorder="1" applyAlignment="1">
      <alignment horizontal="center" wrapText="1"/>
    </xf>
    <xf numFmtId="43" fontId="13" fillId="0" borderId="16" xfId="1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 wrapText="1" readingOrder="1"/>
    </xf>
    <xf numFmtId="0" fontId="10" fillId="0" borderId="0" xfId="0" applyFont="1" applyAlignment="1">
      <alignment horizontal="left" readingOrder="1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4" fontId="10" fillId="0" borderId="16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165" fontId="10" fillId="0" borderId="16" xfId="2" applyNumberFormat="1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43" fontId="15" fillId="0" borderId="16" xfId="0" applyNumberFormat="1" applyFont="1" applyBorder="1"/>
    <xf numFmtId="43" fontId="12" fillId="0" borderId="16" xfId="1" applyFont="1" applyBorder="1"/>
    <xf numFmtId="0" fontId="7" fillId="0" borderId="1" xfId="0" applyFont="1" applyFill="1" applyBorder="1" applyAlignment="1">
      <alignment horizontal="center" wrapText="1" readingOrder="1"/>
    </xf>
    <xf numFmtId="0" fontId="8" fillId="0" borderId="2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center" wrapText="1" readingOrder="1"/>
    </xf>
    <xf numFmtId="0" fontId="8" fillId="0" borderId="17" xfId="0" applyFont="1" applyFill="1" applyBorder="1" applyAlignment="1">
      <alignment horizontal="left" vertical="center" wrapText="1" readingOrder="1"/>
    </xf>
    <xf numFmtId="0" fontId="8" fillId="0" borderId="3" xfId="0" applyFont="1" applyFill="1" applyBorder="1" applyAlignment="1">
      <alignment horizontal="left" vertic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3" fontId="8" fillId="0" borderId="1" xfId="0" applyNumberFormat="1" applyFont="1" applyFill="1" applyBorder="1" applyAlignment="1">
      <alignment horizontal="center" wrapText="1" readingOrder="1"/>
    </xf>
    <xf numFmtId="0" fontId="8" fillId="0" borderId="13" xfId="0" applyFont="1" applyFill="1" applyBorder="1" applyAlignment="1">
      <alignment horizontal="left" wrapText="1" readingOrder="1"/>
    </xf>
    <xf numFmtId="0" fontId="9" fillId="0" borderId="3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 readingOrder="1"/>
    </xf>
    <xf numFmtId="0" fontId="8" fillId="0" borderId="34" xfId="0" applyFont="1" applyFill="1" applyBorder="1" applyAlignment="1">
      <alignment horizontal="left" wrapText="1" readingOrder="1"/>
    </xf>
    <xf numFmtId="43" fontId="12" fillId="0" borderId="33" xfId="1" applyFont="1" applyBorder="1"/>
    <xf numFmtId="43" fontId="12" fillId="0" borderId="33" xfId="0" applyNumberFormat="1" applyFont="1" applyBorder="1"/>
    <xf numFmtId="0" fontId="8" fillId="0" borderId="16" xfId="0" applyFont="1" applyFill="1" applyBorder="1" applyAlignment="1">
      <alignment horizontal="left" wrapText="1" readingOrder="1"/>
    </xf>
    <xf numFmtId="4" fontId="12" fillId="0" borderId="0" xfId="0" applyNumberFormat="1" applyFont="1"/>
    <xf numFmtId="4" fontId="10" fillId="0" borderId="1" xfId="0" applyNumberFormat="1" applyFont="1" applyBorder="1" applyAlignment="1">
      <alignment horizontal="center" wrapText="1" readingOrder="1"/>
    </xf>
    <xf numFmtId="0" fontId="9" fillId="0" borderId="1" xfId="0" applyFont="1" applyBorder="1" applyAlignment="1">
      <alignment horizontal="left" wrapText="1" readingOrder="1"/>
    </xf>
    <xf numFmtId="4" fontId="9" fillId="0" borderId="1" xfId="0" applyNumberFormat="1" applyFont="1" applyBorder="1" applyAlignment="1">
      <alignment horizontal="center" wrapText="1" readingOrder="1"/>
    </xf>
    <xf numFmtId="4" fontId="7" fillId="0" borderId="1" xfId="0" applyNumberFormat="1" applyFont="1" applyBorder="1" applyAlignment="1">
      <alignment horizontal="center" wrapText="1" readingOrder="1"/>
    </xf>
    <xf numFmtId="0" fontId="9" fillId="0" borderId="13" xfId="0" applyFont="1" applyBorder="1" applyAlignment="1">
      <alignment horizontal="center" wrapText="1" readingOrder="1"/>
    </xf>
    <xf numFmtId="4" fontId="10" fillId="0" borderId="3" xfId="0" applyNumberFormat="1" applyFont="1" applyBorder="1" applyAlignment="1">
      <alignment horizontal="center" wrapText="1" readingOrder="1"/>
    </xf>
    <xf numFmtId="0" fontId="9" fillId="0" borderId="16" xfId="0" applyFont="1" applyFill="1" applyBorder="1" applyAlignment="1">
      <alignment horizontal="center" wrapText="1" readingOrder="1"/>
    </xf>
    <xf numFmtId="4" fontId="16" fillId="0" borderId="1" xfId="0" applyNumberFormat="1" applyFont="1" applyBorder="1" applyAlignment="1">
      <alignment horizontal="center" wrapText="1" readingOrder="1"/>
    </xf>
    <xf numFmtId="0" fontId="0" fillId="0" borderId="16" xfId="0" applyFont="1" applyBorder="1"/>
    <xf numFmtId="0" fontId="9" fillId="0" borderId="16" xfId="0" applyFont="1" applyBorder="1" applyAlignment="1">
      <alignment horizontal="center" wrapText="1" readingOrder="1"/>
    </xf>
    <xf numFmtId="43" fontId="0" fillId="0" borderId="16" xfId="1" applyFont="1" applyBorder="1"/>
    <xf numFmtId="9" fontId="0" fillId="0" borderId="16" xfId="2" applyFont="1" applyBorder="1"/>
    <xf numFmtId="0" fontId="0" fillId="0" borderId="0" xfId="0" applyFont="1" applyBorder="1"/>
    <xf numFmtId="43" fontId="0" fillId="0" borderId="0" xfId="1" applyFont="1" applyBorder="1"/>
    <xf numFmtId="43" fontId="0" fillId="0" borderId="0" xfId="0" applyNumberFormat="1" applyFont="1" applyBorder="1"/>
    <xf numFmtId="0" fontId="10" fillId="0" borderId="35" xfId="0" applyFont="1" applyBorder="1" applyAlignment="1">
      <alignment horizontal="left" wrapText="1" readingOrder="1"/>
    </xf>
    <xf numFmtId="0" fontId="10" fillId="0" borderId="13" xfId="0" applyFont="1" applyBorder="1" applyAlignment="1">
      <alignment horizontal="left" wrapText="1" readingOrder="1"/>
    </xf>
    <xf numFmtId="0" fontId="16" fillId="0" borderId="1" xfId="0" applyFont="1" applyBorder="1" applyAlignment="1">
      <alignment horizontal="left" wrapText="1" readingOrder="1"/>
    </xf>
    <xf numFmtId="0" fontId="17" fillId="0" borderId="1" xfId="0" applyFont="1" applyBorder="1" applyAlignment="1">
      <alignment horizontal="center" wrapText="1" readingOrder="1"/>
    </xf>
    <xf numFmtId="0" fontId="6" fillId="0" borderId="14" xfId="0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43" fontId="6" fillId="0" borderId="1" xfId="1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165" fontId="6" fillId="0" borderId="1" xfId="2" applyNumberFormat="1" applyFont="1" applyBorder="1" applyAlignment="1">
      <alignment horizontal="center" wrapText="1"/>
    </xf>
    <xf numFmtId="3" fontId="16" fillId="0" borderId="1" xfId="0" applyNumberFormat="1" applyFont="1" applyBorder="1" applyAlignment="1">
      <alignment horizontal="center" wrapText="1" readingOrder="1"/>
    </xf>
    <xf numFmtId="9" fontId="16" fillId="0" borderId="1" xfId="2" applyFont="1" applyBorder="1" applyAlignment="1">
      <alignment horizontal="center" wrapText="1" readingOrder="1"/>
    </xf>
    <xf numFmtId="9" fontId="8" fillId="0" borderId="1" xfId="0" applyNumberFormat="1" applyFont="1" applyBorder="1" applyAlignment="1">
      <alignment horizontal="center" wrapText="1" readingOrder="1"/>
    </xf>
    <xf numFmtId="43" fontId="16" fillId="0" borderId="1" xfId="1" applyFont="1" applyBorder="1" applyAlignment="1">
      <alignment horizontal="center" wrapText="1" readingOrder="1"/>
    </xf>
    <xf numFmtId="0" fontId="17" fillId="0" borderId="16" xfId="0" applyFont="1" applyFill="1" applyBorder="1" applyAlignment="1">
      <alignment horizontal="center" wrapText="1" readingOrder="1"/>
    </xf>
    <xf numFmtId="0" fontId="16" fillId="0" borderId="0" xfId="0" applyFont="1" applyBorder="1" applyAlignment="1">
      <alignment horizontal="left" wrapText="1" readingOrder="1"/>
    </xf>
    <xf numFmtId="43" fontId="16" fillId="0" borderId="0" xfId="1" applyFont="1" applyBorder="1" applyAlignment="1">
      <alignment horizontal="center" wrapText="1" readingOrder="1"/>
    </xf>
    <xf numFmtId="9" fontId="16" fillId="0" borderId="0" xfId="2" applyFont="1" applyBorder="1" applyAlignment="1">
      <alignment horizontal="center" wrapText="1" readingOrder="1"/>
    </xf>
    <xf numFmtId="43" fontId="16" fillId="0" borderId="16" xfId="1" applyFont="1" applyBorder="1" applyAlignment="1">
      <alignment horizontal="center" wrapText="1" readingOrder="1"/>
    </xf>
    <xf numFmtId="9" fontId="16" fillId="0" borderId="16" xfId="2" applyFont="1" applyBorder="1" applyAlignment="1">
      <alignment horizontal="center" wrapText="1" readingOrder="1"/>
    </xf>
    <xf numFmtId="0" fontId="16" fillId="0" borderId="16" xfId="0" applyFont="1" applyBorder="1" applyAlignment="1">
      <alignment horizontal="left" wrapText="1" readingOrder="1"/>
    </xf>
    <xf numFmtId="0" fontId="0" fillId="0" borderId="16" xfId="0" applyFont="1" applyBorder="1" applyAlignment="1">
      <alignment horizontal="center"/>
    </xf>
    <xf numFmtId="0" fontId="17" fillId="0" borderId="2" xfId="0" applyFont="1" applyBorder="1" applyAlignment="1">
      <alignment horizontal="center" wrapText="1" readingOrder="1"/>
    </xf>
    <xf numFmtId="0" fontId="17" fillId="0" borderId="34" xfId="0" applyFont="1" applyBorder="1" applyAlignment="1">
      <alignment horizontal="center" wrapText="1" readingOrder="1"/>
    </xf>
    <xf numFmtId="0" fontId="17" fillId="0" borderId="33" xfId="0" applyFont="1" applyFill="1" applyBorder="1" applyAlignment="1">
      <alignment horizontal="center" wrapText="1" readingOrder="1"/>
    </xf>
    <xf numFmtId="0" fontId="0" fillId="0" borderId="16" xfId="0" applyFont="1" applyFill="1" applyBorder="1"/>
    <xf numFmtId="0" fontId="17" fillId="0" borderId="16" xfId="0" applyFont="1" applyBorder="1" applyAlignment="1">
      <alignment horizontal="center" wrapText="1" readingOrder="1"/>
    </xf>
    <xf numFmtId="0" fontId="8" fillId="0" borderId="16" xfId="0" applyFont="1" applyBorder="1" applyAlignment="1">
      <alignment horizontal="left" wrapText="1" readingOrder="1"/>
    </xf>
    <xf numFmtId="43" fontId="8" fillId="0" borderId="16" xfId="1" applyFont="1" applyBorder="1" applyAlignment="1">
      <alignment horizontal="center" wrapText="1" readingOrder="1"/>
    </xf>
    <xf numFmtId="0" fontId="8" fillId="0" borderId="0" xfId="0" applyFont="1" applyFill="1" applyBorder="1" applyAlignment="1">
      <alignment horizontal="left" wrapText="1" readingOrder="1"/>
    </xf>
    <xf numFmtId="43" fontId="16" fillId="0" borderId="16" xfId="0" applyNumberFormat="1" applyFont="1" applyBorder="1" applyAlignment="1">
      <alignment horizontal="center" wrapText="1" readingOrder="1"/>
    </xf>
    <xf numFmtId="0" fontId="6" fillId="0" borderId="36" xfId="0" applyFont="1" applyBorder="1" applyAlignment="1">
      <alignment wrapText="1"/>
    </xf>
    <xf numFmtId="0" fontId="6" fillId="0" borderId="0" xfId="0" applyFont="1" applyAlignment="1">
      <alignment wrapText="1"/>
    </xf>
    <xf numFmtId="43" fontId="8" fillId="0" borderId="0" xfId="1" applyFont="1" applyAlignment="1">
      <alignment horizontal="right" wrapText="1" readingOrder="1"/>
    </xf>
    <xf numFmtId="4" fontId="8" fillId="0" borderId="1" xfId="0" applyNumberFormat="1" applyFont="1" applyBorder="1" applyAlignment="1">
      <alignment horizontal="center" wrapText="1" readingOrder="1"/>
    </xf>
    <xf numFmtId="0" fontId="6" fillId="0" borderId="36" xfId="0" applyFont="1" applyBorder="1" applyAlignment="1"/>
    <xf numFmtId="0" fontId="8" fillId="0" borderId="0" xfId="0" applyFont="1" applyAlignment="1">
      <alignment horizontal="left" readingOrder="1"/>
    </xf>
    <xf numFmtId="0" fontId="8" fillId="0" borderId="1" xfId="0" applyFont="1" applyBorder="1" applyAlignment="1">
      <alignment horizontal="center" readingOrder="1"/>
    </xf>
    <xf numFmtId="0" fontId="7" fillId="0" borderId="16" xfId="0" applyFont="1" applyFill="1" applyBorder="1" applyAlignment="1">
      <alignment horizontal="center" readingOrder="1"/>
    </xf>
    <xf numFmtId="165" fontId="8" fillId="0" borderId="1" xfId="2" applyNumberFormat="1" applyFont="1" applyBorder="1" applyAlignment="1">
      <alignment horizontal="center" readingOrder="1"/>
    </xf>
    <xf numFmtId="0" fontId="8" fillId="0" borderId="16" xfId="0" applyFont="1" applyBorder="1" applyAlignment="1">
      <alignment horizontal="left" readingOrder="1"/>
    </xf>
    <xf numFmtId="43" fontId="0" fillId="0" borderId="16" xfId="0" applyNumberFormat="1" applyBorder="1"/>
    <xf numFmtId="0" fontId="0" fillId="0" borderId="16" xfId="0" applyBorder="1"/>
    <xf numFmtId="165" fontId="0" fillId="0" borderId="16" xfId="2" applyNumberFormat="1" applyFont="1" applyBorder="1"/>
    <xf numFmtId="0" fontId="8" fillId="0" borderId="16" xfId="0" applyFont="1" applyFill="1" applyBorder="1" applyAlignment="1">
      <alignment horizontal="left" readingOrder="1"/>
    </xf>
    <xf numFmtId="0" fontId="16" fillId="0" borderId="1" xfId="0" applyFont="1" applyBorder="1" applyAlignment="1">
      <alignment horizontal="left" readingOrder="1"/>
    </xf>
    <xf numFmtId="0" fontId="17" fillId="0" borderId="1" xfId="0" applyFont="1" applyBorder="1" applyAlignment="1">
      <alignment horizontal="center" readingOrder="1"/>
    </xf>
    <xf numFmtId="0" fontId="6" fillId="0" borderId="14" xfId="0" applyFont="1" applyBorder="1" applyAlignment="1"/>
    <xf numFmtId="43" fontId="16" fillId="0" borderId="1" xfId="1" applyFont="1" applyBorder="1" applyAlignment="1">
      <alignment horizontal="center" readingOrder="1"/>
    </xf>
    <xf numFmtId="43" fontId="6" fillId="0" borderId="14" xfId="1" applyFont="1" applyBorder="1" applyAlignment="1">
      <alignment horizontal="center"/>
    </xf>
    <xf numFmtId="43" fontId="7" fillId="0" borderId="1" xfId="1" applyFont="1" applyBorder="1" applyAlignment="1">
      <alignment horizontal="center" readingOrder="1"/>
    </xf>
    <xf numFmtId="43" fontId="17" fillId="0" borderId="1" xfId="1" applyFont="1" applyBorder="1" applyAlignment="1">
      <alignment horizontal="center" readingOrder="1"/>
    </xf>
    <xf numFmtId="0" fontId="7" fillId="0" borderId="16" xfId="0" applyFont="1" applyFill="1" applyBorder="1" applyAlignment="1">
      <alignment horizontal="left" readingOrder="1"/>
    </xf>
    <xf numFmtId="43" fontId="3" fillId="0" borderId="16" xfId="0" applyNumberFormat="1" applyFont="1" applyBorder="1"/>
    <xf numFmtId="0" fontId="20" fillId="0" borderId="0" xfId="0" applyFont="1"/>
    <xf numFmtId="0" fontId="21" fillId="0" borderId="0" xfId="0" applyFont="1"/>
    <xf numFmtId="43" fontId="20" fillId="0" borderId="0" xfId="0" applyNumberFormat="1" applyFont="1"/>
    <xf numFmtId="43" fontId="20" fillId="0" borderId="0" xfId="1" applyFont="1"/>
    <xf numFmtId="0" fontId="21" fillId="0" borderId="0" xfId="0" applyFont="1" applyAlignment="1">
      <alignment horizontal="center"/>
    </xf>
    <xf numFmtId="0" fontId="21" fillId="0" borderId="4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43" fontId="21" fillId="0" borderId="0" xfId="0" applyNumberFormat="1" applyFont="1"/>
    <xf numFmtId="0" fontId="21" fillId="3" borderId="40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vertical="center" wrapText="1"/>
    </xf>
    <xf numFmtId="3" fontId="20" fillId="4" borderId="23" xfId="0" applyNumberFormat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6" borderId="40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vertical="center" wrapText="1"/>
    </xf>
    <xf numFmtId="0" fontId="20" fillId="6" borderId="23" xfId="0" applyFont="1" applyFill="1" applyBorder="1" applyAlignment="1">
      <alignment horizontal="center" vertical="center" wrapText="1"/>
    </xf>
    <xf numFmtId="3" fontId="20" fillId="6" borderId="23" xfId="0" applyNumberFormat="1" applyFont="1" applyFill="1" applyBorder="1" applyAlignment="1">
      <alignment horizontal="center" vertical="center" wrapText="1"/>
    </xf>
    <xf numFmtId="0" fontId="20" fillId="6" borderId="0" xfId="0" applyFont="1" applyFill="1"/>
    <xf numFmtId="0" fontId="18" fillId="6" borderId="23" xfId="0" applyFont="1" applyFill="1" applyBorder="1" applyAlignment="1">
      <alignment horizontal="right" vertical="center"/>
    </xf>
    <xf numFmtId="0" fontId="18" fillId="6" borderId="22" xfId="0" applyFont="1" applyFill="1" applyBorder="1" applyAlignment="1">
      <alignment vertical="center" wrapText="1"/>
    </xf>
    <xf numFmtId="3" fontId="18" fillId="6" borderId="23" xfId="0" applyNumberFormat="1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43" fontId="21" fillId="0" borderId="0" xfId="1" applyFont="1" applyAlignment="1">
      <alignment horizontal="center"/>
    </xf>
    <xf numFmtId="43" fontId="21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43" fontId="21" fillId="0" borderId="0" xfId="1" applyFont="1"/>
    <xf numFmtId="43" fontId="22" fillId="0" borderId="0" xfId="1" applyFont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43" fontId="20" fillId="0" borderId="0" xfId="1" applyFont="1" applyFill="1"/>
    <xf numFmtId="0" fontId="21" fillId="0" borderId="0" xfId="0" applyFont="1" applyFill="1" applyBorder="1" applyAlignment="1">
      <alignment vertical="center" wrapText="1"/>
    </xf>
    <xf numFmtId="43" fontId="20" fillId="3" borderId="23" xfId="1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vertical="center" wrapText="1"/>
    </xf>
    <xf numFmtId="43" fontId="21" fillId="3" borderId="23" xfId="1" applyFont="1" applyFill="1" applyBorder="1" applyAlignment="1">
      <alignment horizontal="center" vertical="center" wrapText="1"/>
    </xf>
    <xf numFmtId="43" fontId="20" fillId="4" borderId="23" xfId="1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vertical="center" wrapText="1"/>
    </xf>
    <xf numFmtId="43" fontId="21" fillId="4" borderId="23" xfId="1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vertical="center" wrapText="1"/>
    </xf>
    <xf numFmtId="43" fontId="20" fillId="5" borderId="23" xfId="1" applyFont="1" applyFill="1" applyBorder="1" applyAlignment="1">
      <alignment horizontal="center" vertical="center" wrapText="1"/>
    </xf>
    <xf numFmtId="43" fontId="21" fillId="5" borderId="23" xfId="1" applyFont="1" applyFill="1" applyBorder="1" applyAlignment="1">
      <alignment horizontal="center" vertical="center" wrapText="1"/>
    </xf>
    <xf numFmtId="43" fontId="20" fillId="6" borderId="23" xfId="1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vertical="center" wrapText="1"/>
    </xf>
    <xf numFmtId="43" fontId="21" fillId="6" borderId="23" xfId="1" applyFont="1" applyFill="1" applyBorder="1" applyAlignment="1">
      <alignment horizontal="center" vertical="center" wrapText="1"/>
    </xf>
    <xf numFmtId="10" fontId="21" fillId="0" borderId="0" xfId="2" applyNumberFormat="1" applyFont="1"/>
    <xf numFmtId="43" fontId="20" fillId="0" borderId="23" xfId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3" fontId="20" fillId="3" borderId="23" xfId="0" applyNumberFormat="1" applyFont="1" applyFill="1" applyBorder="1" applyAlignment="1">
      <alignment horizontal="center" vertical="center" wrapText="1"/>
    </xf>
    <xf numFmtId="43" fontId="21" fillId="3" borderId="23" xfId="0" applyNumberFormat="1" applyFont="1" applyFill="1" applyBorder="1" applyAlignment="1">
      <alignment horizontal="center" vertical="center" wrapText="1"/>
    </xf>
    <xf numFmtId="43" fontId="20" fillId="4" borderId="23" xfId="0" applyNumberFormat="1" applyFont="1" applyFill="1" applyBorder="1" applyAlignment="1">
      <alignment horizontal="center" vertical="center" wrapText="1"/>
    </xf>
    <xf numFmtId="43" fontId="21" fillId="4" borderId="23" xfId="0" applyNumberFormat="1" applyFont="1" applyFill="1" applyBorder="1" applyAlignment="1">
      <alignment horizontal="center" vertical="center" wrapText="1"/>
    </xf>
    <xf numFmtId="43" fontId="21" fillId="0" borderId="0" xfId="0" applyNumberFormat="1" applyFont="1" applyFill="1" applyBorder="1" applyAlignment="1">
      <alignment horizontal="center" vertical="center" wrapText="1"/>
    </xf>
    <xf numFmtId="43" fontId="20" fillId="5" borderId="23" xfId="0" applyNumberFormat="1" applyFont="1" applyFill="1" applyBorder="1" applyAlignment="1">
      <alignment horizontal="center" vertical="center" wrapText="1"/>
    </xf>
    <xf numFmtId="43" fontId="21" fillId="5" borderId="23" xfId="0" applyNumberFormat="1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vertical="center" wrapText="1"/>
    </xf>
    <xf numFmtId="43" fontId="18" fillId="6" borderId="23" xfId="1" applyFont="1" applyFill="1" applyBorder="1" applyAlignment="1">
      <alignment horizontal="center" vertical="center" wrapText="1"/>
    </xf>
    <xf numFmtId="43" fontId="19" fillId="6" borderId="23" xfId="1" applyFont="1" applyFill="1" applyBorder="1" applyAlignment="1">
      <alignment horizontal="center" vertical="center" wrapText="1"/>
    </xf>
    <xf numFmtId="43" fontId="21" fillId="0" borderId="0" xfId="1" applyFont="1" applyFill="1"/>
    <xf numFmtId="9" fontId="21" fillId="0" borderId="0" xfId="2" applyNumberFormat="1" applyFont="1"/>
    <xf numFmtId="43" fontId="22" fillId="0" borderId="0" xfId="1" applyFont="1" applyFill="1"/>
    <xf numFmtId="0" fontId="7" fillId="0" borderId="16" xfId="0" applyFont="1" applyBorder="1" applyAlignment="1">
      <alignment horizontal="center" readingOrder="1"/>
    </xf>
    <xf numFmtId="0" fontId="7" fillId="0" borderId="13" xfId="0" applyFont="1" applyBorder="1" applyAlignment="1">
      <alignment horizontal="center" wrapText="1" readingOrder="1"/>
    </xf>
    <xf numFmtId="0" fontId="7" fillId="0" borderId="14" xfId="0" applyFont="1" applyBorder="1" applyAlignment="1">
      <alignment horizontal="center" wrapText="1" readingOrder="1"/>
    </xf>
    <xf numFmtId="0" fontId="7" fillId="0" borderId="15" xfId="0" applyFont="1" applyBorder="1" applyAlignment="1">
      <alignment horizontal="center" wrapText="1" readingOrder="1"/>
    </xf>
    <xf numFmtId="0" fontId="10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0" borderId="26" xfId="0" applyFont="1" applyBorder="1" applyAlignment="1">
      <alignment horizontal="center" vertical="center" wrapText="1" readingOrder="1"/>
    </xf>
    <xf numFmtId="0" fontId="7" fillId="0" borderId="27" xfId="0" applyFont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9" xfId="0" applyFont="1" applyBorder="1" applyAlignment="1">
      <alignment horizontal="center" vertical="center" wrapText="1" readingOrder="1"/>
    </xf>
    <xf numFmtId="0" fontId="16" fillId="0" borderId="13" xfId="0" applyFont="1" applyBorder="1" applyAlignment="1">
      <alignment horizontal="center" wrapText="1" readingOrder="1"/>
    </xf>
    <xf numFmtId="0" fontId="16" fillId="0" borderId="15" xfId="0" applyFont="1" applyBorder="1" applyAlignment="1">
      <alignment horizontal="center" wrapText="1" readingOrder="1"/>
    </xf>
    <xf numFmtId="0" fontId="16" fillId="0" borderId="16" xfId="0" applyFont="1" applyBorder="1" applyAlignment="1">
      <alignment horizontal="center" wrapText="1" readingOrder="1"/>
    </xf>
    <xf numFmtId="0" fontId="19" fillId="6" borderId="39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</cellXfs>
  <cellStyles count="204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Normal" xfId="0" builtinId="0"/>
    <cellStyle name="Porcentagem" xfId="2" builtinId="5"/>
    <cellStyle name="Porcentagem 2" xfId="202"/>
    <cellStyle name="Vírgula" xfId="1" builtinId="3"/>
    <cellStyle name="Vírgula 2" xfId="201"/>
    <cellStyle name="Vírgula 3" xfId="20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4"/>
  <sheetViews>
    <sheetView zoomScale="134" workbookViewId="0">
      <selection activeCell="L41" sqref="L41"/>
    </sheetView>
  </sheetViews>
  <sheetFormatPr baseColWidth="10" defaultRowHeight="16" x14ac:dyDescent="0.2"/>
  <cols>
    <col min="1" max="1" width="10.83203125" style="35"/>
    <col min="2" max="2" width="18.5" style="35" bestFit="1" customWidth="1"/>
    <col min="3" max="3" width="10.1640625" style="35" bestFit="1" customWidth="1"/>
    <col min="4" max="4" width="8.1640625" style="35" bestFit="1" customWidth="1"/>
    <col min="5" max="5" width="7.5" style="35" bestFit="1" customWidth="1"/>
    <col min="6" max="6" width="11.1640625" style="35" customWidth="1"/>
    <col min="7" max="7" width="18.5" style="35" bestFit="1" customWidth="1"/>
    <col min="8" max="8" width="12.33203125" style="35" bestFit="1" customWidth="1"/>
    <col min="9" max="9" width="11.83203125" style="35" bestFit="1" customWidth="1"/>
    <col min="10" max="10" width="12.33203125" style="35" bestFit="1" customWidth="1"/>
    <col min="11" max="11" width="13" style="35" bestFit="1" customWidth="1"/>
    <col min="12" max="12" width="10.83203125" style="35"/>
    <col min="13" max="13" width="24.6640625" style="35" bestFit="1" customWidth="1"/>
    <col min="14" max="14" width="19.1640625" style="35" bestFit="1" customWidth="1"/>
    <col min="15" max="15" width="14.6640625" style="35" customWidth="1"/>
    <col min="16" max="16" width="11.83203125" style="35" customWidth="1"/>
    <col min="17" max="17" width="11.83203125" style="35" bestFit="1" customWidth="1"/>
    <col min="18" max="18" width="11" style="35" bestFit="1" customWidth="1"/>
    <col min="19" max="19" width="11.1640625" style="35" bestFit="1" customWidth="1"/>
    <col min="20" max="20" width="10.83203125" style="35"/>
    <col min="21" max="21" width="13.6640625" style="35" bestFit="1" customWidth="1"/>
    <col min="22" max="22" width="23.6640625" style="35" bestFit="1" customWidth="1"/>
    <col min="23" max="23" width="10.1640625" style="35" bestFit="1" customWidth="1"/>
    <col min="24" max="24" width="25.83203125" style="35" customWidth="1"/>
    <col min="25" max="27" width="10.83203125" style="35"/>
    <col min="28" max="28" width="11.33203125" style="35" bestFit="1" customWidth="1"/>
    <col min="29" max="16384" width="10.83203125" style="35"/>
  </cols>
  <sheetData>
    <row r="1" spans="2:28" s="268" customFormat="1" x14ac:dyDescent="0.2"/>
    <row r="2" spans="2:28" ht="17" thickBot="1" x14ac:dyDescent="0.25"/>
    <row r="3" spans="2:28" s="37" customFormat="1" ht="17" thickBot="1" x14ac:dyDescent="0.25">
      <c r="B3" s="36"/>
      <c r="C3" s="17" t="s">
        <v>0</v>
      </c>
      <c r="D3" s="17" t="s">
        <v>1</v>
      </c>
      <c r="E3" s="17" t="s">
        <v>2</v>
      </c>
      <c r="H3" s="17" t="s">
        <v>0</v>
      </c>
      <c r="I3" s="17" t="s">
        <v>1</v>
      </c>
      <c r="J3" s="17" t="s">
        <v>2</v>
      </c>
      <c r="K3" s="17" t="s">
        <v>24</v>
      </c>
      <c r="M3" s="38" t="s">
        <v>50</v>
      </c>
      <c r="N3" s="39" t="s">
        <v>51</v>
      </c>
      <c r="O3" s="40"/>
      <c r="P3" s="41"/>
      <c r="U3" s="89" t="s">
        <v>81</v>
      </c>
      <c r="V3" s="89" t="s">
        <v>82</v>
      </c>
      <c r="W3" s="89" t="s">
        <v>83</v>
      </c>
      <c r="X3" s="89" t="s">
        <v>84</v>
      </c>
      <c r="Y3" s="89" t="s">
        <v>0</v>
      </c>
      <c r="Z3" s="89" t="s">
        <v>1</v>
      </c>
      <c r="AA3" s="89" t="s">
        <v>2</v>
      </c>
      <c r="AB3" s="89" t="s">
        <v>39</v>
      </c>
    </row>
    <row r="4" spans="2:28" ht="17" thickBot="1" x14ac:dyDescent="0.25">
      <c r="B4" s="5" t="s">
        <v>4</v>
      </c>
      <c r="C4" s="10">
        <v>18000</v>
      </c>
      <c r="D4" s="10">
        <v>4200</v>
      </c>
      <c r="E4" s="10">
        <v>13000</v>
      </c>
      <c r="G4" s="35" t="s">
        <v>23</v>
      </c>
      <c r="H4" s="42">
        <f>+C12*C4</f>
        <v>9000</v>
      </c>
      <c r="I4" s="42">
        <f t="shared" ref="I4:J4" si="0">+D12*D4</f>
        <v>4200</v>
      </c>
      <c r="J4" s="42">
        <f t="shared" si="0"/>
        <v>9750</v>
      </c>
      <c r="K4" s="42">
        <f>SUM(H4:J4)</f>
        <v>22950</v>
      </c>
      <c r="M4" s="43" t="s">
        <v>52</v>
      </c>
      <c r="N4" s="44">
        <v>0.2142</v>
      </c>
      <c r="O4" s="45" t="s">
        <v>53</v>
      </c>
      <c r="P4" s="46"/>
      <c r="U4" s="265" t="s">
        <v>50</v>
      </c>
      <c r="V4" s="92" t="s">
        <v>85</v>
      </c>
      <c r="W4" s="93">
        <v>16000</v>
      </c>
      <c r="X4" s="92" t="s">
        <v>86</v>
      </c>
      <c r="Y4" s="90">
        <v>150</v>
      </c>
      <c r="Z4" s="90">
        <v>400</v>
      </c>
      <c r="AA4" s="90">
        <v>200</v>
      </c>
      <c r="AB4" s="90">
        <v>750</v>
      </c>
    </row>
    <row r="5" spans="2:28" ht="17" thickBot="1" x14ac:dyDescent="0.25">
      <c r="B5" s="6" t="s">
        <v>3</v>
      </c>
      <c r="C5" s="7">
        <v>10</v>
      </c>
      <c r="D5" s="7">
        <v>22</v>
      </c>
      <c r="E5" s="7">
        <v>16</v>
      </c>
      <c r="G5" s="35" t="s">
        <v>25</v>
      </c>
      <c r="H5" s="47">
        <f>+H4/$K$4</f>
        <v>0.39215686274509803</v>
      </c>
      <c r="I5" s="47">
        <f t="shared" ref="I5:J5" si="1">+I4/$K$4</f>
        <v>0.18300653594771241</v>
      </c>
      <c r="J5" s="47">
        <f t="shared" si="1"/>
        <v>0.42483660130718953</v>
      </c>
      <c r="K5" s="47"/>
      <c r="M5" s="43" t="s">
        <v>54</v>
      </c>
      <c r="N5" s="44">
        <v>0.17849999999999999</v>
      </c>
      <c r="O5" s="44">
        <v>0.2349</v>
      </c>
      <c r="P5" s="45" t="s">
        <v>55</v>
      </c>
      <c r="U5" s="265"/>
      <c r="V5" s="92" t="s">
        <v>87</v>
      </c>
      <c r="W5" s="93">
        <v>12000</v>
      </c>
      <c r="X5" s="92" t="s">
        <v>88</v>
      </c>
      <c r="Y5" s="90">
        <v>2</v>
      </c>
      <c r="Z5" s="90">
        <v>6</v>
      </c>
      <c r="AA5" s="90">
        <v>3</v>
      </c>
      <c r="AB5" s="90">
        <v>11</v>
      </c>
    </row>
    <row r="6" spans="2:28" ht="17" thickBot="1" x14ac:dyDescent="0.25">
      <c r="C6" s="48"/>
      <c r="D6" s="48"/>
      <c r="E6" s="48"/>
      <c r="M6" s="43" t="s">
        <v>56</v>
      </c>
      <c r="N6" s="44">
        <v>0.33939999999999998</v>
      </c>
      <c r="O6" s="44">
        <v>0.34889999999999999</v>
      </c>
      <c r="P6" s="44">
        <v>0.55889999999999995</v>
      </c>
      <c r="U6" s="265" t="s">
        <v>52</v>
      </c>
      <c r="V6" s="92" t="s">
        <v>89</v>
      </c>
      <c r="W6" s="93">
        <v>12350</v>
      </c>
      <c r="X6" s="92" t="s">
        <v>90</v>
      </c>
      <c r="Y6" s="90">
        <v>150</v>
      </c>
      <c r="Z6" s="90">
        <v>400</v>
      </c>
      <c r="AA6" s="90">
        <v>200</v>
      </c>
      <c r="AB6" s="90">
        <v>750</v>
      </c>
    </row>
    <row r="7" spans="2:28" ht="17" thickBot="1" x14ac:dyDescent="0.25">
      <c r="B7" s="4" t="s">
        <v>5</v>
      </c>
      <c r="C7" s="9">
        <v>0.3</v>
      </c>
      <c r="D7" s="9">
        <v>0.7</v>
      </c>
      <c r="E7" s="9">
        <v>0.8</v>
      </c>
      <c r="G7" s="35" t="s">
        <v>26</v>
      </c>
      <c r="H7" s="48">
        <f>+$C$23*H5</f>
        <v>74509.803921568629</v>
      </c>
      <c r="I7" s="48">
        <f t="shared" ref="I7:J7" si="2">+$C$23*I5</f>
        <v>34771.241830065359</v>
      </c>
      <c r="J7" s="48">
        <f t="shared" si="2"/>
        <v>80718.954248366004</v>
      </c>
      <c r="K7" s="42">
        <f>SUM(H7:J7)</f>
        <v>190000</v>
      </c>
      <c r="M7" s="43" t="s">
        <v>6</v>
      </c>
      <c r="N7" s="44">
        <v>0.26790000000000003</v>
      </c>
      <c r="O7" s="44">
        <v>0.41620000000000001</v>
      </c>
      <c r="P7" s="44">
        <v>0.44109999999999999</v>
      </c>
      <c r="U7" s="265"/>
      <c r="V7" s="92" t="s">
        <v>91</v>
      </c>
      <c r="W7" s="93">
        <v>16000</v>
      </c>
      <c r="X7" s="92" t="s">
        <v>92</v>
      </c>
      <c r="Y7" s="90">
        <v>400</v>
      </c>
      <c r="Z7" s="91">
        <v>1500</v>
      </c>
      <c r="AA7" s="90">
        <v>800</v>
      </c>
      <c r="AB7" s="91">
        <v>2700</v>
      </c>
    </row>
    <row r="8" spans="2:28" x14ac:dyDescent="0.2">
      <c r="B8" s="4" t="s">
        <v>6</v>
      </c>
      <c r="C8" s="9">
        <v>0.15</v>
      </c>
      <c r="D8" s="9">
        <v>0.6</v>
      </c>
      <c r="E8" s="9">
        <v>0.3</v>
      </c>
      <c r="U8" s="265" t="s">
        <v>93</v>
      </c>
      <c r="V8" s="92" t="s">
        <v>94</v>
      </c>
      <c r="W8" s="93">
        <v>16000</v>
      </c>
      <c r="X8" s="92" t="s">
        <v>95</v>
      </c>
      <c r="Y8" s="90">
        <v>1</v>
      </c>
      <c r="Z8" s="90">
        <v>1</v>
      </c>
      <c r="AA8" s="90">
        <v>1</v>
      </c>
      <c r="AB8" s="90">
        <v>3</v>
      </c>
    </row>
    <row r="9" spans="2:28" x14ac:dyDescent="0.2">
      <c r="C9" s="48"/>
      <c r="D9" s="48"/>
      <c r="E9" s="48"/>
      <c r="U9" s="265"/>
      <c r="V9" s="92" t="s">
        <v>96</v>
      </c>
      <c r="W9" s="93">
        <v>13850</v>
      </c>
      <c r="X9" s="92" t="s">
        <v>97</v>
      </c>
      <c r="Y9" s="90">
        <v>10</v>
      </c>
      <c r="Z9" s="90">
        <v>40</v>
      </c>
      <c r="AA9" s="90">
        <v>20</v>
      </c>
      <c r="AB9" s="90">
        <v>70</v>
      </c>
    </row>
    <row r="10" spans="2:28" ht="17" thickBot="1" x14ac:dyDescent="0.25">
      <c r="B10" s="4" t="s">
        <v>7</v>
      </c>
      <c r="C10" s="9">
        <v>3</v>
      </c>
      <c r="D10" s="9">
        <v>4</v>
      </c>
      <c r="E10" s="9">
        <v>3</v>
      </c>
      <c r="U10" s="265" t="s">
        <v>5</v>
      </c>
      <c r="V10" s="92" t="s">
        <v>98</v>
      </c>
      <c r="W10" s="93">
        <v>29000</v>
      </c>
      <c r="X10" s="92" t="s">
        <v>99</v>
      </c>
      <c r="Y10" s="91">
        <v>2160</v>
      </c>
      <c r="Z10" s="90">
        <v>882</v>
      </c>
      <c r="AA10" s="91">
        <v>2600</v>
      </c>
      <c r="AB10" s="91">
        <v>5642</v>
      </c>
    </row>
    <row r="11" spans="2:28" ht="17" thickBot="1" x14ac:dyDescent="0.25">
      <c r="B11" s="4" t="s">
        <v>8</v>
      </c>
      <c r="C11" s="9">
        <v>0.25</v>
      </c>
      <c r="D11" s="9">
        <v>0.75</v>
      </c>
      <c r="E11" s="9">
        <v>0.5</v>
      </c>
      <c r="G11" s="261" t="s">
        <v>27</v>
      </c>
      <c r="H11" s="261"/>
      <c r="I11" s="261"/>
      <c r="J11" s="261"/>
      <c r="M11" s="49"/>
      <c r="N11" s="273" t="s">
        <v>57</v>
      </c>
      <c r="O11" s="274"/>
      <c r="P11" s="275"/>
      <c r="Q11" s="273" t="s">
        <v>58</v>
      </c>
      <c r="R11" s="275"/>
      <c r="S11" s="276" t="s">
        <v>22</v>
      </c>
      <c r="U11" s="265"/>
      <c r="V11" s="92" t="s">
        <v>100</v>
      </c>
      <c r="W11" s="93">
        <v>28600</v>
      </c>
      <c r="X11" s="92" t="s">
        <v>101</v>
      </c>
      <c r="Y11" s="91">
        <v>3240</v>
      </c>
      <c r="Z11" s="91">
        <v>2058</v>
      </c>
      <c r="AA11" s="91">
        <v>7800</v>
      </c>
      <c r="AB11" s="91">
        <v>13098</v>
      </c>
    </row>
    <row r="12" spans="2:28" ht="17" thickBot="1" x14ac:dyDescent="0.25">
      <c r="B12" s="4" t="s">
        <v>9</v>
      </c>
      <c r="C12" s="9">
        <v>0.5</v>
      </c>
      <c r="D12" s="9">
        <v>1</v>
      </c>
      <c r="E12" s="9">
        <v>0.75</v>
      </c>
      <c r="G12" s="22"/>
      <c r="H12" s="23" t="s">
        <v>28</v>
      </c>
      <c r="I12" s="23" t="s">
        <v>29</v>
      </c>
      <c r="J12" s="23" t="s">
        <v>30</v>
      </c>
      <c r="M12" s="49" t="s">
        <v>59</v>
      </c>
      <c r="N12" s="49" t="s">
        <v>50</v>
      </c>
      <c r="O12" s="49" t="s">
        <v>60</v>
      </c>
      <c r="P12" s="49" t="s">
        <v>61</v>
      </c>
      <c r="Q12" s="49" t="s">
        <v>56</v>
      </c>
      <c r="R12" s="49" t="s">
        <v>62</v>
      </c>
      <c r="S12" s="277"/>
      <c r="U12" s="265" t="s">
        <v>6</v>
      </c>
      <c r="V12" s="92" t="s">
        <v>102</v>
      </c>
      <c r="W12" s="93">
        <v>14000</v>
      </c>
      <c r="X12" s="92" t="s">
        <v>103</v>
      </c>
      <c r="Y12" s="91">
        <v>2700</v>
      </c>
      <c r="Z12" s="91">
        <v>2520</v>
      </c>
      <c r="AA12" s="91">
        <v>3900</v>
      </c>
      <c r="AB12" s="91">
        <v>9120</v>
      </c>
    </row>
    <row r="13" spans="2:28" x14ac:dyDescent="0.2">
      <c r="G13" s="20" t="s">
        <v>31</v>
      </c>
      <c r="H13" s="50">
        <f>+C10+C11+C12</f>
        <v>3.75</v>
      </c>
      <c r="I13" s="50">
        <f t="shared" ref="I13:J13" si="3">+D10+D11+D12</f>
        <v>5.75</v>
      </c>
      <c r="J13" s="50">
        <f t="shared" si="3"/>
        <v>4.25</v>
      </c>
      <c r="M13" s="51" t="s">
        <v>63</v>
      </c>
      <c r="N13" s="52">
        <v>4200</v>
      </c>
      <c r="O13" s="52">
        <v>4600</v>
      </c>
      <c r="P13" s="52">
        <v>4200</v>
      </c>
      <c r="Q13" s="52">
        <v>6000</v>
      </c>
      <c r="R13" s="52">
        <v>5000</v>
      </c>
      <c r="S13" s="52">
        <v>24000</v>
      </c>
      <c r="U13" s="265"/>
      <c r="V13" s="92" t="s">
        <v>104</v>
      </c>
      <c r="W13" s="93">
        <v>32200</v>
      </c>
      <c r="X13" s="92" t="s">
        <v>105</v>
      </c>
      <c r="Y13" s="90">
        <v>25</v>
      </c>
      <c r="Z13" s="90">
        <v>50</v>
      </c>
      <c r="AA13" s="90">
        <v>25</v>
      </c>
      <c r="AB13" s="90">
        <v>100</v>
      </c>
    </row>
    <row r="14" spans="2:28" ht="17" thickBot="1" x14ac:dyDescent="0.25">
      <c r="G14" s="20" t="s">
        <v>32</v>
      </c>
      <c r="H14" s="53">
        <f>H7/C4</f>
        <v>4.1394335511982572</v>
      </c>
      <c r="I14" s="53">
        <f t="shared" ref="I14:J14" si="4">I7/D4</f>
        <v>8.2788671023965144</v>
      </c>
      <c r="J14" s="53">
        <f t="shared" si="4"/>
        <v>6.2091503267973849</v>
      </c>
      <c r="M14" s="54" t="s">
        <v>12</v>
      </c>
      <c r="N14" s="55">
        <v>6500</v>
      </c>
      <c r="O14" s="55">
        <v>5500</v>
      </c>
      <c r="P14" s="55">
        <v>5000</v>
      </c>
      <c r="Q14" s="55">
        <v>14000</v>
      </c>
      <c r="R14" s="55">
        <v>11000</v>
      </c>
      <c r="S14" s="55">
        <v>42000</v>
      </c>
      <c r="U14" s="3"/>
      <c r="V14" s="94" t="s">
        <v>106</v>
      </c>
      <c r="W14" s="95">
        <v>190000</v>
      </c>
      <c r="X14" s="3"/>
    </row>
    <row r="15" spans="2:28" x14ac:dyDescent="0.2">
      <c r="B15" s="269" t="s">
        <v>10</v>
      </c>
      <c r="C15" s="270"/>
      <c r="G15" s="24" t="s">
        <v>33</v>
      </c>
      <c r="H15" s="56">
        <f>SUM(H13:H14)</f>
        <v>7.8894335511982572</v>
      </c>
      <c r="I15" s="56">
        <f t="shared" ref="I15:J15" si="5">SUM(I13:I14)</f>
        <v>14.028867102396514</v>
      </c>
      <c r="J15" s="56">
        <f t="shared" si="5"/>
        <v>10.459150326797385</v>
      </c>
      <c r="M15" s="54" t="s">
        <v>64</v>
      </c>
      <c r="N15" s="55">
        <v>3900</v>
      </c>
      <c r="O15" s="55">
        <v>3350</v>
      </c>
      <c r="P15" s="55">
        <v>5250</v>
      </c>
      <c r="Q15" s="55">
        <v>7000</v>
      </c>
      <c r="R15" s="55">
        <v>5500</v>
      </c>
      <c r="S15" s="55">
        <v>25000</v>
      </c>
    </row>
    <row r="16" spans="2:28" x14ac:dyDescent="0.2">
      <c r="B16" s="11" t="s">
        <v>11</v>
      </c>
      <c r="C16" s="12">
        <v>24000</v>
      </c>
      <c r="G16" s="20" t="s">
        <v>34</v>
      </c>
      <c r="H16" s="50">
        <f>C5</f>
        <v>10</v>
      </c>
      <c r="I16" s="50">
        <f t="shared" ref="I16:J16" si="6">D5</f>
        <v>22</v>
      </c>
      <c r="J16" s="50">
        <f t="shared" si="6"/>
        <v>16</v>
      </c>
      <c r="M16" s="54" t="s">
        <v>14</v>
      </c>
      <c r="N16" s="55">
        <v>5000</v>
      </c>
      <c r="O16" s="55">
        <v>3400</v>
      </c>
      <c r="P16" s="55">
        <v>6700</v>
      </c>
      <c r="Q16" s="55">
        <v>12000</v>
      </c>
      <c r="R16" s="55">
        <v>7900</v>
      </c>
      <c r="S16" s="55">
        <v>35000</v>
      </c>
      <c r="Y16" s="89" t="s">
        <v>0</v>
      </c>
      <c r="Z16" s="89" t="s">
        <v>1</v>
      </c>
      <c r="AA16" s="89" t="s">
        <v>2</v>
      </c>
    </row>
    <row r="17" spans="2:28" x14ac:dyDescent="0.2">
      <c r="B17" s="11" t="s">
        <v>12</v>
      </c>
      <c r="C17" s="12">
        <v>42000</v>
      </c>
      <c r="G17" s="20" t="s">
        <v>35</v>
      </c>
      <c r="H17" s="50">
        <f>+H16-H15</f>
        <v>2.1105664488017428</v>
      </c>
      <c r="I17" s="50">
        <f t="shared" ref="I17:J17" si="7">+I16-I15</f>
        <v>7.9711328976034856</v>
      </c>
      <c r="J17" s="50">
        <f t="shared" si="7"/>
        <v>5.5408496732026151</v>
      </c>
      <c r="M17" s="54" t="s">
        <v>15</v>
      </c>
      <c r="N17" s="55">
        <v>4000</v>
      </c>
      <c r="O17" s="55">
        <v>4500</v>
      </c>
      <c r="P17" s="55">
        <v>4900</v>
      </c>
      <c r="Q17" s="55">
        <v>9500</v>
      </c>
      <c r="R17" s="55">
        <v>9100</v>
      </c>
      <c r="S17" s="55">
        <v>32000</v>
      </c>
      <c r="Y17" s="96">
        <f>Y4/AB4</f>
        <v>0.2</v>
      </c>
      <c r="Z17" s="96">
        <f>Z4/AB4</f>
        <v>0.53333333333333333</v>
      </c>
      <c r="AA17" s="96">
        <f>AA4/AB4</f>
        <v>0.26666666666666666</v>
      </c>
    </row>
    <row r="18" spans="2:28" x14ac:dyDescent="0.2">
      <c r="B18" s="11" t="s">
        <v>13</v>
      </c>
      <c r="C18" s="12">
        <v>25000</v>
      </c>
      <c r="G18" s="20" t="s">
        <v>36</v>
      </c>
      <c r="H18" s="57">
        <f>+H17/H16</f>
        <v>0.21105664488017428</v>
      </c>
      <c r="I18" s="57">
        <f t="shared" ref="I18:J18" si="8">+I17/I16</f>
        <v>0.36232422261834024</v>
      </c>
      <c r="J18" s="57">
        <f t="shared" si="8"/>
        <v>0.34630310457516345</v>
      </c>
      <c r="M18" s="54" t="s">
        <v>16</v>
      </c>
      <c r="N18" s="55">
        <v>2000</v>
      </c>
      <c r="O18" s="55">
        <v>1000</v>
      </c>
      <c r="P18" s="55">
        <v>1800</v>
      </c>
      <c r="Q18" s="55">
        <v>4200</v>
      </c>
      <c r="R18" s="55">
        <v>3000</v>
      </c>
      <c r="S18" s="55">
        <v>12000</v>
      </c>
      <c r="Y18" s="96">
        <f t="shared" ref="Y18:Y26" si="9">Y5/AB5</f>
        <v>0.18181818181818182</v>
      </c>
      <c r="Z18" s="96">
        <f t="shared" ref="Z18:Z26" si="10">Z5/AB5</f>
        <v>0.54545454545454541</v>
      </c>
      <c r="AA18" s="96">
        <f t="shared" ref="AA18:AA26" si="11">AA5/AB5</f>
        <v>0.27272727272727271</v>
      </c>
    </row>
    <row r="19" spans="2:28" ht="17" thickBot="1" x14ac:dyDescent="0.25">
      <c r="B19" s="11" t="s">
        <v>14</v>
      </c>
      <c r="C19" s="12">
        <v>35000</v>
      </c>
      <c r="G19" s="20" t="s">
        <v>37</v>
      </c>
      <c r="H19" s="36">
        <v>3</v>
      </c>
      <c r="I19" s="36">
        <v>1</v>
      </c>
      <c r="J19" s="36">
        <v>2</v>
      </c>
      <c r="M19" s="58" t="s">
        <v>17</v>
      </c>
      <c r="N19" s="59">
        <v>2400</v>
      </c>
      <c r="O19" s="59">
        <v>6000</v>
      </c>
      <c r="P19" s="59">
        <v>2000</v>
      </c>
      <c r="Q19" s="59">
        <v>4900</v>
      </c>
      <c r="R19" s="59">
        <v>4700</v>
      </c>
      <c r="S19" s="59">
        <v>20000</v>
      </c>
      <c r="Y19" s="96">
        <f t="shared" si="9"/>
        <v>0.2</v>
      </c>
      <c r="Z19" s="96">
        <f t="shared" si="10"/>
        <v>0.53333333333333333</v>
      </c>
      <c r="AA19" s="96">
        <f t="shared" si="11"/>
        <v>0.26666666666666666</v>
      </c>
    </row>
    <row r="20" spans="2:28" ht="17" thickBot="1" x14ac:dyDescent="0.25">
      <c r="B20" s="11" t="s">
        <v>15</v>
      </c>
      <c r="C20" s="12">
        <v>32000</v>
      </c>
      <c r="M20" s="60" t="s">
        <v>65</v>
      </c>
      <c r="N20" s="61">
        <v>28000</v>
      </c>
      <c r="O20" s="61">
        <v>28350</v>
      </c>
      <c r="P20" s="61">
        <v>29850</v>
      </c>
      <c r="Q20" s="61">
        <v>57600</v>
      </c>
      <c r="R20" s="61">
        <v>46200</v>
      </c>
      <c r="S20" s="61">
        <v>190000</v>
      </c>
      <c r="Y20" s="96">
        <f t="shared" si="9"/>
        <v>0.14814814814814814</v>
      </c>
      <c r="Z20" s="96">
        <f t="shared" si="10"/>
        <v>0.55555555555555558</v>
      </c>
      <c r="AA20" s="96">
        <f t="shared" si="11"/>
        <v>0.29629629629629628</v>
      </c>
    </row>
    <row r="21" spans="2:28" ht="17" thickBot="1" x14ac:dyDescent="0.25">
      <c r="B21" s="11" t="s">
        <v>16</v>
      </c>
      <c r="C21" s="12">
        <v>12000</v>
      </c>
      <c r="M21" s="62" t="s">
        <v>66</v>
      </c>
      <c r="N21" s="63">
        <f>-N20</f>
        <v>-28000</v>
      </c>
      <c r="O21" s="63">
        <f>N20*N4</f>
        <v>5997.6</v>
      </c>
      <c r="P21" s="63">
        <f>N20*N5</f>
        <v>4998</v>
      </c>
      <c r="Q21" s="63">
        <f>N20*N6</f>
        <v>9503.1999999999989</v>
      </c>
      <c r="R21" s="63">
        <f>N20*N7</f>
        <v>7501.2000000000007</v>
      </c>
      <c r="S21" s="63">
        <f>SUM(N21:R21)</f>
        <v>0</v>
      </c>
      <c r="Y21" s="96">
        <f t="shared" si="9"/>
        <v>0.33333333333333331</v>
      </c>
      <c r="Z21" s="96">
        <f t="shared" si="10"/>
        <v>0.33333333333333331</v>
      </c>
      <c r="AA21" s="96">
        <f t="shared" si="11"/>
        <v>0.33333333333333331</v>
      </c>
    </row>
    <row r="22" spans="2:28" ht="17" thickBot="1" x14ac:dyDescent="0.25">
      <c r="B22" s="11" t="s">
        <v>17</v>
      </c>
      <c r="C22" s="12">
        <v>20000</v>
      </c>
      <c r="G22" s="262" t="s">
        <v>38</v>
      </c>
      <c r="H22" s="263"/>
      <c r="I22" s="263"/>
      <c r="J22" s="263"/>
      <c r="K22" s="264"/>
      <c r="M22" s="60" t="s">
        <v>67</v>
      </c>
      <c r="N22" s="64">
        <f>SUM(N20:N21)</f>
        <v>0</v>
      </c>
      <c r="O22" s="65">
        <f t="shared" ref="O22:S22" si="12">SUM(O20:O21)</f>
        <v>34347.599999999999</v>
      </c>
      <c r="P22" s="65">
        <f t="shared" si="12"/>
        <v>34848</v>
      </c>
      <c r="Q22" s="65">
        <f t="shared" si="12"/>
        <v>67103.199999999997</v>
      </c>
      <c r="R22" s="65">
        <f t="shared" si="12"/>
        <v>53701.2</v>
      </c>
      <c r="S22" s="65">
        <f t="shared" si="12"/>
        <v>190000</v>
      </c>
      <c r="Y22" s="96">
        <f t="shared" si="9"/>
        <v>0.14285714285714285</v>
      </c>
      <c r="Z22" s="96">
        <f t="shared" si="10"/>
        <v>0.5714285714285714</v>
      </c>
      <c r="AA22" s="96">
        <f t="shared" si="11"/>
        <v>0.2857142857142857</v>
      </c>
    </row>
    <row r="23" spans="2:28" ht="17" thickBot="1" x14ac:dyDescent="0.25">
      <c r="B23" s="13"/>
      <c r="C23" s="12">
        <v>190000</v>
      </c>
      <c r="G23" s="66"/>
      <c r="H23" s="4" t="s">
        <v>28</v>
      </c>
      <c r="I23" s="4" t="s">
        <v>29</v>
      </c>
      <c r="J23" s="4" t="s">
        <v>30</v>
      </c>
      <c r="K23" s="4" t="s">
        <v>39</v>
      </c>
      <c r="M23" s="62" t="s">
        <v>68</v>
      </c>
      <c r="N23" s="64"/>
      <c r="O23" s="63">
        <f>-O22</f>
        <v>-34347.599999999999</v>
      </c>
      <c r="P23" s="63">
        <f>O22*O5</f>
        <v>8068.2512399999996</v>
      </c>
      <c r="Q23" s="63">
        <f>O22*O6</f>
        <v>11983.877639999999</v>
      </c>
      <c r="R23" s="63">
        <f>O22*O7</f>
        <v>14295.47112</v>
      </c>
      <c r="S23" s="63">
        <f>SUM(O23:R23)</f>
        <v>0</v>
      </c>
      <c r="Y23" s="96">
        <f t="shared" si="9"/>
        <v>0.3828429634881248</v>
      </c>
      <c r="Z23" s="96">
        <f t="shared" si="10"/>
        <v>0.15632754342431762</v>
      </c>
      <c r="AA23" s="96">
        <f t="shared" si="11"/>
        <v>0.46082949308755761</v>
      </c>
    </row>
    <row r="24" spans="2:28" ht="17" thickBot="1" x14ac:dyDescent="0.25">
      <c r="B24" s="13"/>
      <c r="C24" s="14"/>
      <c r="G24" s="25" t="s">
        <v>20</v>
      </c>
      <c r="H24" s="67">
        <f>C4*C5</f>
        <v>180000</v>
      </c>
      <c r="I24" s="67">
        <f t="shared" ref="I24:J24" si="13">D4*D5</f>
        <v>92400</v>
      </c>
      <c r="J24" s="67">
        <f t="shared" si="13"/>
        <v>208000</v>
      </c>
      <c r="K24" s="68">
        <f>SUM(H24:J24)</f>
        <v>480400</v>
      </c>
      <c r="M24" s="60" t="s">
        <v>69</v>
      </c>
      <c r="N24" s="64"/>
      <c r="O24" s="65">
        <f>SUM(O22:O23)</f>
        <v>0</v>
      </c>
      <c r="P24" s="65">
        <f t="shared" ref="P24:S24" si="14">SUM(P22:P23)</f>
        <v>42916.251239999998</v>
      </c>
      <c r="Q24" s="65">
        <f t="shared" si="14"/>
        <v>79087.077640000003</v>
      </c>
      <c r="R24" s="65">
        <f t="shared" si="14"/>
        <v>67996.671119999999</v>
      </c>
      <c r="S24" s="65">
        <f t="shared" si="14"/>
        <v>190000</v>
      </c>
      <c r="Y24" s="96">
        <f t="shared" si="9"/>
        <v>0.24736601007787448</v>
      </c>
      <c r="Z24" s="96">
        <f t="shared" si="10"/>
        <v>0.1571232249198351</v>
      </c>
      <c r="AA24" s="96">
        <f t="shared" si="11"/>
        <v>0.59551076500229039</v>
      </c>
    </row>
    <row r="25" spans="2:28" ht="17" thickBot="1" x14ac:dyDescent="0.25">
      <c r="B25" s="271" t="s">
        <v>18</v>
      </c>
      <c r="C25" s="272"/>
      <c r="G25" s="26" t="s">
        <v>40</v>
      </c>
      <c r="H25" s="69"/>
      <c r="I25" s="69"/>
      <c r="J25" s="69"/>
      <c r="K25" s="69"/>
      <c r="M25" s="62" t="s">
        <v>70</v>
      </c>
      <c r="N25" s="64"/>
      <c r="O25" s="64"/>
      <c r="P25" s="63">
        <f>-P24</f>
        <v>-42916.251239999998</v>
      </c>
      <c r="Q25" s="63">
        <f>P24*P6</f>
        <v>23985.892818035998</v>
      </c>
      <c r="R25" s="63">
        <f>P24*P7</f>
        <v>18930.358421964</v>
      </c>
      <c r="S25" s="63">
        <f>SUM(P25:R25)</f>
        <v>0</v>
      </c>
      <c r="Y25" s="96">
        <f t="shared" si="9"/>
        <v>0.29605263157894735</v>
      </c>
      <c r="Z25" s="96">
        <f t="shared" si="10"/>
        <v>0.27631578947368424</v>
      </c>
      <c r="AA25" s="96">
        <f t="shared" si="11"/>
        <v>0.42763157894736842</v>
      </c>
    </row>
    <row r="26" spans="2:28" ht="17" thickBot="1" x14ac:dyDescent="0.25">
      <c r="B26" s="11" t="s">
        <v>19</v>
      </c>
      <c r="C26" s="12">
        <v>50000</v>
      </c>
      <c r="G26" s="26" t="s">
        <v>41</v>
      </c>
      <c r="H26" s="70">
        <f>-C10*C4</f>
        <v>-54000</v>
      </c>
      <c r="I26" s="70">
        <f t="shared" ref="I26:J26" si="15">-D10*D4</f>
        <v>-16800</v>
      </c>
      <c r="J26" s="70">
        <f t="shared" si="15"/>
        <v>-39000</v>
      </c>
      <c r="K26" s="71">
        <f>SUM(H26:J26)</f>
        <v>-109800</v>
      </c>
      <c r="M26" s="60" t="s">
        <v>71</v>
      </c>
      <c r="N26" s="64"/>
      <c r="O26" s="64"/>
      <c r="P26" s="65">
        <f>SUM(P24:P25)</f>
        <v>0</v>
      </c>
      <c r="Q26" s="65">
        <f t="shared" ref="Q26:S26" si="16">SUM(Q24:Q25)</f>
        <v>103072.970458036</v>
      </c>
      <c r="R26" s="65">
        <f t="shared" si="16"/>
        <v>86927.029541964002</v>
      </c>
      <c r="S26" s="65">
        <f t="shared" si="16"/>
        <v>190000</v>
      </c>
      <c r="Y26" s="96">
        <f t="shared" si="9"/>
        <v>0.25</v>
      </c>
      <c r="Z26" s="96">
        <f t="shared" si="10"/>
        <v>0.5</v>
      </c>
      <c r="AA26" s="96">
        <f t="shared" si="11"/>
        <v>0.25</v>
      </c>
    </row>
    <row r="27" spans="2:28" ht="17" thickBot="1" x14ac:dyDescent="0.25">
      <c r="B27" s="11" t="s">
        <v>20</v>
      </c>
      <c r="C27" s="12">
        <v>43000</v>
      </c>
      <c r="G27" s="26" t="s">
        <v>42</v>
      </c>
      <c r="H27" s="70">
        <f>-C11*C4</f>
        <v>-4500</v>
      </c>
      <c r="I27" s="70">
        <f t="shared" ref="I27:J27" si="17">-D11*D4</f>
        <v>-3150</v>
      </c>
      <c r="J27" s="70">
        <f t="shared" si="17"/>
        <v>-6500</v>
      </c>
      <c r="K27" s="71">
        <f t="shared" ref="K27:K29" si="18">SUM(H27:J27)</f>
        <v>-14150</v>
      </c>
      <c r="M27" s="60" t="s">
        <v>72</v>
      </c>
      <c r="N27" s="64"/>
      <c r="O27" s="64"/>
      <c r="P27" s="64"/>
      <c r="Q27" s="63"/>
      <c r="R27" s="63"/>
      <c r="S27" s="64"/>
    </row>
    <row r="28" spans="2:28" ht="17" thickBot="1" x14ac:dyDescent="0.25">
      <c r="B28" s="11" t="s">
        <v>21</v>
      </c>
      <c r="C28" s="12">
        <v>24020</v>
      </c>
      <c r="G28" s="26" t="s">
        <v>43</v>
      </c>
      <c r="H28" s="70">
        <f>-C12*C4</f>
        <v>-9000</v>
      </c>
      <c r="I28" s="70">
        <f t="shared" ref="I28:J28" si="19">-D12*D4</f>
        <v>-4200</v>
      </c>
      <c r="J28" s="70">
        <f t="shared" si="19"/>
        <v>-9750</v>
      </c>
      <c r="K28" s="71">
        <f t="shared" si="18"/>
        <v>-22950</v>
      </c>
      <c r="M28" s="72" t="s">
        <v>73</v>
      </c>
      <c r="N28" s="73"/>
      <c r="O28" s="73"/>
      <c r="P28" s="73"/>
      <c r="Q28" s="74"/>
      <c r="R28" s="74"/>
      <c r="S28" s="73"/>
    </row>
    <row r="29" spans="2:28" ht="17" thickBot="1" x14ac:dyDescent="0.25">
      <c r="B29" s="15" t="s">
        <v>22</v>
      </c>
      <c r="C29" s="16">
        <v>117020</v>
      </c>
      <c r="G29" s="26" t="s">
        <v>44</v>
      </c>
      <c r="H29" s="70">
        <f>-H14*C4</f>
        <v>-74509.803921568629</v>
      </c>
      <c r="I29" s="70">
        <f t="shared" ref="I29:J29" si="20">-I14*D4</f>
        <v>-34771.241830065359</v>
      </c>
      <c r="J29" s="70">
        <f t="shared" si="20"/>
        <v>-80718.954248366004</v>
      </c>
      <c r="K29" s="71">
        <f t="shared" si="18"/>
        <v>-190000</v>
      </c>
      <c r="X29" s="89" t="s">
        <v>82</v>
      </c>
      <c r="Y29" s="89" t="s">
        <v>0</v>
      </c>
      <c r="Z29" s="89" t="s">
        <v>1</v>
      </c>
      <c r="AA29" s="89" t="s">
        <v>2</v>
      </c>
      <c r="AB29" s="89" t="s">
        <v>39</v>
      </c>
    </row>
    <row r="30" spans="2:28" x14ac:dyDescent="0.2">
      <c r="G30" s="26" t="s">
        <v>45</v>
      </c>
      <c r="H30" s="71">
        <f>+H24+H26+H27+H28+H29</f>
        <v>37990.196078431371</v>
      </c>
      <c r="I30" s="71">
        <f t="shared" ref="I30:J30" si="21">+I24+I26+I27+I28+I29</f>
        <v>33478.758169934641</v>
      </c>
      <c r="J30" s="71">
        <f t="shared" si="21"/>
        <v>72031.045751633996</v>
      </c>
      <c r="K30" s="71">
        <f>SUM(H30:J30)</f>
        <v>143500</v>
      </c>
      <c r="X30" s="92" t="s">
        <v>85</v>
      </c>
      <c r="Y30" s="48">
        <f>Y17*W4</f>
        <v>3200</v>
      </c>
      <c r="Z30" s="48">
        <f>Z17*W4</f>
        <v>8533.3333333333339</v>
      </c>
      <c r="AA30" s="48">
        <f>AA17*W4</f>
        <v>4266.666666666667</v>
      </c>
      <c r="AB30" s="42">
        <f>SUM(Y30:AA30)</f>
        <v>16000</v>
      </c>
    </row>
    <row r="31" spans="2:28" x14ac:dyDescent="0.2">
      <c r="G31" s="26" t="s">
        <v>46</v>
      </c>
      <c r="H31" s="69"/>
      <c r="I31" s="69"/>
      <c r="J31" s="69"/>
      <c r="K31" s="69"/>
      <c r="M31" s="19"/>
      <c r="N31" s="262" t="s">
        <v>74</v>
      </c>
      <c r="O31" s="263"/>
      <c r="P31" s="264"/>
      <c r="Q31" s="75"/>
      <c r="X31" s="92" t="s">
        <v>87</v>
      </c>
      <c r="Y31" s="48">
        <f t="shared" ref="Y31:Y39" si="22">Y18*W5</f>
        <v>2181.818181818182</v>
      </c>
      <c r="Z31" s="48">
        <f t="shared" ref="Z31:Z39" si="23">Z18*W5</f>
        <v>6545.454545454545</v>
      </c>
      <c r="AA31" s="48">
        <f t="shared" ref="AA31:AA39" si="24">AA18*W5</f>
        <v>3272.7272727272725</v>
      </c>
      <c r="AB31" s="42">
        <f t="shared" ref="AB31:AB39" si="25">SUM(Y31:AA31)</f>
        <v>12000</v>
      </c>
    </row>
    <row r="32" spans="2:28" x14ac:dyDescent="0.2">
      <c r="G32" s="26" t="s">
        <v>47</v>
      </c>
      <c r="H32" s="69"/>
      <c r="I32" s="69"/>
      <c r="J32" s="69"/>
      <c r="K32" s="70">
        <f>-C26</f>
        <v>-50000</v>
      </c>
      <c r="M32" s="76"/>
      <c r="N32" s="5" t="s">
        <v>0</v>
      </c>
      <c r="O32" s="5" t="s">
        <v>1</v>
      </c>
      <c r="P32" s="5" t="s">
        <v>2</v>
      </c>
      <c r="Q32" s="5" t="s">
        <v>75</v>
      </c>
      <c r="X32" s="92" t="s">
        <v>89</v>
      </c>
      <c r="Y32" s="48">
        <f t="shared" si="22"/>
        <v>2470</v>
      </c>
      <c r="Z32" s="48">
        <f t="shared" si="23"/>
        <v>6586.666666666667</v>
      </c>
      <c r="AA32" s="48">
        <f t="shared" si="24"/>
        <v>3293.3333333333335</v>
      </c>
      <c r="AB32" s="42">
        <f t="shared" si="25"/>
        <v>12350.000000000002</v>
      </c>
    </row>
    <row r="33" spans="7:28" x14ac:dyDescent="0.2">
      <c r="G33" s="26" t="s">
        <v>48</v>
      </c>
      <c r="H33" s="69"/>
      <c r="I33" s="69"/>
      <c r="J33" s="69"/>
      <c r="K33" s="70">
        <f>-C27-C28</f>
        <v>-67020</v>
      </c>
      <c r="M33" s="19" t="s">
        <v>76</v>
      </c>
      <c r="N33" s="77">
        <f>C7*C4</f>
        <v>5400</v>
      </c>
      <c r="O33" s="77">
        <f t="shared" ref="O33:P33" si="26">D7*D4</f>
        <v>2940</v>
      </c>
      <c r="P33" s="77">
        <f t="shared" si="26"/>
        <v>10400</v>
      </c>
      <c r="Q33" s="78">
        <f>SUM(N33:P33)</f>
        <v>18740</v>
      </c>
      <c r="X33" s="92" t="s">
        <v>91</v>
      </c>
      <c r="Y33" s="48">
        <f t="shared" si="22"/>
        <v>2370.3703703703704</v>
      </c>
      <c r="Z33" s="48">
        <f t="shared" si="23"/>
        <v>8888.8888888888887</v>
      </c>
      <c r="AA33" s="48">
        <f t="shared" si="24"/>
        <v>4740.7407407407409</v>
      </c>
      <c r="AB33" s="42">
        <f t="shared" si="25"/>
        <v>16000</v>
      </c>
    </row>
    <row r="34" spans="7:28" x14ac:dyDescent="0.2">
      <c r="G34" s="27" t="s">
        <v>49</v>
      </c>
      <c r="H34" s="79"/>
      <c r="I34" s="79"/>
      <c r="J34" s="79"/>
      <c r="K34" s="80">
        <f>SUM(K30:K33)</f>
        <v>26480</v>
      </c>
      <c r="M34" s="19" t="s">
        <v>77</v>
      </c>
      <c r="N34" s="81">
        <f>C8*C4</f>
        <v>2700</v>
      </c>
      <c r="O34" s="81">
        <f t="shared" ref="O34:P34" si="27">D8*D4</f>
        <v>2520</v>
      </c>
      <c r="P34" s="81">
        <f t="shared" si="27"/>
        <v>3900</v>
      </c>
      <c r="Q34" s="78">
        <f>SUM(N34:P34)</f>
        <v>9120</v>
      </c>
      <c r="X34" s="92" t="s">
        <v>94</v>
      </c>
      <c r="Y34" s="48">
        <f t="shared" si="22"/>
        <v>5333.333333333333</v>
      </c>
      <c r="Z34" s="48">
        <f t="shared" si="23"/>
        <v>5333.333333333333</v>
      </c>
      <c r="AA34" s="48">
        <f t="shared" si="24"/>
        <v>5333.333333333333</v>
      </c>
      <c r="AB34" s="42">
        <f t="shared" si="25"/>
        <v>16000</v>
      </c>
    </row>
    <row r="35" spans="7:28" x14ac:dyDescent="0.2">
      <c r="X35" s="92" t="s">
        <v>96</v>
      </c>
      <c r="Y35" s="48">
        <f t="shared" si="22"/>
        <v>1978.5714285714284</v>
      </c>
      <c r="Z35" s="48">
        <f t="shared" si="23"/>
        <v>7914.2857142857138</v>
      </c>
      <c r="AA35" s="48">
        <f t="shared" si="24"/>
        <v>3957.1428571428569</v>
      </c>
      <c r="AB35" s="42">
        <f t="shared" si="25"/>
        <v>13849.999999999998</v>
      </c>
    </row>
    <row r="36" spans="7:28" x14ac:dyDescent="0.2">
      <c r="X36" s="92" t="s">
        <v>98</v>
      </c>
      <c r="Y36" s="48">
        <f t="shared" si="22"/>
        <v>11102.44594115562</v>
      </c>
      <c r="Z36" s="48">
        <f t="shared" si="23"/>
        <v>4533.498759305211</v>
      </c>
      <c r="AA36" s="48">
        <f t="shared" si="24"/>
        <v>13364.05529953917</v>
      </c>
      <c r="AB36" s="42">
        <f t="shared" si="25"/>
        <v>29000</v>
      </c>
    </row>
    <row r="37" spans="7:28" x14ac:dyDescent="0.2">
      <c r="M37" s="4"/>
      <c r="N37" s="262" t="s">
        <v>58</v>
      </c>
      <c r="O37" s="264"/>
      <c r="P37" s="266" t="s">
        <v>22</v>
      </c>
      <c r="X37" s="92" t="s">
        <v>100</v>
      </c>
      <c r="Y37" s="48">
        <f t="shared" si="22"/>
        <v>7074.6678882272099</v>
      </c>
      <c r="Z37" s="48">
        <f t="shared" si="23"/>
        <v>4493.7242327072836</v>
      </c>
      <c r="AA37" s="48">
        <f t="shared" si="24"/>
        <v>17031.607879065505</v>
      </c>
      <c r="AB37" s="42">
        <f t="shared" si="25"/>
        <v>28600</v>
      </c>
    </row>
    <row r="38" spans="7:28" x14ac:dyDescent="0.2">
      <c r="M38" s="32" t="s">
        <v>59</v>
      </c>
      <c r="N38" s="5" t="s">
        <v>76</v>
      </c>
      <c r="O38" s="5" t="s">
        <v>77</v>
      </c>
      <c r="P38" s="267"/>
      <c r="X38" s="92" t="s">
        <v>102</v>
      </c>
      <c r="Y38" s="48">
        <f t="shared" si="22"/>
        <v>4144.7368421052624</v>
      </c>
      <c r="Z38" s="48">
        <f t="shared" si="23"/>
        <v>3868.4210526315792</v>
      </c>
      <c r="AA38" s="48">
        <f t="shared" si="24"/>
        <v>5986.8421052631575</v>
      </c>
      <c r="AB38" s="42">
        <f t="shared" si="25"/>
        <v>14000</v>
      </c>
    </row>
    <row r="39" spans="7:28" x14ac:dyDescent="0.2">
      <c r="M39" s="33" t="s">
        <v>78</v>
      </c>
      <c r="N39" s="82">
        <f>Q26</f>
        <v>103072.970458036</v>
      </c>
      <c r="O39" s="82">
        <f>R26</f>
        <v>86927.029541964002</v>
      </c>
      <c r="P39" s="83">
        <f>SUM(N39:O39)</f>
        <v>190000</v>
      </c>
      <c r="X39" s="92" t="s">
        <v>104</v>
      </c>
      <c r="Y39" s="48">
        <f t="shared" si="22"/>
        <v>8050</v>
      </c>
      <c r="Z39" s="48">
        <f t="shared" si="23"/>
        <v>16100</v>
      </c>
      <c r="AA39" s="48">
        <f t="shared" si="24"/>
        <v>8050</v>
      </c>
      <c r="AB39" s="42">
        <f t="shared" si="25"/>
        <v>32200</v>
      </c>
    </row>
    <row r="40" spans="7:28" x14ac:dyDescent="0.2">
      <c r="M40" s="33" t="s">
        <v>72</v>
      </c>
      <c r="N40" s="84">
        <f>Q33</f>
        <v>18740</v>
      </c>
      <c r="O40" s="84">
        <f>Q34</f>
        <v>9120</v>
      </c>
      <c r="P40" s="83">
        <f>SUM(N40:O40)</f>
        <v>27860</v>
      </c>
      <c r="X40" s="94" t="s">
        <v>106</v>
      </c>
      <c r="AB40" s="42">
        <f>SUM(AB30:AB39)</f>
        <v>190000</v>
      </c>
    </row>
    <row r="41" spans="7:28" x14ac:dyDescent="0.2">
      <c r="M41" s="33" t="s">
        <v>79</v>
      </c>
      <c r="N41" s="85">
        <f>N39/N40</f>
        <v>5.5001585089667024</v>
      </c>
      <c r="O41" s="85">
        <f>O39/O40</f>
        <v>9.5314725374960521</v>
      </c>
      <c r="P41" s="86"/>
    </row>
    <row r="43" spans="7:28" x14ac:dyDescent="0.2">
      <c r="M43" s="66"/>
      <c r="N43" s="4" t="s">
        <v>0</v>
      </c>
      <c r="O43" s="4" t="s">
        <v>1</v>
      </c>
      <c r="P43" s="4" t="s">
        <v>2</v>
      </c>
      <c r="X43" s="89" t="s">
        <v>82</v>
      </c>
      <c r="Y43" s="89" t="s">
        <v>0</v>
      </c>
      <c r="Z43" s="89" t="s">
        <v>1</v>
      </c>
      <c r="AA43" s="89" t="s">
        <v>2</v>
      </c>
    </row>
    <row r="44" spans="7:28" x14ac:dyDescent="0.2">
      <c r="M44" s="19" t="s">
        <v>76</v>
      </c>
      <c r="N44" s="9">
        <f>$N$41*C7</f>
        <v>1.6500475526900107</v>
      </c>
      <c r="O44" s="9">
        <f t="shared" ref="O44:P44" si="28">$N$41*D7</f>
        <v>3.8501109562766915</v>
      </c>
      <c r="P44" s="9">
        <f t="shared" si="28"/>
        <v>4.4001268071733621</v>
      </c>
      <c r="X44" s="92" t="s">
        <v>85</v>
      </c>
      <c r="Y44" s="100">
        <f>Y30/$C$4</f>
        <v>0.17777777777777778</v>
      </c>
      <c r="Z44" s="100">
        <f>Z30/$D$4</f>
        <v>2.0317460317460321</v>
      </c>
      <c r="AA44" s="100">
        <f>AA30/$E$4</f>
        <v>0.3282051282051282</v>
      </c>
    </row>
    <row r="45" spans="7:28" x14ac:dyDescent="0.2">
      <c r="M45" s="19" t="s">
        <v>77</v>
      </c>
      <c r="N45" s="9">
        <f>$O$41*C8</f>
        <v>1.4297208806244077</v>
      </c>
      <c r="O45" s="9">
        <f t="shared" ref="O45:P45" si="29">$O$41*D8</f>
        <v>5.7188835224976309</v>
      </c>
      <c r="P45" s="9">
        <f t="shared" si="29"/>
        <v>2.8594417612488154</v>
      </c>
      <c r="X45" s="92" t="s">
        <v>87</v>
      </c>
      <c r="Y45" s="100">
        <f t="shared" ref="Y45:Y53" si="30">Y31/$C$4</f>
        <v>0.12121212121212122</v>
      </c>
      <c r="Z45" s="100">
        <f t="shared" ref="Z45:Z53" si="31">Z31/$D$4</f>
        <v>1.5584415584415583</v>
      </c>
      <c r="AA45" s="100">
        <f t="shared" ref="AA45:AA53" si="32">AA31/$E$4</f>
        <v>0.25174825174825172</v>
      </c>
    </row>
    <row r="46" spans="7:28" x14ac:dyDescent="0.2">
      <c r="M46" s="88" t="s">
        <v>80</v>
      </c>
      <c r="N46" s="87">
        <f>SUM(N44:N45)</f>
        <v>3.0797684333144186</v>
      </c>
      <c r="O46" s="87">
        <f t="shared" ref="O46:P46" si="33">SUM(O44:O45)</f>
        <v>9.5689944787743215</v>
      </c>
      <c r="P46" s="87">
        <f t="shared" si="33"/>
        <v>7.2595685684221776</v>
      </c>
      <c r="X46" s="92" t="s">
        <v>89</v>
      </c>
      <c r="Y46" s="100">
        <f t="shared" si="30"/>
        <v>0.13722222222222222</v>
      </c>
      <c r="Z46" s="100">
        <f t="shared" si="31"/>
        <v>1.5682539682539682</v>
      </c>
      <c r="AA46" s="100">
        <f t="shared" si="32"/>
        <v>0.25333333333333335</v>
      </c>
    </row>
    <row r="47" spans="7:28" x14ac:dyDescent="0.2">
      <c r="X47" s="92" t="s">
        <v>91</v>
      </c>
      <c r="Y47" s="100">
        <f t="shared" si="30"/>
        <v>0.13168724279835392</v>
      </c>
      <c r="Z47" s="100">
        <f t="shared" si="31"/>
        <v>2.1164021164021163</v>
      </c>
      <c r="AA47" s="100">
        <f t="shared" si="32"/>
        <v>0.36467236467236469</v>
      </c>
    </row>
    <row r="48" spans="7:28" x14ac:dyDescent="0.2">
      <c r="X48" s="92" t="s">
        <v>94</v>
      </c>
      <c r="Y48" s="100">
        <f t="shared" si="30"/>
        <v>0.29629629629629628</v>
      </c>
      <c r="Z48" s="100">
        <f t="shared" si="31"/>
        <v>1.2698412698412698</v>
      </c>
      <c r="AA48" s="100">
        <f t="shared" si="32"/>
        <v>0.41025641025641024</v>
      </c>
    </row>
    <row r="49" spans="13:27" x14ac:dyDescent="0.2">
      <c r="M49" s="261" t="s">
        <v>27</v>
      </c>
      <c r="N49" s="261"/>
      <c r="O49" s="261"/>
      <c r="P49" s="261"/>
      <c r="X49" s="92" t="s">
        <v>96</v>
      </c>
      <c r="Y49" s="100">
        <f t="shared" si="30"/>
        <v>0.10992063492063492</v>
      </c>
      <c r="Z49" s="100">
        <f t="shared" si="31"/>
        <v>1.8843537414965985</v>
      </c>
      <c r="AA49" s="100">
        <f t="shared" si="32"/>
        <v>0.30439560439560437</v>
      </c>
    </row>
    <row r="50" spans="13:27" x14ac:dyDescent="0.2">
      <c r="M50" s="22"/>
      <c r="N50" s="23" t="s">
        <v>28</v>
      </c>
      <c r="O50" s="23" t="s">
        <v>29</v>
      </c>
      <c r="P50" s="23" t="s">
        <v>30</v>
      </c>
      <c r="X50" s="92" t="s">
        <v>98</v>
      </c>
      <c r="Y50" s="100">
        <f t="shared" si="30"/>
        <v>0.61680255228642333</v>
      </c>
      <c r="Z50" s="100">
        <f t="shared" si="31"/>
        <v>1.0794044665012408</v>
      </c>
      <c r="AA50" s="100">
        <f t="shared" si="32"/>
        <v>1.0280042538107055</v>
      </c>
    </row>
    <row r="51" spans="13:27" x14ac:dyDescent="0.2">
      <c r="M51" s="20" t="s">
        <v>31</v>
      </c>
      <c r="N51" s="50">
        <f>C10+C11+C12</f>
        <v>3.75</v>
      </c>
      <c r="O51" s="50">
        <f t="shared" ref="O51:P51" si="34">D10+D11+D12</f>
        <v>5.75</v>
      </c>
      <c r="P51" s="50">
        <f t="shared" si="34"/>
        <v>4.25</v>
      </c>
      <c r="X51" s="92" t="s">
        <v>100</v>
      </c>
      <c r="Y51" s="100">
        <f t="shared" si="30"/>
        <v>0.39303710490151167</v>
      </c>
      <c r="Z51" s="100">
        <f t="shared" si="31"/>
        <v>1.0699343411207818</v>
      </c>
      <c r="AA51" s="100">
        <f t="shared" si="32"/>
        <v>1.3101236830050389</v>
      </c>
    </row>
    <row r="52" spans="13:27" x14ac:dyDescent="0.2">
      <c r="M52" s="20" t="s">
        <v>32</v>
      </c>
      <c r="N52" s="53">
        <f>N46</f>
        <v>3.0797684333144186</v>
      </c>
      <c r="O52" s="53">
        <f t="shared" ref="O52:P52" si="35">O46</f>
        <v>9.5689944787743215</v>
      </c>
      <c r="P52" s="53">
        <f t="shared" si="35"/>
        <v>7.2595685684221776</v>
      </c>
      <c r="X52" s="92" t="s">
        <v>102</v>
      </c>
      <c r="Y52" s="100">
        <f t="shared" si="30"/>
        <v>0.23026315789473681</v>
      </c>
      <c r="Z52" s="100">
        <f t="shared" si="31"/>
        <v>0.92105263157894746</v>
      </c>
      <c r="AA52" s="100">
        <f t="shared" si="32"/>
        <v>0.46052631578947367</v>
      </c>
    </row>
    <row r="53" spans="13:27" x14ac:dyDescent="0.2">
      <c r="M53" s="24" t="s">
        <v>33</v>
      </c>
      <c r="N53" s="56">
        <f>SUM(N51:N52)</f>
        <v>6.8297684333144186</v>
      </c>
      <c r="O53" s="56">
        <f t="shared" ref="O53:P53" si="36">SUM(O51:O52)</f>
        <v>15.318994478774322</v>
      </c>
      <c r="P53" s="56">
        <f t="shared" si="36"/>
        <v>11.509568568422178</v>
      </c>
      <c r="X53" s="97" t="s">
        <v>104</v>
      </c>
      <c r="Y53" s="100">
        <f t="shared" si="30"/>
        <v>0.44722222222222224</v>
      </c>
      <c r="Z53" s="100">
        <f t="shared" si="31"/>
        <v>3.8333333333333335</v>
      </c>
      <c r="AA53" s="100">
        <f t="shared" si="32"/>
        <v>0.61923076923076925</v>
      </c>
    </row>
    <row r="54" spans="13:27" x14ac:dyDescent="0.2">
      <c r="M54" s="20" t="s">
        <v>34</v>
      </c>
      <c r="N54" s="50">
        <f>C5</f>
        <v>10</v>
      </c>
      <c r="O54" s="50">
        <f t="shared" ref="O54:P54" si="37">D5</f>
        <v>22</v>
      </c>
      <c r="P54" s="50">
        <f t="shared" si="37"/>
        <v>16</v>
      </c>
      <c r="X54" s="98" t="s">
        <v>39</v>
      </c>
      <c r="Y54" s="99">
        <f>SUM(Y44:Y53)</f>
        <v>2.6614413325323008</v>
      </c>
      <c r="Z54" s="99">
        <f t="shared" ref="Z54:AA54" si="38">SUM(Z44:Z53)</f>
        <v>17.332763458715846</v>
      </c>
      <c r="AA54" s="99">
        <f t="shared" si="38"/>
        <v>5.3304961144470795</v>
      </c>
    </row>
    <row r="55" spans="13:27" x14ac:dyDescent="0.2">
      <c r="M55" s="20" t="s">
        <v>35</v>
      </c>
      <c r="N55" s="50">
        <f>+N54-N53</f>
        <v>3.1702315666855814</v>
      </c>
      <c r="O55" s="50">
        <f t="shared" ref="O55:P55" si="39">+O54-O53</f>
        <v>6.6810055212256785</v>
      </c>
      <c r="P55" s="50">
        <f t="shared" si="39"/>
        <v>4.4904314315778215</v>
      </c>
    </row>
    <row r="56" spans="13:27" x14ac:dyDescent="0.2">
      <c r="M56" s="20" t="s">
        <v>36</v>
      </c>
      <c r="N56" s="57">
        <f>+N55/N54</f>
        <v>0.31702315666855813</v>
      </c>
      <c r="O56" s="57">
        <f t="shared" ref="O56:P56" si="40">+O55/O54</f>
        <v>0.30368206914662177</v>
      </c>
      <c r="P56" s="57">
        <f t="shared" si="40"/>
        <v>0.28065196447361385</v>
      </c>
    </row>
    <row r="57" spans="13:27" x14ac:dyDescent="0.2">
      <c r="M57" s="20" t="s">
        <v>37</v>
      </c>
      <c r="N57" s="36">
        <v>1</v>
      </c>
      <c r="O57" s="36">
        <v>2</v>
      </c>
      <c r="P57" s="36">
        <v>3</v>
      </c>
      <c r="X57" s="261" t="s">
        <v>27</v>
      </c>
      <c r="Y57" s="261"/>
      <c r="Z57" s="261"/>
      <c r="AA57" s="261"/>
    </row>
    <row r="58" spans="13:27" x14ac:dyDescent="0.2">
      <c r="X58" s="22"/>
      <c r="Y58" s="23" t="s">
        <v>28</v>
      </c>
      <c r="Z58" s="23" t="s">
        <v>29</v>
      </c>
      <c r="AA58" s="23" t="s">
        <v>30</v>
      </c>
    </row>
    <row r="59" spans="13:27" x14ac:dyDescent="0.2">
      <c r="M59" s="262" t="s">
        <v>38</v>
      </c>
      <c r="N59" s="263"/>
      <c r="O59" s="263"/>
      <c r="P59" s="263"/>
      <c r="Q59" s="264"/>
      <c r="X59" s="20" t="s">
        <v>31</v>
      </c>
      <c r="Y59" s="50">
        <f>C10+C11+C12</f>
        <v>3.75</v>
      </c>
      <c r="Z59" s="50">
        <f t="shared" ref="Z59:AA59" si="41">D10+D11+D12</f>
        <v>5.75</v>
      </c>
      <c r="AA59" s="50">
        <f t="shared" si="41"/>
        <v>4.25</v>
      </c>
    </row>
    <row r="60" spans="13:27" x14ac:dyDescent="0.2">
      <c r="M60" s="66"/>
      <c r="N60" s="4" t="s">
        <v>28</v>
      </c>
      <c r="O60" s="4" t="s">
        <v>29</v>
      </c>
      <c r="P60" s="4" t="s">
        <v>30</v>
      </c>
      <c r="Q60" s="4" t="s">
        <v>39</v>
      </c>
      <c r="X60" s="20" t="s">
        <v>32</v>
      </c>
      <c r="Y60" s="53">
        <f>Y54</f>
        <v>2.6614413325323008</v>
      </c>
      <c r="Z60" s="53">
        <f t="shared" ref="Z60:AA60" si="42">Z54</f>
        <v>17.332763458715846</v>
      </c>
      <c r="AA60" s="53">
        <f t="shared" si="42"/>
        <v>5.3304961144470795</v>
      </c>
    </row>
    <row r="61" spans="13:27" x14ac:dyDescent="0.2">
      <c r="M61" s="25" t="s">
        <v>20</v>
      </c>
      <c r="N61" s="67">
        <f>C4*C5</f>
        <v>180000</v>
      </c>
      <c r="O61" s="67">
        <f t="shared" ref="O61:P61" si="43">D4*D5</f>
        <v>92400</v>
      </c>
      <c r="P61" s="67">
        <f t="shared" si="43"/>
        <v>208000</v>
      </c>
      <c r="Q61" s="68">
        <f>SUM(N61:P61)</f>
        <v>480400</v>
      </c>
      <c r="X61" s="24" t="s">
        <v>33</v>
      </c>
      <c r="Y61" s="56">
        <f>SUM(Y59:Y60)</f>
        <v>6.4114413325323003</v>
      </c>
      <c r="Z61" s="56">
        <f t="shared" ref="Z61" si="44">SUM(Z59:Z60)</f>
        <v>23.082763458715846</v>
      </c>
      <c r="AA61" s="56">
        <f t="shared" ref="AA61" si="45">SUM(AA59:AA60)</f>
        <v>9.5804961144470795</v>
      </c>
    </row>
    <row r="62" spans="13:27" x14ac:dyDescent="0.2">
      <c r="M62" s="26" t="s">
        <v>40</v>
      </c>
      <c r="N62" s="69"/>
      <c r="O62" s="69"/>
      <c r="P62" s="69"/>
      <c r="Q62" s="69"/>
      <c r="X62" s="20" t="s">
        <v>34</v>
      </c>
      <c r="Y62" s="50">
        <f>C5</f>
        <v>10</v>
      </c>
      <c r="Z62" s="50">
        <f t="shared" ref="Z62:AA62" si="46">D5</f>
        <v>22</v>
      </c>
      <c r="AA62" s="50">
        <f t="shared" si="46"/>
        <v>16</v>
      </c>
    </row>
    <row r="63" spans="13:27" x14ac:dyDescent="0.2">
      <c r="M63" s="26" t="s">
        <v>41</v>
      </c>
      <c r="N63" s="70">
        <f>-C10*C4</f>
        <v>-54000</v>
      </c>
      <c r="O63" s="70">
        <f t="shared" ref="O63:P63" si="47">-D10*D4</f>
        <v>-16800</v>
      </c>
      <c r="P63" s="70">
        <f t="shared" si="47"/>
        <v>-39000</v>
      </c>
      <c r="Q63" s="71">
        <f>SUM(N63:P63)</f>
        <v>-109800</v>
      </c>
      <c r="X63" s="20" t="s">
        <v>35</v>
      </c>
      <c r="Y63" s="50">
        <f>+Y62-Y61</f>
        <v>3.5885586674676997</v>
      </c>
      <c r="Z63" s="50">
        <f t="shared" ref="Z63" si="48">+Z62-Z61</f>
        <v>-1.0827634587158457</v>
      </c>
      <c r="AA63" s="50">
        <f t="shared" ref="AA63" si="49">+AA62-AA61</f>
        <v>6.4195038855529205</v>
      </c>
    </row>
    <row r="64" spans="13:27" x14ac:dyDescent="0.2">
      <c r="M64" s="26" t="s">
        <v>42</v>
      </c>
      <c r="N64" s="70">
        <f>-C11*C4</f>
        <v>-4500</v>
      </c>
      <c r="O64" s="70">
        <f t="shared" ref="O64:P64" si="50">-D11*D4</f>
        <v>-3150</v>
      </c>
      <c r="P64" s="70">
        <f t="shared" si="50"/>
        <v>-6500</v>
      </c>
      <c r="Q64" s="71">
        <f t="shared" ref="Q64:Q66" si="51">SUM(N64:P64)</f>
        <v>-14150</v>
      </c>
      <c r="X64" s="20" t="s">
        <v>36</v>
      </c>
      <c r="Y64" s="57">
        <f>+Y63/Y62</f>
        <v>0.35885586674676995</v>
      </c>
      <c r="Z64" s="57">
        <f t="shared" ref="Z64" si="52">+Z63/Z62</f>
        <v>-4.9216520850720258E-2</v>
      </c>
      <c r="AA64" s="57">
        <f t="shared" ref="AA64" si="53">+AA63/AA62</f>
        <v>0.40121899284705753</v>
      </c>
    </row>
    <row r="65" spans="13:28" x14ac:dyDescent="0.2">
      <c r="M65" s="26" t="s">
        <v>43</v>
      </c>
      <c r="N65" s="70">
        <f>-C12*C4</f>
        <v>-9000</v>
      </c>
      <c r="O65" s="70">
        <f t="shared" ref="O65:P65" si="54">-D12*D4</f>
        <v>-4200</v>
      </c>
      <c r="P65" s="70">
        <f t="shared" si="54"/>
        <v>-9750</v>
      </c>
      <c r="Q65" s="71">
        <f t="shared" si="51"/>
        <v>-22950</v>
      </c>
      <c r="X65" s="20" t="s">
        <v>37</v>
      </c>
      <c r="Y65" s="36">
        <v>2</v>
      </c>
      <c r="Z65" s="36">
        <v>3</v>
      </c>
      <c r="AA65" s="36">
        <v>1</v>
      </c>
    </row>
    <row r="66" spans="13:28" x14ac:dyDescent="0.2">
      <c r="M66" s="26" t="s">
        <v>44</v>
      </c>
      <c r="N66" s="70">
        <f>-N46*C4</f>
        <v>-55435.831799659536</v>
      </c>
      <c r="O66" s="70">
        <f t="shared" ref="O66:P66" si="55">-O46*D4</f>
        <v>-40189.776810852149</v>
      </c>
      <c r="P66" s="70">
        <f t="shared" si="55"/>
        <v>-94374.391389488315</v>
      </c>
      <c r="Q66" s="71">
        <f t="shared" si="51"/>
        <v>-190000</v>
      </c>
    </row>
    <row r="67" spans="13:28" x14ac:dyDescent="0.2">
      <c r="M67" s="26" t="s">
        <v>45</v>
      </c>
      <c r="N67" s="71">
        <f>+N61+N63+N64+N65+N66</f>
        <v>57064.168200340464</v>
      </c>
      <c r="O67" s="71">
        <f t="shared" ref="O67" si="56">+O61+O63+O64+O65+O66</f>
        <v>28060.223189147851</v>
      </c>
      <c r="P67" s="71">
        <f t="shared" ref="P67" si="57">+P61+P63+P64+P65+P66</f>
        <v>58375.608610511685</v>
      </c>
      <c r="Q67" s="71">
        <f>SUM(N67:P67)</f>
        <v>143500</v>
      </c>
      <c r="X67" s="262" t="s">
        <v>38</v>
      </c>
      <c r="Y67" s="263"/>
      <c r="Z67" s="263"/>
      <c r="AA67" s="263"/>
      <c r="AB67" s="264"/>
    </row>
    <row r="68" spans="13:28" x14ac:dyDescent="0.2">
      <c r="M68" s="26" t="s">
        <v>46</v>
      </c>
      <c r="N68" s="69"/>
      <c r="O68" s="69"/>
      <c r="P68" s="69"/>
      <c r="Q68" s="69"/>
      <c r="X68" s="66"/>
      <c r="Y68" s="4" t="s">
        <v>28</v>
      </c>
      <c r="Z68" s="4" t="s">
        <v>29</v>
      </c>
      <c r="AA68" s="4" t="s">
        <v>30</v>
      </c>
      <c r="AB68" s="4" t="s">
        <v>39</v>
      </c>
    </row>
    <row r="69" spans="13:28" x14ac:dyDescent="0.2">
      <c r="M69" s="26" t="s">
        <v>47</v>
      </c>
      <c r="N69" s="69"/>
      <c r="O69" s="69"/>
      <c r="P69" s="69"/>
      <c r="Q69" s="70">
        <f>-C26</f>
        <v>-50000</v>
      </c>
      <c r="X69" s="25" t="s">
        <v>20</v>
      </c>
      <c r="Y69" s="67">
        <f>C4*C5</f>
        <v>180000</v>
      </c>
      <c r="Z69" s="67">
        <f t="shared" ref="Z69:AA69" si="58">D4*D5</f>
        <v>92400</v>
      </c>
      <c r="AA69" s="67">
        <f t="shared" si="58"/>
        <v>208000</v>
      </c>
      <c r="AB69" s="68">
        <f>SUM(Y69:AA69)</f>
        <v>480400</v>
      </c>
    </row>
    <row r="70" spans="13:28" x14ac:dyDescent="0.2">
      <c r="M70" s="26" t="s">
        <v>48</v>
      </c>
      <c r="N70" s="69"/>
      <c r="O70" s="69"/>
      <c r="P70" s="69"/>
      <c r="Q70" s="70">
        <f>-C27-C28</f>
        <v>-67020</v>
      </c>
      <c r="X70" s="26" t="s">
        <v>40</v>
      </c>
      <c r="Y70" s="69"/>
      <c r="Z70" s="69"/>
      <c r="AA70" s="69"/>
      <c r="AB70" s="69"/>
    </row>
    <row r="71" spans="13:28" x14ac:dyDescent="0.2">
      <c r="M71" s="27" t="s">
        <v>49</v>
      </c>
      <c r="N71" s="79"/>
      <c r="O71" s="79"/>
      <c r="P71" s="79"/>
      <c r="Q71" s="80">
        <f>SUM(Q67:Q70)</f>
        <v>26480</v>
      </c>
      <c r="X71" s="26" t="s">
        <v>41</v>
      </c>
      <c r="Y71" s="70">
        <f>-C10*C4</f>
        <v>-54000</v>
      </c>
      <c r="Z71" s="70">
        <f t="shared" ref="Z71:AA71" si="59">-D10*D4</f>
        <v>-16800</v>
      </c>
      <c r="AA71" s="70">
        <f t="shared" si="59"/>
        <v>-39000</v>
      </c>
      <c r="AB71" s="71">
        <f>SUM(Y71:AA71)</f>
        <v>-109800</v>
      </c>
    </row>
    <row r="72" spans="13:28" x14ac:dyDescent="0.2">
      <c r="X72" s="26" t="s">
        <v>42</v>
      </c>
      <c r="Y72" s="70">
        <f>-C11*C4</f>
        <v>-4500</v>
      </c>
      <c r="Z72" s="70">
        <f t="shared" ref="Z72:AA72" si="60">-D11*D4</f>
        <v>-3150</v>
      </c>
      <c r="AA72" s="70">
        <f t="shared" si="60"/>
        <v>-6500</v>
      </c>
      <c r="AB72" s="71">
        <f t="shared" ref="AB72:AB74" si="61">SUM(Y72:AA72)</f>
        <v>-14150</v>
      </c>
    </row>
    <row r="73" spans="13:28" x14ac:dyDescent="0.2">
      <c r="X73" s="26" t="s">
        <v>43</v>
      </c>
      <c r="Y73" s="70">
        <f>-C12*C4</f>
        <v>-9000</v>
      </c>
      <c r="Z73" s="70">
        <f t="shared" ref="Z73:AA73" si="62">-D12*D4</f>
        <v>-4200</v>
      </c>
      <c r="AA73" s="70">
        <f t="shared" si="62"/>
        <v>-9750</v>
      </c>
      <c r="AB73" s="71">
        <f t="shared" si="61"/>
        <v>-22950</v>
      </c>
    </row>
    <row r="74" spans="13:28" x14ac:dyDescent="0.2">
      <c r="X74" s="26" t="s">
        <v>44</v>
      </c>
      <c r="Y74" s="70">
        <f>-Y54*C4</f>
        <v>-47905.943985581413</v>
      </c>
      <c r="Z74" s="70">
        <f t="shared" ref="Z74:AA74" si="63">-Z54*D4</f>
        <v>-72797.606526606556</v>
      </c>
      <c r="AA74" s="70">
        <f t="shared" si="63"/>
        <v>-69296.449487812031</v>
      </c>
      <c r="AB74" s="71">
        <f t="shared" si="61"/>
        <v>-190000</v>
      </c>
    </row>
    <row r="75" spans="13:28" x14ac:dyDescent="0.2">
      <c r="X75" s="26" t="s">
        <v>45</v>
      </c>
      <c r="Y75" s="71">
        <f>+Y69+Y71+Y72+Y73+Y74</f>
        <v>64594.056014418587</v>
      </c>
      <c r="Z75" s="71">
        <f t="shared" ref="Z75" si="64">+Z69+Z71+Z72+Z73+Z74</f>
        <v>-4547.6065266065561</v>
      </c>
      <c r="AA75" s="71">
        <f t="shared" ref="AA75" si="65">+AA69+AA71+AA72+AA73+AA74</f>
        <v>83453.550512187969</v>
      </c>
      <c r="AB75" s="71">
        <f>SUM(Y75:AA75)</f>
        <v>143500</v>
      </c>
    </row>
    <row r="76" spans="13:28" x14ac:dyDescent="0.2">
      <c r="X76" s="26" t="s">
        <v>46</v>
      </c>
      <c r="Y76" s="69"/>
      <c r="Z76" s="69"/>
      <c r="AA76" s="69"/>
      <c r="AB76" s="69"/>
    </row>
    <row r="77" spans="13:28" x14ac:dyDescent="0.2">
      <c r="X77" s="26" t="s">
        <v>47</v>
      </c>
      <c r="Y77" s="69"/>
      <c r="Z77" s="69"/>
      <c r="AA77" s="69"/>
      <c r="AB77" s="70">
        <f>-C26</f>
        <v>-50000</v>
      </c>
    </row>
    <row r="78" spans="13:28" x14ac:dyDescent="0.2">
      <c r="X78" s="26" t="s">
        <v>48</v>
      </c>
      <c r="Y78" s="69"/>
      <c r="Z78" s="69"/>
      <c r="AA78" s="69"/>
      <c r="AB78" s="70">
        <f>-C27-C28</f>
        <v>-67020</v>
      </c>
    </row>
    <row r="79" spans="13:28" x14ac:dyDescent="0.2">
      <c r="X79" s="27" t="s">
        <v>49</v>
      </c>
      <c r="Y79" s="79"/>
      <c r="Z79" s="79"/>
      <c r="AA79" s="79"/>
      <c r="AB79" s="80">
        <f>SUM(AB75:AB78)</f>
        <v>26480</v>
      </c>
    </row>
    <row r="83" spans="21:28" x14ac:dyDescent="0.2">
      <c r="U83" s="101" t="s">
        <v>115</v>
      </c>
      <c r="V83" s="101" t="s">
        <v>107</v>
      </c>
      <c r="W83" s="101" t="s">
        <v>108</v>
      </c>
      <c r="X83" s="101" t="s">
        <v>116</v>
      </c>
      <c r="Y83" s="101" t="s">
        <v>28</v>
      </c>
      <c r="Z83" s="101" t="s">
        <v>29</v>
      </c>
      <c r="AA83" s="101" t="s">
        <v>30</v>
      </c>
      <c r="AB83" s="101" t="s">
        <v>22</v>
      </c>
    </row>
    <row r="84" spans="21:28" x14ac:dyDescent="0.2">
      <c r="U84" s="102" t="s">
        <v>109</v>
      </c>
      <c r="V84" s="103" t="s">
        <v>110</v>
      </c>
      <c r="W84" s="104">
        <v>7000</v>
      </c>
      <c r="X84" s="103" t="s">
        <v>117</v>
      </c>
      <c r="Y84" s="107">
        <v>600</v>
      </c>
      <c r="Z84" s="107">
        <v>700</v>
      </c>
      <c r="AA84" s="107">
        <v>800</v>
      </c>
      <c r="AB84" s="108">
        <v>2100</v>
      </c>
    </row>
    <row r="85" spans="21:28" x14ac:dyDescent="0.2">
      <c r="U85" s="105"/>
      <c r="V85" s="103" t="s">
        <v>111</v>
      </c>
      <c r="W85" s="104">
        <v>10000</v>
      </c>
      <c r="X85" s="103" t="s">
        <v>118</v>
      </c>
      <c r="Y85" s="107">
        <v>200</v>
      </c>
      <c r="Z85" s="107">
        <v>275</v>
      </c>
      <c r="AA85" s="107">
        <v>500</v>
      </c>
      <c r="AB85" s="107">
        <v>975</v>
      </c>
    </row>
    <row r="86" spans="21:28" x14ac:dyDescent="0.2">
      <c r="U86" s="106"/>
      <c r="V86" s="103" t="s">
        <v>112</v>
      </c>
      <c r="W86" s="104">
        <v>33000</v>
      </c>
      <c r="X86" s="103" t="s">
        <v>119</v>
      </c>
      <c r="Y86" s="107">
        <v>200</v>
      </c>
      <c r="Z86" s="107">
        <v>250</v>
      </c>
      <c r="AA86" s="107">
        <v>360</v>
      </c>
      <c r="AB86" s="107">
        <v>810</v>
      </c>
    </row>
    <row r="87" spans="21:28" x14ac:dyDescent="0.2">
      <c r="U87" s="102" t="s">
        <v>20</v>
      </c>
      <c r="V87" s="103" t="s">
        <v>113</v>
      </c>
      <c r="W87" s="104">
        <v>30000</v>
      </c>
      <c r="X87" s="103" t="s">
        <v>120</v>
      </c>
      <c r="Y87" s="107">
        <v>150</v>
      </c>
      <c r="Z87" s="107">
        <v>250</v>
      </c>
      <c r="AA87" s="107">
        <v>600</v>
      </c>
      <c r="AB87" s="108">
        <v>1000</v>
      </c>
    </row>
    <row r="88" spans="21:28" x14ac:dyDescent="0.2">
      <c r="U88" s="106"/>
      <c r="V88" s="103" t="s">
        <v>114</v>
      </c>
      <c r="W88" s="104">
        <v>13000</v>
      </c>
      <c r="X88" s="103" t="s">
        <v>121</v>
      </c>
      <c r="Y88" s="107">
        <v>250</v>
      </c>
      <c r="Z88" s="107">
        <v>300</v>
      </c>
      <c r="AA88" s="107">
        <v>400</v>
      </c>
      <c r="AB88" s="107">
        <v>950</v>
      </c>
    </row>
    <row r="89" spans="21:28" x14ac:dyDescent="0.2">
      <c r="W89" s="116">
        <f>SUM(W84:W88)</f>
        <v>93000</v>
      </c>
    </row>
    <row r="91" spans="21:28" x14ac:dyDescent="0.2">
      <c r="Y91" s="89" t="s">
        <v>0</v>
      </c>
      <c r="Z91" s="89" t="s">
        <v>1</v>
      </c>
      <c r="AA91" s="89" t="s">
        <v>2</v>
      </c>
    </row>
    <row r="92" spans="21:28" x14ac:dyDescent="0.2">
      <c r="Y92" s="96">
        <f>Y84/AB84</f>
        <v>0.2857142857142857</v>
      </c>
      <c r="Z92" s="96">
        <f>Z84/AB84</f>
        <v>0.33333333333333331</v>
      </c>
      <c r="AA92" s="96">
        <f>AA84/AB84</f>
        <v>0.38095238095238093</v>
      </c>
    </row>
    <row r="93" spans="21:28" x14ac:dyDescent="0.2">
      <c r="Y93" s="96">
        <f t="shared" ref="Y93:Y96" si="66">Y85/AB85</f>
        <v>0.20512820512820512</v>
      </c>
      <c r="Z93" s="96">
        <f t="shared" ref="Z93:Z96" si="67">Z85/AB85</f>
        <v>0.28205128205128205</v>
      </c>
      <c r="AA93" s="96">
        <f t="shared" ref="AA93:AA96" si="68">AA85/AB85</f>
        <v>0.51282051282051277</v>
      </c>
    </row>
    <row r="94" spans="21:28" x14ac:dyDescent="0.2">
      <c r="Y94" s="96">
        <f t="shared" si="66"/>
        <v>0.24691358024691357</v>
      </c>
      <c r="Z94" s="96">
        <f t="shared" si="67"/>
        <v>0.30864197530864196</v>
      </c>
      <c r="AA94" s="96">
        <f t="shared" si="68"/>
        <v>0.44444444444444442</v>
      </c>
    </row>
    <row r="95" spans="21:28" x14ac:dyDescent="0.2">
      <c r="Y95" s="96">
        <f t="shared" si="66"/>
        <v>0.15</v>
      </c>
      <c r="Z95" s="96">
        <f t="shared" si="67"/>
        <v>0.25</v>
      </c>
      <c r="AA95" s="96">
        <f t="shared" si="68"/>
        <v>0.6</v>
      </c>
    </row>
    <row r="96" spans="21:28" x14ac:dyDescent="0.2">
      <c r="Y96" s="96">
        <f t="shared" si="66"/>
        <v>0.26315789473684209</v>
      </c>
      <c r="Z96" s="96">
        <f t="shared" si="67"/>
        <v>0.31578947368421051</v>
      </c>
      <c r="AA96" s="96">
        <f t="shared" si="68"/>
        <v>0.42105263157894735</v>
      </c>
    </row>
    <row r="98" spans="24:28" x14ac:dyDescent="0.2">
      <c r="X98" s="101" t="s">
        <v>107</v>
      </c>
      <c r="Y98" s="110" t="s">
        <v>0</v>
      </c>
      <c r="Z98" s="110" t="s">
        <v>1</v>
      </c>
      <c r="AA98" s="110" t="s">
        <v>2</v>
      </c>
      <c r="AB98" s="111" t="s">
        <v>22</v>
      </c>
    </row>
    <row r="99" spans="24:28" x14ac:dyDescent="0.2">
      <c r="X99" s="109" t="s">
        <v>110</v>
      </c>
      <c r="Y99" s="100">
        <f>Y92*W84</f>
        <v>2000</v>
      </c>
      <c r="Z99" s="100">
        <f>Z92*W84</f>
        <v>2333.333333333333</v>
      </c>
      <c r="AA99" s="100">
        <f>AA92*W84</f>
        <v>2666.6666666666665</v>
      </c>
      <c r="AB99" s="82">
        <f>SUM(Y99:AA99)</f>
        <v>7000</v>
      </c>
    </row>
    <row r="100" spans="24:28" x14ac:dyDescent="0.2">
      <c r="X100" s="109" t="s">
        <v>111</v>
      </c>
      <c r="Y100" s="100">
        <f t="shared" ref="Y100:Y103" si="69">Y93*W85</f>
        <v>2051.2820512820513</v>
      </c>
      <c r="Z100" s="100">
        <f t="shared" ref="Z100:Z103" si="70">Z93*W85</f>
        <v>2820.5128205128203</v>
      </c>
      <c r="AA100" s="100">
        <f t="shared" ref="AA100:AA103" si="71">AA93*W85</f>
        <v>5128.2051282051279</v>
      </c>
      <c r="AB100" s="82">
        <f t="shared" ref="AB100:AB103" si="72">SUM(Y100:AA100)</f>
        <v>10000</v>
      </c>
    </row>
    <row r="101" spans="24:28" x14ac:dyDescent="0.2">
      <c r="X101" s="109" t="s">
        <v>112</v>
      </c>
      <c r="Y101" s="100">
        <f t="shared" si="69"/>
        <v>8148.1481481481478</v>
      </c>
      <c r="Z101" s="100">
        <f t="shared" si="70"/>
        <v>10185.185185185184</v>
      </c>
      <c r="AA101" s="100">
        <f t="shared" si="71"/>
        <v>14666.666666666666</v>
      </c>
      <c r="AB101" s="82">
        <f t="shared" si="72"/>
        <v>33000</v>
      </c>
    </row>
    <row r="102" spans="24:28" x14ac:dyDescent="0.2">
      <c r="X102" s="109" t="s">
        <v>113</v>
      </c>
      <c r="Y102" s="100">
        <f t="shared" si="69"/>
        <v>4500</v>
      </c>
      <c r="Z102" s="100">
        <f t="shared" si="70"/>
        <v>7500</v>
      </c>
      <c r="AA102" s="100">
        <f t="shared" si="71"/>
        <v>18000</v>
      </c>
      <c r="AB102" s="82">
        <f t="shared" si="72"/>
        <v>30000</v>
      </c>
    </row>
    <row r="103" spans="24:28" x14ac:dyDescent="0.2">
      <c r="X103" s="112" t="s">
        <v>114</v>
      </c>
      <c r="Y103" s="113">
        <f t="shared" si="69"/>
        <v>3421.0526315789471</v>
      </c>
      <c r="Z103" s="113">
        <f t="shared" si="70"/>
        <v>4105.2631578947367</v>
      </c>
      <c r="AA103" s="113">
        <f t="shared" si="71"/>
        <v>5473.6842105263158</v>
      </c>
      <c r="AB103" s="114">
        <f t="shared" si="72"/>
        <v>13000</v>
      </c>
    </row>
    <row r="104" spans="24:28" x14ac:dyDescent="0.2">
      <c r="X104" s="115" t="s">
        <v>39</v>
      </c>
      <c r="Y104" s="82">
        <f>SUM(Y99:Y103)</f>
        <v>20120.482831009147</v>
      </c>
      <c r="Z104" s="82">
        <f t="shared" ref="Z104:AB104" si="73">SUM(Z99:Z103)</f>
        <v>26944.294496926075</v>
      </c>
      <c r="AA104" s="82">
        <f t="shared" si="73"/>
        <v>45935.222672064774</v>
      </c>
      <c r="AB104" s="82">
        <f t="shared" si="73"/>
        <v>93000</v>
      </c>
    </row>
    <row r="108" spans="24:28" x14ac:dyDescent="0.2">
      <c r="X108" s="101" t="s">
        <v>107</v>
      </c>
      <c r="Y108" s="110" t="s">
        <v>0</v>
      </c>
      <c r="Z108" s="110" t="s">
        <v>1</v>
      </c>
      <c r="AA108" s="110" t="s">
        <v>2</v>
      </c>
      <c r="AB108" s="111" t="s">
        <v>22</v>
      </c>
    </row>
    <row r="109" spans="24:28" x14ac:dyDescent="0.2">
      <c r="X109" s="109" t="s">
        <v>110</v>
      </c>
      <c r="Y109" s="100">
        <f>Y99/$C$4</f>
        <v>0.1111111111111111</v>
      </c>
      <c r="Z109" s="100">
        <f>Z99/$D$4</f>
        <v>0.55555555555555547</v>
      </c>
      <c r="AA109" s="100">
        <f>AA99/$E$4</f>
        <v>0.20512820512820512</v>
      </c>
      <c r="AB109" s="82">
        <f>SUM(Y109:AA109)</f>
        <v>0.87179487179487158</v>
      </c>
    </row>
    <row r="110" spans="24:28" x14ac:dyDescent="0.2">
      <c r="X110" s="109" t="s">
        <v>111</v>
      </c>
      <c r="Y110" s="100">
        <f t="shared" ref="Y110:Y113" si="74">Y100/$C$4</f>
        <v>0.11396011396011396</v>
      </c>
      <c r="Z110" s="100">
        <f t="shared" ref="Z110:Z113" si="75">Z100/$D$4</f>
        <v>0.6715506715506715</v>
      </c>
      <c r="AA110" s="100">
        <f t="shared" ref="AA110:AA113" si="76">AA100/$E$4</f>
        <v>0.39447731755424059</v>
      </c>
      <c r="AB110" s="82">
        <f t="shared" ref="AB110:AB113" si="77">SUM(Y110:AA110)</f>
        <v>1.1799881030650261</v>
      </c>
    </row>
    <row r="111" spans="24:28" x14ac:dyDescent="0.2">
      <c r="X111" s="109" t="s">
        <v>112</v>
      </c>
      <c r="Y111" s="100">
        <f t="shared" si="74"/>
        <v>0.45267489711934156</v>
      </c>
      <c r="Z111" s="100">
        <f t="shared" si="75"/>
        <v>2.4250440917107583</v>
      </c>
      <c r="AA111" s="100">
        <f t="shared" si="76"/>
        <v>1.1282051282051282</v>
      </c>
      <c r="AB111" s="82">
        <f t="shared" si="77"/>
        <v>4.005924117035228</v>
      </c>
    </row>
    <row r="112" spans="24:28" x14ac:dyDescent="0.2">
      <c r="X112" s="109" t="s">
        <v>113</v>
      </c>
      <c r="Y112" s="100">
        <f t="shared" si="74"/>
        <v>0.25</v>
      </c>
      <c r="Z112" s="100">
        <f t="shared" si="75"/>
        <v>1.7857142857142858</v>
      </c>
      <c r="AA112" s="100">
        <f t="shared" si="76"/>
        <v>1.3846153846153846</v>
      </c>
      <c r="AB112" s="82">
        <f t="shared" si="77"/>
        <v>3.4203296703296702</v>
      </c>
    </row>
    <row r="113" spans="24:28" x14ac:dyDescent="0.2">
      <c r="X113" s="112" t="s">
        <v>114</v>
      </c>
      <c r="Y113" s="100">
        <f t="shared" si="74"/>
        <v>0.19005847953216373</v>
      </c>
      <c r="Z113" s="100">
        <f t="shared" si="75"/>
        <v>0.97744360902255634</v>
      </c>
      <c r="AA113" s="100">
        <f t="shared" si="76"/>
        <v>0.42105263157894735</v>
      </c>
      <c r="AB113" s="114">
        <f t="shared" si="77"/>
        <v>1.5885547201336674</v>
      </c>
    </row>
    <row r="114" spans="24:28" x14ac:dyDescent="0.2">
      <c r="X114" s="115" t="s">
        <v>39</v>
      </c>
      <c r="Y114" s="82">
        <f>SUM(Y109:Y113)</f>
        <v>1.1178046017227303</v>
      </c>
      <c r="Z114" s="82">
        <f t="shared" ref="Z114" si="78">SUM(Z109:Z113)</f>
        <v>6.4153082135538266</v>
      </c>
      <c r="AA114" s="82">
        <f t="shared" ref="AA114" si="79">SUM(AA109:AA113)</f>
        <v>3.5334786670819058</v>
      </c>
      <c r="AB114" s="82">
        <f t="shared" ref="AB114" si="80">SUM(AB109:AB113)</f>
        <v>11.066591482358463</v>
      </c>
    </row>
  </sheetData>
  <mergeCells count="20">
    <mergeCell ref="A1:XFD1"/>
    <mergeCell ref="B15:C15"/>
    <mergeCell ref="B25:C25"/>
    <mergeCell ref="G11:J11"/>
    <mergeCell ref="G22:K22"/>
    <mergeCell ref="N11:P11"/>
    <mergeCell ref="Q11:R11"/>
    <mergeCell ref="S11:S12"/>
    <mergeCell ref="X57:AA57"/>
    <mergeCell ref="X67:AB67"/>
    <mergeCell ref="M49:P49"/>
    <mergeCell ref="M59:Q59"/>
    <mergeCell ref="U4:U5"/>
    <mergeCell ref="U6:U7"/>
    <mergeCell ref="U8:U9"/>
    <mergeCell ref="U10:U11"/>
    <mergeCell ref="U12:U13"/>
    <mergeCell ref="N31:P31"/>
    <mergeCell ref="N37:O37"/>
    <mergeCell ref="P37:P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zoomScale="150" workbookViewId="0">
      <selection activeCell="C17" sqref="C17"/>
    </sheetView>
  </sheetViews>
  <sheetFormatPr baseColWidth="10" defaultRowHeight="16" x14ac:dyDescent="0.2"/>
  <cols>
    <col min="1" max="1" width="10.83203125" style="3"/>
    <col min="2" max="2" width="37.6640625" style="3" bestFit="1" customWidth="1"/>
    <col min="3" max="3" width="15.5" style="3" bestFit="1" customWidth="1"/>
    <col min="4" max="4" width="18" style="3" customWidth="1"/>
    <col min="5" max="5" width="13.83203125" style="3" bestFit="1" customWidth="1"/>
    <col min="6" max="6" width="34" style="3" customWidth="1"/>
    <col min="7" max="7" width="10.1640625" style="3" customWidth="1"/>
    <col min="8" max="8" width="38.5" style="3" bestFit="1" customWidth="1"/>
    <col min="9" max="10" width="8.1640625" style="3" bestFit="1" customWidth="1"/>
    <col min="11" max="11" width="9.1640625" style="3" bestFit="1" customWidth="1"/>
    <col min="12" max="16384" width="10.83203125" style="3"/>
  </cols>
  <sheetData>
    <row r="2" spans="2:11" x14ac:dyDescent="0.2">
      <c r="B2" s="30"/>
      <c r="C2" s="28" t="s">
        <v>122</v>
      </c>
      <c r="D2" s="28" t="s">
        <v>123</v>
      </c>
      <c r="F2" s="28" t="s">
        <v>107</v>
      </c>
      <c r="G2" s="28" t="s">
        <v>128</v>
      </c>
      <c r="I2" s="28" t="s">
        <v>122</v>
      </c>
      <c r="J2" s="121" t="s">
        <v>123</v>
      </c>
      <c r="K2" s="123" t="s">
        <v>39</v>
      </c>
    </row>
    <row r="3" spans="2:11" x14ac:dyDescent="0.2">
      <c r="B3" s="30" t="s">
        <v>124</v>
      </c>
      <c r="C3" s="29">
        <v>80</v>
      </c>
      <c r="D3" s="29">
        <v>95</v>
      </c>
      <c r="F3" s="30" t="s">
        <v>129</v>
      </c>
      <c r="G3" s="117">
        <v>60000</v>
      </c>
      <c r="H3" s="117" t="s">
        <v>134</v>
      </c>
      <c r="I3" s="117">
        <v>3</v>
      </c>
      <c r="J3" s="117">
        <v>7</v>
      </c>
      <c r="K3" s="122">
        <v>10</v>
      </c>
    </row>
    <row r="4" spans="2:11" x14ac:dyDescent="0.2">
      <c r="B4" s="30" t="s">
        <v>125</v>
      </c>
      <c r="C4" s="31">
        <v>12000</v>
      </c>
      <c r="D4" s="31">
        <v>4490</v>
      </c>
      <c r="F4" s="30" t="s">
        <v>130</v>
      </c>
      <c r="G4" s="117">
        <v>50000</v>
      </c>
      <c r="H4" s="117" t="s">
        <v>134</v>
      </c>
      <c r="I4" s="117">
        <v>3</v>
      </c>
      <c r="J4" s="117">
        <v>7</v>
      </c>
      <c r="K4" s="122">
        <v>10</v>
      </c>
    </row>
    <row r="5" spans="2:11" x14ac:dyDescent="0.2">
      <c r="B5" s="30" t="s">
        <v>126</v>
      </c>
      <c r="C5" s="29">
        <v>20</v>
      </c>
      <c r="D5" s="29">
        <v>27.95</v>
      </c>
      <c r="F5" s="30" t="s">
        <v>131</v>
      </c>
      <c r="G5" s="117">
        <v>40000</v>
      </c>
      <c r="H5" s="117" t="s">
        <v>134</v>
      </c>
      <c r="I5" s="117">
        <v>3</v>
      </c>
      <c r="J5" s="117">
        <v>7</v>
      </c>
      <c r="K5" s="122">
        <v>10</v>
      </c>
    </row>
    <row r="6" spans="2:11" x14ac:dyDescent="0.2">
      <c r="B6" s="30" t="s">
        <v>127</v>
      </c>
      <c r="C6" s="29">
        <v>10</v>
      </c>
      <c r="D6" s="29">
        <v>5</v>
      </c>
      <c r="F6" s="30" t="s">
        <v>132</v>
      </c>
      <c r="G6" s="117">
        <v>150000</v>
      </c>
      <c r="H6" s="117" t="s">
        <v>135</v>
      </c>
      <c r="I6" s="117">
        <v>4000</v>
      </c>
      <c r="J6" s="117">
        <v>6000</v>
      </c>
      <c r="K6" s="117">
        <v>10000</v>
      </c>
    </row>
    <row r="7" spans="2:11" x14ac:dyDescent="0.2">
      <c r="F7" s="30" t="s">
        <v>133</v>
      </c>
      <c r="G7" s="117">
        <v>200000</v>
      </c>
      <c r="H7" s="117" t="s">
        <v>136</v>
      </c>
      <c r="I7" s="117">
        <v>0.25</v>
      </c>
      <c r="J7" s="117">
        <v>0.75</v>
      </c>
      <c r="K7" s="117">
        <v>1</v>
      </c>
    </row>
    <row r="8" spans="2:11" x14ac:dyDescent="0.2">
      <c r="F8" s="118" t="s">
        <v>22</v>
      </c>
      <c r="G8" s="119">
        <v>500000</v>
      </c>
    </row>
    <row r="12" spans="2:11" x14ac:dyDescent="0.2">
      <c r="B12" s="125" t="s">
        <v>23</v>
      </c>
      <c r="C12" s="126" t="s">
        <v>122</v>
      </c>
      <c r="D12" s="126" t="s">
        <v>123</v>
      </c>
      <c r="E12" s="123" t="s">
        <v>39</v>
      </c>
    </row>
    <row r="13" spans="2:11" x14ac:dyDescent="0.2">
      <c r="B13" s="125" t="s">
        <v>39</v>
      </c>
      <c r="C13" s="127">
        <f>C6*C4</f>
        <v>120000</v>
      </c>
      <c r="D13" s="127">
        <f>D6*D4</f>
        <v>22450</v>
      </c>
      <c r="E13" s="34">
        <f>SUM(C13:D13)</f>
        <v>142450</v>
      </c>
    </row>
    <row r="14" spans="2:11" x14ac:dyDescent="0.2">
      <c r="B14" s="125" t="s">
        <v>25</v>
      </c>
      <c r="C14" s="128">
        <f>+C13/E13</f>
        <v>0.84240084240084245</v>
      </c>
      <c r="D14" s="128">
        <f>+D13/E13</f>
        <v>0.1575991575991576</v>
      </c>
      <c r="E14" s="125"/>
    </row>
    <row r="15" spans="2:11" x14ac:dyDescent="0.2">
      <c r="B15" s="125" t="s">
        <v>137</v>
      </c>
      <c r="C15" s="127">
        <f>G8*C14</f>
        <v>421200.42120042123</v>
      </c>
      <c r="D15" s="127">
        <f>G8*D14</f>
        <v>78799.578799578798</v>
      </c>
      <c r="E15" s="34">
        <f>SUM(C15:D15)</f>
        <v>500000</v>
      </c>
    </row>
    <row r="18" spans="2:5" x14ac:dyDescent="0.2">
      <c r="B18" s="125" t="s">
        <v>138</v>
      </c>
      <c r="C18" s="126" t="s">
        <v>122</v>
      </c>
      <c r="D18" s="126" t="s">
        <v>123</v>
      </c>
      <c r="E18" s="123" t="s">
        <v>39</v>
      </c>
    </row>
    <row r="19" spans="2:5" x14ac:dyDescent="0.2">
      <c r="B19" s="125" t="s">
        <v>39</v>
      </c>
      <c r="C19" s="127">
        <f>C5*C4</f>
        <v>240000</v>
      </c>
      <c r="D19" s="127">
        <f>D5*D4</f>
        <v>125495.5</v>
      </c>
      <c r="E19" s="34">
        <f>SUM(C19:D19)</f>
        <v>365495.5</v>
      </c>
    </row>
    <row r="20" spans="2:5" x14ac:dyDescent="0.2">
      <c r="B20" s="125" t="s">
        <v>25</v>
      </c>
      <c r="C20" s="128">
        <f>+C19/E19</f>
        <v>0.65664283144388924</v>
      </c>
      <c r="D20" s="128">
        <f>+D19/E19</f>
        <v>0.34335716855611081</v>
      </c>
      <c r="E20" s="125"/>
    </row>
    <row r="21" spans="2:5" x14ac:dyDescent="0.2">
      <c r="B21" s="125" t="s">
        <v>137</v>
      </c>
      <c r="C21" s="127">
        <f>G8*C20</f>
        <v>328321.41572194459</v>
      </c>
      <c r="D21" s="127">
        <f>G8*D20</f>
        <v>171678.58427805541</v>
      </c>
      <c r="E21" s="34">
        <f>SUM(C21:D21)</f>
        <v>500000</v>
      </c>
    </row>
    <row r="22" spans="2:5" x14ac:dyDescent="0.2">
      <c r="B22" s="129"/>
      <c r="C22" s="130"/>
      <c r="D22" s="130"/>
      <c r="E22" s="131"/>
    </row>
    <row r="24" spans="2:5" x14ac:dyDescent="0.2">
      <c r="B24" s="125"/>
      <c r="C24" s="126" t="s">
        <v>122</v>
      </c>
      <c r="D24" s="126" t="s">
        <v>123</v>
      </c>
      <c r="E24" s="123" t="s">
        <v>39</v>
      </c>
    </row>
    <row r="25" spans="2:5" x14ac:dyDescent="0.2">
      <c r="B25" s="132" t="s">
        <v>129</v>
      </c>
      <c r="C25" s="127">
        <f>I3/K3*G3</f>
        <v>18000</v>
      </c>
      <c r="D25" s="127">
        <f>J3/K3*G3</f>
        <v>42000</v>
      </c>
      <c r="E25" s="127">
        <f>SUM(C25:D25)</f>
        <v>60000</v>
      </c>
    </row>
    <row r="26" spans="2:5" x14ac:dyDescent="0.2">
      <c r="B26" s="133" t="s">
        <v>130</v>
      </c>
      <c r="C26" s="127">
        <f>I3/K3*G4</f>
        <v>15000</v>
      </c>
      <c r="D26" s="127">
        <f>J3/K3*G4</f>
        <v>35000</v>
      </c>
      <c r="E26" s="127">
        <f t="shared" ref="E26:E29" si="0">SUM(C26:D26)</f>
        <v>50000</v>
      </c>
    </row>
    <row r="27" spans="2:5" x14ac:dyDescent="0.2">
      <c r="B27" s="133" t="s">
        <v>131</v>
      </c>
      <c r="C27" s="127">
        <f>I3/K3*G5</f>
        <v>12000</v>
      </c>
      <c r="D27" s="127">
        <f>J3/K3*G5</f>
        <v>28000</v>
      </c>
      <c r="E27" s="127">
        <f t="shared" si="0"/>
        <v>40000</v>
      </c>
    </row>
    <row r="28" spans="2:5" x14ac:dyDescent="0.2">
      <c r="B28" s="133" t="s">
        <v>132</v>
      </c>
      <c r="C28" s="127">
        <f>I6/K6*G6</f>
        <v>60000</v>
      </c>
      <c r="D28" s="127">
        <f>J6/K6*G6</f>
        <v>90000</v>
      </c>
      <c r="E28" s="127">
        <f t="shared" si="0"/>
        <v>150000</v>
      </c>
    </row>
    <row r="29" spans="2:5" x14ac:dyDescent="0.2">
      <c r="B29" s="133" t="s">
        <v>133</v>
      </c>
      <c r="C29" s="127">
        <f>I7/K7*G7</f>
        <v>50000</v>
      </c>
      <c r="D29" s="127">
        <f>J7/K7*G7</f>
        <v>150000</v>
      </c>
      <c r="E29" s="127">
        <f t="shared" si="0"/>
        <v>200000</v>
      </c>
    </row>
    <row r="30" spans="2:5" x14ac:dyDescent="0.2">
      <c r="B30" s="125" t="s">
        <v>137</v>
      </c>
      <c r="C30" s="127">
        <f>SUM(C25:C29)</f>
        <v>155000</v>
      </c>
      <c r="D30" s="127">
        <f>SUM(D25:D29)</f>
        <v>345000</v>
      </c>
      <c r="E30" s="34">
        <f>SUM(C30:D30)</f>
        <v>500000</v>
      </c>
    </row>
    <row r="35" spans="2:5" x14ac:dyDescent="0.2">
      <c r="B35" s="134"/>
      <c r="C35" s="135" t="s">
        <v>122</v>
      </c>
      <c r="D35" s="135" t="s">
        <v>123</v>
      </c>
      <c r="E35" s="135" t="s">
        <v>22</v>
      </c>
    </row>
    <row r="36" spans="2:5" x14ac:dyDescent="0.2">
      <c r="B36" s="134" t="s">
        <v>139</v>
      </c>
      <c r="C36" s="138">
        <f>C3*C4</f>
        <v>960000</v>
      </c>
      <c r="D36" s="138">
        <f>D3*D4</f>
        <v>426550</v>
      </c>
      <c r="E36" s="139">
        <f>SUM(C36:D36)</f>
        <v>1386550</v>
      </c>
    </row>
    <row r="37" spans="2:5" x14ac:dyDescent="0.2">
      <c r="B37" s="134" t="s">
        <v>140</v>
      </c>
      <c r="C37" s="138">
        <f>-(C5+C6)*C4</f>
        <v>-360000</v>
      </c>
      <c r="D37" s="138">
        <f>-(D5+D6)*D4</f>
        <v>-147945.5</v>
      </c>
      <c r="E37" s="139">
        <f>SUM(C37:D37)</f>
        <v>-507945.5</v>
      </c>
    </row>
    <row r="38" spans="2:5" x14ac:dyDescent="0.2">
      <c r="B38" s="134" t="s">
        <v>141</v>
      </c>
      <c r="C38" s="139">
        <f>-C15</f>
        <v>-421200.42120042123</v>
      </c>
      <c r="D38" s="139">
        <f>-D15</f>
        <v>-78799.578799578798</v>
      </c>
      <c r="E38" s="139">
        <f>SUM(C38:D38)</f>
        <v>-500000</v>
      </c>
    </row>
    <row r="39" spans="2:5" x14ac:dyDescent="0.2">
      <c r="B39" s="134" t="s">
        <v>45</v>
      </c>
      <c r="C39" s="139">
        <f>SUM(C36:C38)</f>
        <v>178799.57879957877</v>
      </c>
      <c r="D39" s="139">
        <f t="shared" ref="D39:E39" si="1">SUM(D36:D38)</f>
        <v>199804.9212004212</v>
      </c>
      <c r="E39" s="139">
        <f t="shared" si="1"/>
        <v>378604.5</v>
      </c>
    </row>
    <row r="40" spans="2:5" x14ac:dyDescent="0.2">
      <c r="B40" s="134" t="s">
        <v>36</v>
      </c>
      <c r="C40" s="140">
        <f>+C39/C36</f>
        <v>0.18624956124956121</v>
      </c>
      <c r="D40" s="140">
        <f t="shared" ref="D40:E40" si="2">+D39/D36</f>
        <v>0.46842086789455212</v>
      </c>
      <c r="E40" s="140">
        <f t="shared" si="2"/>
        <v>0.27305506472900365</v>
      </c>
    </row>
    <row r="41" spans="2:5" x14ac:dyDescent="0.2">
      <c r="B41" s="136"/>
      <c r="C41" s="137"/>
      <c r="D41" s="137"/>
      <c r="E41" s="137"/>
    </row>
    <row r="42" spans="2:5" x14ac:dyDescent="0.2">
      <c r="B42" s="134"/>
      <c r="C42" s="135" t="s">
        <v>122</v>
      </c>
      <c r="D42" s="135" t="s">
        <v>123</v>
      </c>
      <c r="E42" s="135" t="s">
        <v>22</v>
      </c>
    </row>
    <row r="43" spans="2:5" x14ac:dyDescent="0.2">
      <c r="B43" s="134" t="s">
        <v>139</v>
      </c>
      <c r="C43" s="138">
        <f>C3*C4</f>
        <v>960000</v>
      </c>
      <c r="D43" s="138">
        <f>D3*D4</f>
        <v>426550</v>
      </c>
      <c r="E43" s="139">
        <f>SUM(C43:D43)</f>
        <v>1386550</v>
      </c>
    </row>
    <row r="44" spans="2:5" x14ac:dyDescent="0.2">
      <c r="B44" s="134" t="s">
        <v>140</v>
      </c>
      <c r="C44" s="138">
        <f>-(C5+C6)*C4</f>
        <v>-360000</v>
      </c>
      <c r="D44" s="138">
        <f>-(D5+D6)*D4</f>
        <v>-147945.5</v>
      </c>
      <c r="E44" s="139">
        <f>SUM(C44:D44)</f>
        <v>-507945.5</v>
      </c>
    </row>
    <row r="45" spans="2:5" x14ac:dyDescent="0.2">
      <c r="B45" s="134" t="s">
        <v>141</v>
      </c>
      <c r="C45" s="139">
        <f>-C21</f>
        <v>-328321.41572194459</v>
      </c>
      <c r="D45" s="139">
        <f>-D21</f>
        <v>-171678.58427805541</v>
      </c>
      <c r="E45" s="139">
        <f>SUM(C45:D45)</f>
        <v>-500000</v>
      </c>
    </row>
    <row r="46" spans="2:5" x14ac:dyDescent="0.2">
      <c r="B46" s="134" t="s">
        <v>45</v>
      </c>
      <c r="C46" s="139">
        <f>SUM(C43:C45)</f>
        <v>271678.58427805541</v>
      </c>
      <c r="D46" s="139">
        <f t="shared" ref="D46" si="3">SUM(D43:D45)</f>
        <v>106925.91572194459</v>
      </c>
      <c r="E46" s="139">
        <f t="shared" ref="E46" si="4">SUM(E43:E45)</f>
        <v>378604.5</v>
      </c>
    </row>
    <row r="47" spans="2:5" x14ac:dyDescent="0.2">
      <c r="B47" s="134" t="s">
        <v>36</v>
      </c>
      <c r="C47" s="140">
        <f>+C46/C43</f>
        <v>0.28299852528964103</v>
      </c>
      <c r="D47" s="140">
        <f t="shared" ref="D47" si="5">+D46/D43</f>
        <v>0.25067615923559861</v>
      </c>
      <c r="E47" s="140">
        <f t="shared" ref="E47" si="6">+E46/E43</f>
        <v>0.27305506472900365</v>
      </c>
    </row>
    <row r="48" spans="2:5" x14ac:dyDescent="0.2">
      <c r="B48" s="136"/>
      <c r="C48" s="137"/>
      <c r="D48" s="137"/>
      <c r="E48" s="137"/>
    </row>
    <row r="49" spans="2:5" x14ac:dyDescent="0.2">
      <c r="B49" s="134"/>
      <c r="C49" s="135" t="s">
        <v>122</v>
      </c>
      <c r="D49" s="135" t="s">
        <v>123</v>
      </c>
      <c r="E49" s="135" t="s">
        <v>22</v>
      </c>
    </row>
    <row r="50" spans="2:5" x14ac:dyDescent="0.2">
      <c r="B50" s="134" t="s">
        <v>139</v>
      </c>
      <c r="C50" s="138">
        <f>C3*C4</f>
        <v>960000</v>
      </c>
      <c r="D50" s="138">
        <f>D3*D4</f>
        <v>426550</v>
      </c>
      <c r="E50" s="139">
        <f>SUM(C50:D50)</f>
        <v>1386550</v>
      </c>
    </row>
    <row r="51" spans="2:5" x14ac:dyDescent="0.2">
      <c r="B51" s="134" t="s">
        <v>140</v>
      </c>
      <c r="C51" s="138">
        <f>-(C5+C6)*C4</f>
        <v>-360000</v>
      </c>
      <c r="D51" s="138">
        <f>-(D5+D6)*D4</f>
        <v>-147945.5</v>
      </c>
      <c r="E51" s="139">
        <f>SUM(C51:D51)</f>
        <v>-507945.5</v>
      </c>
    </row>
    <row r="52" spans="2:5" x14ac:dyDescent="0.2">
      <c r="B52" s="134" t="s">
        <v>141</v>
      </c>
      <c r="C52" s="139">
        <f>-C30</f>
        <v>-155000</v>
      </c>
      <c r="D52" s="139">
        <f>-D30</f>
        <v>-345000</v>
      </c>
      <c r="E52" s="139">
        <f>SUM(C52:D52)</f>
        <v>-500000</v>
      </c>
    </row>
    <row r="53" spans="2:5" x14ac:dyDescent="0.2">
      <c r="B53" s="134" t="s">
        <v>45</v>
      </c>
      <c r="C53" s="139">
        <f>SUM(C50:C52)</f>
        <v>445000</v>
      </c>
      <c r="D53" s="139">
        <f t="shared" ref="D53" si="7">SUM(D50:D52)</f>
        <v>-66395.5</v>
      </c>
      <c r="E53" s="139">
        <f t="shared" ref="E53" si="8">SUM(E50:E52)</f>
        <v>378604.5</v>
      </c>
    </row>
    <row r="54" spans="2:5" x14ac:dyDescent="0.2">
      <c r="B54" s="134" t="s">
        <v>36</v>
      </c>
      <c r="C54" s="140">
        <f>+C53/C50</f>
        <v>0.46354166666666669</v>
      </c>
      <c r="D54" s="140">
        <f t="shared" ref="D54" si="9">+D53/D50</f>
        <v>-0.15565701559020045</v>
      </c>
      <c r="E54" s="140">
        <f t="shared" ref="E54" si="10">+E53/E50</f>
        <v>0.27305506472900365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zoomScale="150" workbookViewId="0">
      <selection activeCell="H33" sqref="H33"/>
    </sheetView>
  </sheetViews>
  <sheetFormatPr baseColWidth="10" defaultRowHeight="16" x14ac:dyDescent="0.2"/>
  <cols>
    <col min="1" max="1" width="10.83203125" style="3"/>
    <col min="2" max="2" width="26" style="3" bestFit="1" customWidth="1"/>
    <col min="3" max="3" width="14.83203125" style="3" customWidth="1"/>
    <col min="4" max="4" width="14.5" style="3" customWidth="1"/>
    <col min="5" max="5" width="19" style="3" customWidth="1"/>
    <col min="6" max="6" width="11.33203125" style="3" bestFit="1" customWidth="1"/>
    <col min="7" max="16384" width="10.83203125" style="3"/>
  </cols>
  <sheetData>
    <row r="2" spans="2:5" x14ac:dyDescent="0.2">
      <c r="B2" s="278" t="s">
        <v>142</v>
      </c>
      <c r="C2" s="279"/>
    </row>
    <row r="3" spans="2:5" x14ac:dyDescent="0.2">
      <c r="B3" s="134" t="s">
        <v>143</v>
      </c>
      <c r="C3" s="124">
        <v>204000</v>
      </c>
    </row>
    <row r="4" spans="2:5" x14ac:dyDescent="0.2">
      <c r="B4" s="134" t="s">
        <v>144</v>
      </c>
      <c r="C4" s="124">
        <v>34000</v>
      </c>
    </row>
    <row r="5" spans="2:5" x14ac:dyDescent="0.2">
      <c r="B5" s="134" t="s">
        <v>145</v>
      </c>
      <c r="C5" s="124">
        <v>20000</v>
      </c>
    </row>
    <row r="6" spans="2:5" x14ac:dyDescent="0.2">
      <c r="B6" s="134" t="s">
        <v>11</v>
      </c>
      <c r="C6" s="124">
        <v>10000</v>
      </c>
    </row>
    <row r="7" spans="2:5" x14ac:dyDescent="0.2">
      <c r="B7" s="134" t="s">
        <v>146</v>
      </c>
      <c r="C7" s="124">
        <v>7000</v>
      </c>
    </row>
    <row r="9" spans="2:5" ht="32" x14ac:dyDescent="0.2">
      <c r="B9" s="135" t="s">
        <v>147</v>
      </c>
      <c r="C9" s="135" t="s">
        <v>148</v>
      </c>
      <c r="D9" s="135" t="s">
        <v>149</v>
      </c>
    </row>
    <row r="10" spans="2:5" x14ac:dyDescent="0.2">
      <c r="B10" s="134" t="s">
        <v>150</v>
      </c>
      <c r="C10" s="141">
        <v>2000</v>
      </c>
      <c r="D10" s="124">
        <v>60000</v>
      </c>
    </row>
    <row r="11" spans="2:5" x14ac:dyDescent="0.2">
      <c r="B11" s="134" t="s">
        <v>151</v>
      </c>
      <c r="C11" s="141">
        <v>2000</v>
      </c>
      <c r="D11" s="124">
        <v>12000</v>
      </c>
    </row>
    <row r="12" spans="2:5" x14ac:dyDescent="0.2">
      <c r="B12" s="134" t="s">
        <v>152</v>
      </c>
      <c r="C12" s="141">
        <v>6000</v>
      </c>
      <c r="D12" s="124">
        <v>120000</v>
      </c>
    </row>
    <row r="13" spans="2:5" x14ac:dyDescent="0.2">
      <c r="B13" s="134" t="s">
        <v>153</v>
      </c>
      <c r="C13" s="141">
        <v>2000</v>
      </c>
      <c r="D13" s="124">
        <v>12000</v>
      </c>
    </row>
    <row r="15" spans="2:5" ht="32" x14ac:dyDescent="0.2">
      <c r="B15" s="135" t="s">
        <v>147</v>
      </c>
      <c r="C15" s="135" t="s">
        <v>154</v>
      </c>
      <c r="D15" s="135" t="s">
        <v>155</v>
      </c>
      <c r="E15" s="135" t="s">
        <v>156</v>
      </c>
    </row>
    <row r="16" spans="2:5" x14ac:dyDescent="0.2">
      <c r="B16" s="134" t="s">
        <v>157</v>
      </c>
      <c r="C16" s="142">
        <v>0.7</v>
      </c>
      <c r="D16" s="144">
        <v>0</v>
      </c>
      <c r="E16" s="142">
        <v>0.3</v>
      </c>
    </row>
    <row r="17" spans="2:6" x14ac:dyDescent="0.2">
      <c r="B17" s="134" t="s">
        <v>158</v>
      </c>
      <c r="C17" s="144">
        <v>0</v>
      </c>
      <c r="D17" s="144">
        <v>0</v>
      </c>
      <c r="E17" s="144">
        <v>0</v>
      </c>
    </row>
    <row r="18" spans="2:6" x14ac:dyDescent="0.2">
      <c r="B18" s="134" t="s">
        <v>159</v>
      </c>
      <c r="C18" s="142">
        <v>0.5</v>
      </c>
      <c r="D18" s="142">
        <v>0.2</v>
      </c>
      <c r="E18" s="142">
        <v>0.3</v>
      </c>
    </row>
    <row r="19" spans="2:6" x14ac:dyDescent="0.2">
      <c r="B19" s="134" t="s">
        <v>160</v>
      </c>
      <c r="C19" s="144">
        <v>0</v>
      </c>
      <c r="D19" s="142">
        <v>1</v>
      </c>
      <c r="E19" s="144">
        <v>0</v>
      </c>
    </row>
    <row r="20" spans="2:6" x14ac:dyDescent="0.2">
      <c r="B20" s="146"/>
      <c r="C20" s="147"/>
      <c r="D20" s="148"/>
      <c r="E20" s="147"/>
    </row>
    <row r="21" spans="2:6" x14ac:dyDescent="0.2">
      <c r="B21" s="152"/>
      <c r="C21" s="149" t="s">
        <v>165</v>
      </c>
      <c r="D21" s="150" t="s">
        <v>166</v>
      </c>
      <c r="E21" s="147"/>
    </row>
    <row r="22" spans="2:6" x14ac:dyDescent="0.2">
      <c r="B22" s="280" t="s">
        <v>164</v>
      </c>
      <c r="C22" s="150">
        <v>0.75</v>
      </c>
      <c r="D22" s="150">
        <v>0.25</v>
      </c>
      <c r="E22" s="147"/>
    </row>
    <row r="23" spans="2:6" x14ac:dyDescent="0.2">
      <c r="B23" s="280"/>
      <c r="C23" s="149">
        <f>+C22*D11</f>
        <v>9000</v>
      </c>
      <c r="D23" s="149">
        <f>+D22*D11</f>
        <v>3000</v>
      </c>
      <c r="E23" s="147"/>
    </row>
    <row r="25" spans="2:6" ht="32" x14ac:dyDescent="0.2">
      <c r="B25" s="135" t="s">
        <v>161</v>
      </c>
      <c r="C25" s="135" t="s">
        <v>154</v>
      </c>
      <c r="D25" s="135" t="s">
        <v>155</v>
      </c>
      <c r="E25" s="135" t="s">
        <v>156</v>
      </c>
    </row>
    <row r="26" spans="2:6" x14ac:dyDescent="0.2">
      <c r="B26" s="19" t="s">
        <v>15</v>
      </c>
      <c r="C26" s="143">
        <v>0.3</v>
      </c>
      <c r="D26" s="143">
        <v>0.2</v>
      </c>
      <c r="E26" s="143">
        <v>0.5</v>
      </c>
    </row>
    <row r="27" spans="2:6" x14ac:dyDescent="0.2">
      <c r="B27" s="19" t="s">
        <v>162</v>
      </c>
      <c r="C27" s="143">
        <v>1</v>
      </c>
      <c r="D27" s="144">
        <v>0</v>
      </c>
      <c r="E27" s="144">
        <v>0</v>
      </c>
    </row>
    <row r="28" spans="2:6" x14ac:dyDescent="0.2">
      <c r="B28" s="19" t="s">
        <v>11</v>
      </c>
      <c r="C28" s="143">
        <v>0.4</v>
      </c>
      <c r="D28" s="143">
        <v>0.1</v>
      </c>
      <c r="E28" s="143">
        <v>0.5</v>
      </c>
    </row>
    <row r="32" spans="2:6" ht="32" x14ac:dyDescent="0.2">
      <c r="C32" s="153" t="s">
        <v>154</v>
      </c>
      <c r="D32" s="153" t="s">
        <v>155</v>
      </c>
      <c r="E32" s="154" t="s">
        <v>156</v>
      </c>
      <c r="F32" s="155" t="s">
        <v>39</v>
      </c>
    </row>
    <row r="33" spans="2:6" x14ac:dyDescent="0.2">
      <c r="B33" s="151" t="s">
        <v>157</v>
      </c>
      <c r="C33" s="127">
        <f>C16*D10</f>
        <v>42000</v>
      </c>
      <c r="D33" s="127">
        <f>D16*D10</f>
        <v>0</v>
      </c>
      <c r="E33" s="127">
        <f>E16*D10</f>
        <v>18000</v>
      </c>
      <c r="F33" s="34">
        <f>SUM(C33:E33)</f>
        <v>60000</v>
      </c>
    </row>
    <row r="34" spans="2:6" x14ac:dyDescent="0.2">
      <c r="B34" s="125" t="s">
        <v>163</v>
      </c>
      <c r="C34" s="127">
        <f>C23*C16</f>
        <v>6300</v>
      </c>
      <c r="D34" s="127">
        <f>C23*D16</f>
        <v>0</v>
      </c>
      <c r="E34" s="127">
        <f>C23*E16</f>
        <v>2700</v>
      </c>
      <c r="F34" s="34">
        <f>SUM(C34:E34)</f>
        <v>9000</v>
      </c>
    </row>
    <row r="35" spans="2:6" x14ac:dyDescent="0.2">
      <c r="B35" s="125" t="s">
        <v>166</v>
      </c>
      <c r="C35" s="127">
        <f>C18*D12</f>
        <v>60000</v>
      </c>
      <c r="D35" s="127">
        <f>D18*D12</f>
        <v>24000</v>
      </c>
      <c r="E35" s="127">
        <f>E18*D12</f>
        <v>36000</v>
      </c>
      <c r="F35" s="34">
        <f t="shared" ref="F35:F37" si="0">SUM(C35:E35)</f>
        <v>120000</v>
      </c>
    </row>
    <row r="36" spans="2:6" x14ac:dyDescent="0.2">
      <c r="B36" s="125" t="s">
        <v>167</v>
      </c>
      <c r="C36" s="34">
        <f>D23*C18</f>
        <v>1500</v>
      </c>
      <c r="D36" s="34">
        <f>D23*D18</f>
        <v>600</v>
      </c>
      <c r="E36" s="34">
        <f>D23*E18</f>
        <v>900</v>
      </c>
      <c r="F36" s="34">
        <f t="shared" si="0"/>
        <v>3000</v>
      </c>
    </row>
    <row r="37" spans="2:6" x14ac:dyDescent="0.2">
      <c r="B37" s="156" t="s">
        <v>168</v>
      </c>
      <c r="C37" s="34">
        <f>C19*D13</f>
        <v>0</v>
      </c>
      <c r="D37" s="34">
        <f>D19*D13</f>
        <v>12000</v>
      </c>
      <c r="E37" s="34">
        <f t="shared" ref="E37" si="1">E19*F13</f>
        <v>0</v>
      </c>
      <c r="F37" s="34">
        <f t="shared" si="0"/>
        <v>12000</v>
      </c>
    </row>
    <row r="38" spans="2:6" x14ac:dyDescent="0.2">
      <c r="B38" s="156" t="s">
        <v>169</v>
      </c>
      <c r="C38" s="34">
        <f>SUM(C33:C37)</f>
        <v>109800</v>
      </c>
      <c r="D38" s="34">
        <f t="shared" ref="D38:E38" si="2">SUM(D33:D37)</f>
        <v>36600</v>
      </c>
      <c r="E38" s="34">
        <f t="shared" si="2"/>
        <v>57600</v>
      </c>
      <c r="F38" s="34">
        <f>SUM(F33:F37)</f>
        <v>204000</v>
      </c>
    </row>
    <row r="40" spans="2:6" x14ac:dyDescent="0.2">
      <c r="B40" s="156" t="s">
        <v>25</v>
      </c>
      <c r="C40" s="128">
        <f>+C38/F38</f>
        <v>0.53823529411764703</v>
      </c>
      <c r="D40" s="128">
        <f>+D38/F38</f>
        <v>0.17941176470588235</v>
      </c>
      <c r="E40" s="128">
        <f>+E38/F38</f>
        <v>0.28235294117647058</v>
      </c>
    </row>
    <row r="43" spans="2:6" ht="32" x14ac:dyDescent="0.2">
      <c r="B43" s="157" t="s">
        <v>161</v>
      </c>
      <c r="C43" s="157" t="s">
        <v>154</v>
      </c>
      <c r="D43" s="157" t="s">
        <v>155</v>
      </c>
      <c r="E43" s="157" t="s">
        <v>156</v>
      </c>
      <c r="F43" s="145" t="s">
        <v>39</v>
      </c>
    </row>
    <row r="44" spans="2:6" x14ac:dyDescent="0.2">
      <c r="B44" s="158" t="s">
        <v>170</v>
      </c>
      <c r="C44" s="161">
        <f>C38</f>
        <v>109800</v>
      </c>
      <c r="D44" s="161">
        <f t="shared" ref="D44:E44" si="3">D38</f>
        <v>36600</v>
      </c>
      <c r="E44" s="161">
        <f t="shared" si="3"/>
        <v>57600</v>
      </c>
      <c r="F44" s="34">
        <f>SUM(C44:E44)</f>
        <v>204000</v>
      </c>
    </row>
    <row r="45" spans="2:6" x14ac:dyDescent="0.2">
      <c r="B45" s="158" t="s">
        <v>15</v>
      </c>
      <c r="C45" s="159">
        <f>C26*$C$4</f>
        <v>10200</v>
      </c>
      <c r="D45" s="159">
        <f>D26*$C$4</f>
        <v>6800</v>
      </c>
      <c r="E45" s="159">
        <f>E26*$C$4</f>
        <v>17000</v>
      </c>
      <c r="F45" s="34">
        <f t="shared" ref="F45:F49" si="4">SUM(C45:E45)</f>
        <v>34000</v>
      </c>
    </row>
    <row r="46" spans="2:6" x14ac:dyDescent="0.2">
      <c r="B46" s="158" t="s">
        <v>162</v>
      </c>
      <c r="C46" s="159">
        <f>C27*$C$5</f>
        <v>20000</v>
      </c>
      <c r="D46" s="159">
        <f>D27*$C$5</f>
        <v>0</v>
      </c>
      <c r="E46" s="159">
        <f>E27*$C$5</f>
        <v>0</v>
      </c>
      <c r="F46" s="34">
        <f t="shared" si="4"/>
        <v>20000</v>
      </c>
    </row>
    <row r="47" spans="2:6" x14ac:dyDescent="0.2">
      <c r="B47" s="158" t="s">
        <v>11</v>
      </c>
      <c r="C47" s="159">
        <f>C28*$C$6</f>
        <v>4000</v>
      </c>
      <c r="D47" s="159">
        <f t="shared" ref="D47:E47" si="5">D28*$C$6</f>
        <v>1000</v>
      </c>
      <c r="E47" s="159">
        <f t="shared" si="5"/>
        <v>5000</v>
      </c>
      <c r="F47" s="34">
        <f t="shared" si="4"/>
        <v>10000</v>
      </c>
    </row>
    <row r="48" spans="2:6" x14ac:dyDescent="0.2">
      <c r="B48" s="151" t="s">
        <v>146</v>
      </c>
      <c r="C48" s="127">
        <f>C40*$C$7</f>
        <v>3767.6470588235293</v>
      </c>
      <c r="D48" s="127">
        <f t="shared" ref="D48:E48" si="6">D40*$C$7</f>
        <v>1255.8823529411766</v>
      </c>
      <c r="E48" s="127">
        <f t="shared" si="6"/>
        <v>1976.4705882352941</v>
      </c>
      <c r="F48" s="34">
        <f t="shared" si="4"/>
        <v>7000</v>
      </c>
    </row>
    <row r="49" spans="2:6" x14ac:dyDescent="0.2">
      <c r="B49" s="115" t="s">
        <v>39</v>
      </c>
      <c r="C49" s="34">
        <f>SUM(C44:C48)</f>
        <v>147767.64705882352</v>
      </c>
      <c r="D49" s="34">
        <f t="shared" ref="D49:E49" si="7">SUM(D44:D48)</f>
        <v>45655.882352941175</v>
      </c>
      <c r="E49" s="34">
        <f t="shared" si="7"/>
        <v>81576.470588235301</v>
      </c>
      <c r="F49" s="34">
        <f t="shared" si="4"/>
        <v>275000</v>
      </c>
    </row>
    <row r="51" spans="2:6" x14ac:dyDescent="0.2">
      <c r="B51" s="160"/>
      <c r="C51" s="18"/>
      <c r="D51" s="18"/>
      <c r="E51" s="18"/>
      <c r="F51" s="18"/>
    </row>
  </sheetData>
  <mergeCells count="2">
    <mergeCell ref="B2:C2"/>
    <mergeCell ref="B22:B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8"/>
  <sheetViews>
    <sheetView zoomScale="115" workbookViewId="0">
      <selection activeCell="Q3" sqref="Q3:T20"/>
    </sheetView>
  </sheetViews>
  <sheetFormatPr baseColWidth="10" defaultRowHeight="16" x14ac:dyDescent="0.2"/>
  <cols>
    <col min="2" max="2" width="29" style="1" bestFit="1" customWidth="1"/>
    <col min="3" max="3" width="14.83203125" bestFit="1" customWidth="1"/>
    <col min="4" max="4" width="30.83203125" bestFit="1" customWidth="1"/>
    <col min="5" max="5" width="24" customWidth="1"/>
    <col min="11" max="11" width="29.33203125" bestFit="1" customWidth="1"/>
    <col min="12" max="13" width="18.83203125" customWidth="1"/>
    <col min="14" max="14" width="11.5" bestFit="1" customWidth="1"/>
    <col min="17" max="17" width="26" bestFit="1" customWidth="1"/>
    <col min="18" max="18" width="15" bestFit="1" customWidth="1"/>
    <col min="19" max="20" width="13.5" bestFit="1" customWidth="1"/>
  </cols>
  <sheetData>
    <row r="2" spans="2:20" x14ac:dyDescent="0.2">
      <c r="D2" s="20"/>
      <c r="E2" s="4" t="s">
        <v>171</v>
      </c>
      <c r="F2" s="4" t="s">
        <v>172</v>
      </c>
      <c r="L2" s="5" t="s">
        <v>171</v>
      </c>
      <c r="M2" s="5" t="s">
        <v>172</v>
      </c>
      <c r="N2" s="5" t="s">
        <v>39</v>
      </c>
    </row>
    <row r="3" spans="2:20" x14ac:dyDescent="0.2">
      <c r="D3" s="20" t="s">
        <v>34</v>
      </c>
      <c r="E3" s="9">
        <v>80</v>
      </c>
      <c r="F3" s="9">
        <v>95</v>
      </c>
      <c r="K3" s="20" t="s">
        <v>127</v>
      </c>
      <c r="L3" s="127">
        <f>E6*E4</f>
        <v>40000</v>
      </c>
      <c r="M3" s="127">
        <f>F6*F4</f>
        <v>60000</v>
      </c>
      <c r="N3" s="172">
        <f>SUM(L3:M3)</f>
        <v>100000</v>
      </c>
      <c r="Q3" s="176"/>
      <c r="R3" s="17" t="s">
        <v>171</v>
      </c>
      <c r="S3" s="17" t="s">
        <v>172</v>
      </c>
      <c r="T3" s="177" t="s">
        <v>22</v>
      </c>
    </row>
    <row r="4" spans="2:20" x14ac:dyDescent="0.2">
      <c r="D4" s="20" t="s">
        <v>125</v>
      </c>
      <c r="E4" s="81">
        <v>4000</v>
      </c>
      <c r="F4" s="81">
        <v>12000</v>
      </c>
      <c r="K4" s="173" t="s">
        <v>25</v>
      </c>
      <c r="L4" s="174">
        <f>+L3/N3</f>
        <v>0.4</v>
      </c>
      <c r="M4" s="174">
        <f>+M3/N3</f>
        <v>0.6</v>
      </c>
      <c r="N4" s="173"/>
      <c r="Q4" s="176" t="s">
        <v>139</v>
      </c>
      <c r="R4" s="179">
        <f>E3*E4</f>
        <v>320000</v>
      </c>
      <c r="S4" s="179">
        <f>F3*F4</f>
        <v>1140000</v>
      </c>
      <c r="T4" s="179">
        <f>SUM(R4:S4)</f>
        <v>1460000</v>
      </c>
    </row>
    <row r="5" spans="2:20" x14ac:dyDescent="0.2">
      <c r="D5" s="20" t="s">
        <v>173</v>
      </c>
      <c r="E5" s="9">
        <v>20</v>
      </c>
      <c r="F5" s="9">
        <v>25</v>
      </c>
      <c r="Q5" s="176" t="s">
        <v>140</v>
      </c>
      <c r="R5" s="179">
        <f>-(E5+E6)*E4</f>
        <v>-120000</v>
      </c>
      <c r="S5" s="179">
        <f>-(F5+F6)*F4</f>
        <v>-360000</v>
      </c>
      <c r="T5" s="179">
        <f>SUM(R5:S5)</f>
        <v>-480000</v>
      </c>
    </row>
    <row r="6" spans="2:20" x14ac:dyDescent="0.2">
      <c r="D6" s="20" t="s">
        <v>127</v>
      </c>
      <c r="E6" s="9">
        <v>10</v>
      </c>
      <c r="F6" s="9">
        <v>5</v>
      </c>
      <c r="K6" t="s">
        <v>181</v>
      </c>
      <c r="L6" s="8">
        <f>E5*E4</f>
        <v>80000</v>
      </c>
      <c r="M6" s="8">
        <f>F5*F4</f>
        <v>300000</v>
      </c>
      <c r="N6" s="8">
        <f>SUM(L6:M6)</f>
        <v>380000</v>
      </c>
      <c r="Q6" s="176" t="s">
        <v>141</v>
      </c>
      <c r="R6" s="179">
        <f>-L8</f>
        <v>-200000</v>
      </c>
      <c r="S6" s="179">
        <f>-M8</f>
        <v>-300000</v>
      </c>
      <c r="T6" s="179">
        <f t="shared" ref="T6:T7" si="0">SUM(R6:S6)</f>
        <v>-500000</v>
      </c>
    </row>
    <row r="7" spans="2:20" x14ac:dyDescent="0.2">
      <c r="D7" s="166"/>
      <c r="E7" s="162"/>
      <c r="F7" s="162"/>
      <c r="K7" t="s">
        <v>9</v>
      </c>
      <c r="L7" s="8">
        <f>E6*E4</f>
        <v>40000</v>
      </c>
      <c r="M7" s="8">
        <f>F6*F4</f>
        <v>60000</v>
      </c>
      <c r="N7" s="8">
        <f t="shared" ref="N7:N9" si="1">SUM(L7:M7)</f>
        <v>100000</v>
      </c>
      <c r="Q7" s="176" t="s">
        <v>45</v>
      </c>
      <c r="R7" s="179">
        <f>SUM(R4:R6)</f>
        <v>0</v>
      </c>
      <c r="S7" s="179">
        <f>SUM(S4:S6)</f>
        <v>480000</v>
      </c>
      <c r="T7" s="179">
        <f t="shared" si="0"/>
        <v>480000</v>
      </c>
    </row>
    <row r="8" spans="2:20" x14ac:dyDescent="0.2">
      <c r="D8" s="167" t="s">
        <v>174</v>
      </c>
      <c r="E8" s="164">
        <v>500000</v>
      </c>
      <c r="F8" s="163"/>
      <c r="K8" t="s">
        <v>137</v>
      </c>
      <c r="L8" s="8">
        <f>E8*L4</f>
        <v>200000</v>
      </c>
      <c r="M8" s="8">
        <f>E8*M4</f>
        <v>300000</v>
      </c>
      <c r="N8" s="8">
        <f t="shared" si="1"/>
        <v>500000</v>
      </c>
      <c r="Q8" s="178"/>
      <c r="R8" s="180"/>
      <c r="S8" s="180"/>
      <c r="T8" s="180"/>
    </row>
    <row r="9" spans="2:20" x14ac:dyDescent="0.2">
      <c r="D9" s="167" t="s">
        <v>175</v>
      </c>
      <c r="E9" s="164">
        <v>89750</v>
      </c>
      <c r="F9" s="163"/>
      <c r="K9" t="s">
        <v>182</v>
      </c>
      <c r="L9" s="8">
        <f>SUM(L6:L8)</f>
        <v>320000</v>
      </c>
      <c r="M9" s="8">
        <f>SUM(M6:M8)</f>
        <v>660000</v>
      </c>
      <c r="N9" s="8">
        <f t="shared" si="1"/>
        <v>980000</v>
      </c>
      <c r="Q9" s="176"/>
      <c r="R9" s="181" t="s">
        <v>171</v>
      </c>
      <c r="S9" s="181" t="s">
        <v>172</v>
      </c>
      <c r="T9" s="182" t="s">
        <v>22</v>
      </c>
    </row>
    <row r="10" spans="2:20" x14ac:dyDescent="0.2">
      <c r="K10" t="s">
        <v>183</v>
      </c>
      <c r="L10" s="8">
        <f>L9/E4</f>
        <v>80</v>
      </c>
      <c r="M10" s="8">
        <f>M9/F4</f>
        <v>55</v>
      </c>
      <c r="N10" s="8"/>
      <c r="Q10" s="176" t="s">
        <v>139</v>
      </c>
      <c r="R10" s="179">
        <f>E3*E4</f>
        <v>320000</v>
      </c>
      <c r="S10" s="179">
        <f>F3*F4</f>
        <v>1140000</v>
      </c>
      <c r="T10" s="179">
        <f>SUM(R10:S10)</f>
        <v>1460000</v>
      </c>
    </row>
    <row r="11" spans="2:20" x14ac:dyDescent="0.2">
      <c r="Q11" s="176" t="s">
        <v>140</v>
      </c>
      <c r="R11" s="179">
        <f>-(E5+E6)*E4</f>
        <v>-120000</v>
      </c>
      <c r="S11" s="179">
        <f>-(F5+F6)*F4</f>
        <v>-360000</v>
      </c>
      <c r="T11" s="179">
        <f>SUM(R11:S11)</f>
        <v>-480000</v>
      </c>
    </row>
    <row r="12" spans="2:20" x14ac:dyDescent="0.2">
      <c r="B12" s="17" t="s">
        <v>107</v>
      </c>
      <c r="C12" s="4" t="s">
        <v>128</v>
      </c>
      <c r="D12" s="17" t="s">
        <v>180</v>
      </c>
      <c r="E12" s="17" t="s">
        <v>171</v>
      </c>
      <c r="F12" s="21" t="s">
        <v>172</v>
      </c>
      <c r="G12" s="169" t="s">
        <v>39</v>
      </c>
      <c r="Q12" s="176" t="s">
        <v>141</v>
      </c>
      <c r="R12" s="179">
        <f>-L19</f>
        <v>-105263.15789473684</v>
      </c>
      <c r="S12" s="179">
        <f>-M19</f>
        <v>-394736.84210526315</v>
      </c>
      <c r="T12" s="179">
        <f>SUM(R12:S12)</f>
        <v>-500000</v>
      </c>
    </row>
    <row r="13" spans="2:20" x14ac:dyDescent="0.2">
      <c r="B13" s="20" t="s">
        <v>129</v>
      </c>
      <c r="C13" s="165">
        <v>60000</v>
      </c>
      <c r="D13" s="20" t="s">
        <v>184</v>
      </c>
      <c r="E13" s="168">
        <v>5</v>
      </c>
      <c r="F13" s="168">
        <v>10</v>
      </c>
      <c r="G13">
        <f>SUM(E13:F13)</f>
        <v>15</v>
      </c>
      <c r="L13" s="5" t="s">
        <v>171</v>
      </c>
      <c r="M13" s="5" t="s">
        <v>172</v>
      </c>
      <c r="N13" s="5" t="s">
        <v>39</v>
      </c>
      <c r="Q13" s="176" t="s">
        <v>45</v>
      </c>
      <c r="R13" s="179">
        <f>SUM(R10:R12)</f>
        <v>94736.84210526316</v>
      </c>
      <c r="S13" s="179">
        <f t="shared" ref="S13:T13" si="2">SUM(S10:S12)</f>
        <v>385263.15789473685</v>
      </c>
      <c r="T13" s="179">
        <f t="shared" si="2"/>
        <v>480000</v>
      </c>
    </row>
    <row r="14" spans="2:20" x14ac:dyDescent="0.2">
      <c r="B14" s="20" t="s">
        <v>176</v>
      </c>
      <c r="C14" s="165">
        <v>15000</v>
      </c>
      <c r="D14" s="20" t="s">
        <v>186</v>
      </c>
      <c r="E14" s="168">
        <v>8</v>
      </c>
      <c r="F14" s="168">
        <v>12</v>
      </c>
      <c r="G14">
        <f t="shared" ref="G14:G21" si="3">SUM(E14:F14)</f>
        <v>20</v>
      </c>
      <c r="K14" s="20" t="s">
        <v>181</v>
      </c>
      <c r="L14" s="127">
        <f>E5*E4</f>
        <v>80000</v>
      </c>
      <c r="M14" s="127">
        <f>F5*F4</f>
        <v>300000</v>
      </c>
      <c r="N14" s="172">
        <f>SUM(L14:M14)</f>
        <v>380000</v>
      </c>
      <c r="Q14" s="178"/>
      <c r="R14" s="180"/>
      <c r="S14" s="180"/>
      <c r="T14" s="180"/>
    </row>
    <row r="15" spans="2:20" x14ac:dyDescent="0.2">
      <c r="B15" s="20" t="s">
        <v>130</v>
      </c>
      <c r="C15" s="165">
        <v>50000</v>
      </c>
      <c r="D15" s="20" t="s">
        <v>185</v>
      </c>
      <c r="E15" s="168">
        <v>5</v>
      </c>
      <c r="F15" s="168">
        <v>10</v>
      </c>
      <c r="G15">
        <f t="shared" si="3"/>
        <v>15</v>
      </c>
      <c r="K15" s="173" t="s">
        <v>25</v>
      </c>
      <c r="L15" s="174">
        <f>+L14/N14</f>
        <v>0.21052631578947367</v>
      </c>
      <c r="M15" s="174">
        <f>+M14/N14</f>
        <v>0.78947368421052633</v>
      </c>
      <c r="N15" s="173"/>
      <c r="Q15" s="176"/>
      <c r="R15" s="181" t="s">
        <v>171</v>
      </c>
      <c r="S15" s="181" t="s">
        <v>172</v>
      </c>
      <c r="T15" s="182" t="s">
        <v>22</v>
      </c>
    </row>
    <row r="16" spans="2:20" x14ac:dyDescent="0.2">
      <c r="B16" s="20" t="s">
        <v>177</v>
      </c>
      <c r="C16" s="165">
        <v>30000</v>
      </c>
      <c r="D16" s="20" t="s">
        <v>187</v>
      </c>
      <c r="E16" s="168">
        <v>8</v>
      </c>
      <c r="F16" s="168">
        <v>12</v>
      </c>
      <c r="G16">
        <f t="shared" si="3"/>
        <v>20</v>
      </c>
      <c r="Q16" s="176" t="s">
        <v>139</v>
      </c>
      <c r="R16" s="179">
        <f>E3*E4</f>
        <v>320000</v>
      </c>
      <c r="S16" s="179">
        <f>F3*F4</f>
        <v>1140000</v>
      </c>
      <c r="T16" s="179">
        <f>SUM(R16:S16)</f>
        <v>1460000</v>
      </c>
    </row>
    <row r="17" spans="2:20" x14ac:dyDescent="0.2">
      <c r="B17" s="20" t="s">
        <v>131</v>
      </c>
      <c r="C17" s="165">
        <v>40000</v>
      </c>
      <c r="D17" s="20" t="s">
        <v>188</v>
      </c>
      <c r="E17" s="168">
        <v>8</v>
      </c>
      <c r="F17" s="168">
        <v>12</v>
      </c>
      <c r="G17">
        <f t="shared" si="3"/>
        <v>20</v>
      </c>
      <c r="K17" t="s">
        <v>181</v>
      </c>
      <c r="L17" s="8">
        <f>E5*E4</f>
        <v>80000</v>
      </c>
      <c r="M17" s="8">
        <f>F5*F4</f>
        <v>300000</v>
      </c>
      <c r="N17" s="8">
        <f>SUM(L17:M17)</f>
        <v>380000</v>
      </c>
      <c r="Q17" s="176" t="s">
        <v>140</v>
      </c>
      <c r="R17" s="179">
        <f>-(E5+E6)*E4</f>
        <v>-120000</v>
      </c>
      <c r="S17" s="179">
        <f>-(F5+F6)*F4</f>
        <v>-360000</v>
      </c>
      <c r="T17" s="179">
        <f>SUM(R17:S17)</f>
        <v>-480000</v>
      </c>
    </row>
    <row r="18" spans="2:20" x14ac:dyDescent="0.2">
      <c r="B18" s="20" t="s">
        <v>178</v>
      </c>
      <c r="C18" s="165">
        <v>35000</v>
      </c>
      <c r="D18" s="20" t="s">
        <v>188</v>
      </c>
      <c r="E18" s="168">
        <v>8</v>
      </c>
      <c r="F18" s="168">
        <v>12</v>
      </c>
      <c r="G18">
        <f t="shared" si="3"/>
        <v>20</v>
      </c>
      <c r="K18" t="s">
        <v>9</v>
      </c>
      <c r="L18" s="8">
        <f>E6*E4</f>
        <v>40000</v>
      </c>
      <c r="M18" s="8">
        <f>F6*F4</f>
        <v>60000</v>
      </c>
      <c r="N18" s="8">
        <f t="shared" ref="N18:N20" si="4">SUM(L18:M18)</f>
        <v>100000</v>
      </c>
      <c r="Q18" s="176" t="s">
        <v>193</v>
      </c>
      <c r="R18" s="179">
        <f>-L45</f>
        <v>-114205.1282051282</v>
      </c>
      <c r="S18" s="179">
        <f>-M45</f>
        <v>-385794.87179487181</v>
      </c>
      <c r="T18" s="179">
        <f t="shared" ref="T18:T19" si="5">SUM(R18:S18)</f>
        <v>-500000</v>
      </c>
    </row>
    <row r="19" spans="2:20" x14ac:dyDescent="0.2">
      <c r="B19" s="20" t="s">
        <v>179</v>
      </c>
      <c r="C19" s="165">
        <v>9750</v>
      </c>
      <c r="D19" s="20" t="s">
        <v>189</v>
      </c>
      <c r="E19" s="168">
        <v>50</v>
      </c>
      <c r="F19" s="168">
        <v>100</v>
      </c>
      <c r="G19">
        <f t="shared" si="3"/>
        <v>150</v>
      </c>
      <c r="K19" t="s">
        <v>137</v>
      </c>
      <c r="L19" s="8">
        <f>E8*L15</f>
        <v>105263.15789473684</v>
      </c>
      <c r="M19" s="8">
        <f>E8*M15</f>
        <v>394736.84210526315</v>
      </c>
      <c r="N19" s="8">
        <f t="shared" si="4"/>
        <v>500000</v>
      </c>
      <c r="Q19" s="176" t="s">
        <v>194</v>
      </c>
      <c r="R19" s="179">
        <f>-L50</f>
        <v>-35250</v>
      </c>
      <c r="S19" s="179">
        <f>-M50</f>
        <v>-54500</v>
      </c>
      <c r="T19" s="179">
        <f t="shared" si="5"/>
        <v>-89750</v>
      </c>
    </row>
    <row r="20" spans="2:20" x14ac:dyDescent="0.2">
      <c r="B20" s="20" t="s">
        <v>132</v>
      </c>
      <c r="C20" s="165">
        <v>150000</v>
      </c>
      <c r="D20" s="20" t="s">
        <v>190</v>
      </c>
      <c r="E20" s="168">
        <v>0.5</v>
      </c>
      <c r="F20" s="168">
        <v>2</v>
      </c>
      <c r="G20" s="2" t="s">
        <v>192</v>
      </c>
      <c r="K20" t="s">
        <v>182</v>
      </c>
      <c r="L20" s="8">
        <f>SUM(L17:L19)</f>
        <v>225263.15789473685</v>
      </c>
      <c r="M20" s="8">
        <f>SUM(M17:M19)</f>
        <v>754736.84210526315</v>
      </c>
      <c r="N20" s="8">
        <f t="shared" si="4"/>
        <v>980000</v>
      </c>
      <c r="Q20" s="176" t="s">
        <v>49</v>
      </c>
      <c r="R20" s="179">
        <f>SUM(R16:R19)</f>
        <v>50544.871794871797</v>
      </c>
      <c r="S20" s="179">
        <f t="shared" ref="S20:T20" si="6">SUM(S16:S19)</f>
        <v>339705.12820512819</v>
      </c>
      <c r="T20" s="179">
        <f t="shared" si="6"/>
        <v>390250</v>
      </c>
    </row>
    <row r="21" spans="2:20" x14ac:dyDescent="0.2">
      <c r="B21" s="20" t="s">
        <v>133</v>
      </c>
      <c r="C21" s="165">
        <v>200000</v>
      </c>
      <c r="D21" s="20" t="s">
        <v>191</v>
      </c>
      <c r="E21" s="168">
        <v>0.25</v>
      </c>
      <c r="F21" s="168">
        <v>0.75</v>
      </c>
      <c r="G21">
        <f t="shared" si="3"/>
        <v>1</v>
      </c>
      <c r="K21" t="s">
        <v>183</v>
      </c>
      <c r="L21" s="8">
        <f>L20/E4</f>
        <v>56.315789473684212</v>
      </c>
      <c r="M21" s="8">
        <f>M20/F4</f>
        <v>62.89473684210526</v>
      </c>
      <c r="N21" s="8"/>
    </row>
    <row r="22" spans="2:20" x14ac:dyDescent="0.2">
      <c r="B22" s="24" t="s">
        <v>22</v>
      </c>
      <c r="C22" s="120">
        <v>589750</v>
      </c>
    </row>
    <row r="24" spans="2:20" x14ac:dyDescent="0.2">
      <c r="B24" s="17" t="s">
        <v>107</v>
      </c>
      <c r="C24" s="4" t="s">
        <v>128</v>
      </c>
      <c r="D24" s="17" t="s">
        <v>180</v>
      </c>
      <c r="E24" s="17" t="s">
        <v>171</v>
      </c>
      <c r="F24" s="17" t="s">
        <v>172</v>
      </c>
      <c r="G24" s="169" t="s">
        <v>39</v>
      </c>
    </row>
    <row r="25" spans="2:20" x14ac:dyDescent="0.2">
      <c r="B25" s="20" t="s">
        <v>129</v>
      </c>
      <c r="C25" s="165">
        <v>60000</v>
      </c>
      <c r="D25" s="20" t="s">
        <v>184</v>
      </c>
      <c r="E25" s="168">
        <v>5</v>
      </c>
      <c r="F25" s="168">
        <v>10</v>
      </c>
      <c r="G25">
        <f>SUM(E25:F25)</f>
        <v>15</v>
      </c>
      <c r="L25" s="5" t="s">
        <v>171</v>
      </c>
      <c r="M25" s="5" t="s">
        <v>172</v>
      </c>
      <c r="N25" s="5" t="s">
        <v>39</v>
      </c>
    </row>
    <row r="26" spans="2:20" x14ac:dyDescent="0.2">
      <c r="B26" s="20" t="s">
        <v>176</v>
      </c>
      <c r="C26" s="165">
        <v>15000</v>
      </c>
      <c r="D26" s="20" t="s">
        <v>186</v>
      </c>
      <c r="E26" s="168">
        <v>8</v>
      </c>
      <c r="F26" s="168">
        <v>12</v>
      </c>
      <c r="G26">
        <f t="shared" ref="G26:G33" si="7">SUM(E26:F26)</f>
        <v>20</v>
      </c>
      <c r="K26" s="171" t="s">
        <v>129</v>
      </c>
      <c r="L26" s="172">
        <f>C37*E37</f>
        <v>20000</v>
      </c>
      <c r="M26" s="172">
        <f>C37*F37</f>
        <v>40000</v>
      </c>
      <c r="N26" s="172">
        <f>SUM(L26:M26)</f>
        <v>60000</v>
      </c>
    </row>
    <row r="27" spans="2:20" x14ac:dyDescent="0.2">
      <c r="B27" s="20" t="s">
        <v>130</v>
      </c>
      <c r="C27" s="165">
        <v>50000</v>
      </c>
      <c r="D27" s="20" t="s">
        <v>185</v>
      </c>
      <c r="E27" s="168">
        <v>5</v>
      </c>
      <c r="F27" s="168">
        <v>10</v>
      </c>
      <c r="G27">
        <f t="shared" si="7"/>
        <v>15</v>
      </c>
      <c r="K27" s="171" t="s">
        <v>176</v>
      </c>
      <c r="L27" s="172">
        <f t="shared" ref="L27:L34" si="8">C38*E38</f>
        <v>6000</v>
      </c>
      <c r="M27" s="172">
        <f t="shared" ref="M27:M34" si="9">C38*F38</f>
        <v>9000</v>
      </c>
      <c r="N27" s="172">
        <f t="shared" ref="N27:N34" si="10">SUM(L27:M27)</f>
        <v>15000</v>
      </c>
    </row>
    <row r="28" spans="2:20" x14ac:dyDescent="0.2">
      <c r="B28" s="20" t="s">
        <v>177</v>
      </c>
      <c r="C28" s="165">
        <v>30000</v>
      </c>
      <c r="D28" s="20" t="s">
        <v>187</v>
      </c>
      <c r="E28" s="168">
        <v>8</v>
      </c>
      <c r="F28" s="168">
        <v>12</v>
      </c>
      <c r="G28">
        <f t="shared" si="7"/>
        <v>20</v>
      </c>
      <c r="K28" s="171" t="s">
        <v>130</v>
      </c>
      <c r="L28" s="172">
        <f t="shared" si="8"/>
        <v>16666.666666666664</v>
      </c>
      <c r="M28" s="172">
        <f t="shared" si="9"/>
        <v>33333.333333333328</v>
      </c>
      <c r="N28" s="172">
        <f t="shared" si="10"/>
        <v>49999.999999999993</v>
      </c>
    </row>
    <row r="29" spans="2:20" x14ac:dyDescent="0.2">
      <c r="B29" s="20" t="s">
        <v>131</v>
      </c>
      <c r="C29" s="165">
        <v>40000</v>
      </c>
      <c r="D29" s="20" t="s">
        <v>188</v>
      </c>
      <c r="E29" s="168">
        <v>8</v>
      </c>
      <c r="F29" s="168">
        <v>12</v>
      </c>
      <c r="G29">
        <f t="shared" si="7"/>
        <v>20</v>
      </c>
      <c r="K29" s="171" t="s">
        <v>177</v>
      </c>
      <c r="L29" s="172">
        <f t="shared" si="8"/>
        <v>12000</v>
      </c>
      <c r="M29" s="172">
        <f t="shared" si="9"/>
        <v>18000</v>
      </c>
      <c r="N29" s="172">
        <f t="shared" si="10"/>
        <v>30000</v>
      </c>
    </row>
    <row r="30" spans="2:20" x14ac:dyDescent="0.2">
      <c r="B30" s="20" t="s">
        <v>178</v>
      </c>
      <c r="C30" s="165">
        <v>35000</v>
      </c>
      <c r="D30" s="20" t="s">
        <v>188</v>
      </c>
      <c r="E30" s="168">
        <v>8</v>
      </c>
      <c r="F30" s="168">
        <v>12</v>
      </c>
      <c r="G30">
        <f t="shared" si="7"/>
        <v>20</v>
      </c>
      <c r="K30" s="171" t="s">
        <v>131</v>
      </c>
      <c r="L30" s="172">
        <f t="shared" si="8"/>
        <v>16000</v>
      </c>
      <c r="M30" s="172">
        <f t="shared" si="9"/>
        <v>24000</v>
      </c>
      <c r="N30" s="172">
        <f t="shared" si="10"/>
        <v>40000</v>
      </c>
    </row>
    <row r="31" spans="2:20" x14ac:dyDescent="0.2">
      <c r="B31" s="20" t="s">
        <v>179</v>
      </c>
      <c r="C31" s="165">
        <v>9750</v>
      </c>
      <c r="D31" s="20" t="s">
        <v>189</v>
      </c>
      <c r="E31" s="168">
        <v>50</v>
      </c>
      <c r="F31" s="168">
        <v>100</v>
      </c>
      <c r="G31">
        <f t="shared" si="7"/>
        <v>150</v>
      </c>
      <c r="K31" s="171" t="s">
        <v>178</v>
      </c>
      <c r="L31" s="172">
        <f t="shared" si="8"/>
        <v>14000</v>
      </c>
      <c r="M31" s="172">
        <f t="shared" si="9"/>
        <v>21000</v>
      </c>
      <c r="N31" s="172">
        <f t="shared" si="10"/>
        <v>35000</v>
      </c>
    </row>
    <row r="32" spans="2:20" x14ac:dyDescent="0.2">
      <c r="B32" s="20" t="s">
        <v>132</v>
      </c>
      <c r="C32" s="165">
        <v>150000</v>
      </c>
      <c r="D32" s="20" t="s">
        <v>190</v>
      </c>
      <c r="E32" s="168">
        <f>E20*E4</f>
        <v>2000</v>
      </c>
      <c r="F32" s="168">
        <f>F20*F4</f>
        <v>24000</v>
      </c>
      <c r="G32">
        <f t="shared" si="7"/>
        <v>26000</v>
      </c>
      <c r="K32" s="171" t="s">
        <v>179</v>
      </c>
      <c r="L32" s="172">
        <f t="shared" si="8"/>
        <v>3250</v>
      </c>
      <c r="M32" s="172">
        <f t="shared" si="9"/>
        <v>6500</v>
      </c>
      <c r="N32" s="172">
        <f t="shared" si="10"/>
        <v>9750</v>
      </c>
    </row>
    <row r="33" spans="2:14" x14ac:dyDescent="0.2">
      <c r="B33" s="20" t="s">
        <v>133</v>
      </c>
      <c r="C33" s="165">
        <v>200000</v>
      </c>
      <c r="D33" s="20" t="s">
        <v>191</v>
      </c>
      <c r="E33" s="168">
        <v>0.25</v>
      </c>
      <c r="F33" s="168">
        <v>0.75</v>
      </c>
      <c r="G33">
        <f t="shared" si="7"/>
        <v>1</v>
      </c>
      <c r="K33" s="171" t="s">
        <v>132</v>
      </c>
      <c r="L33" s="172">
        <f t="shared" si="8"/>
        <v>11538.461538461539</v>
      </c>
      <c r="M33" s="172">
        <f t="shared" si="9"/>
        <v>138461.53846153847</v>
      </c>
      <c r="N33" s="172">
        <f t="shared" si="10"/>
        <v>150000</v>
      </c>
    </row>
    <row r="34" spans="2:14" x14ac:dyDescent="0.2">
      <c r="B34" s="24" t="s">
        <v>22</v>
      </c>
      <c r="C34" s="120">
        <v>589750</v>
      </c>
      <c r="K34" s="171" t="s">
        <v>133</v>
      </c>
      <c r="L34" s="172">
        <f t="shared" si="8"/>
        <v>50000</v>
      </c>
      <c r="M34" s="172">
        <f t="shared" si="9"/>
        <v>150000</v>
      </c>
      <c r="N34" s="172">
        <f t="shared" si="10"/>
        <v>200000</v>
      </c>
    </row>
    <row r="35" spans="2:14" x14ac:dyDescent="0.2">
      <c r="K35" s="175" t="s">
        <v>39</v>
      </c>
      <c r="L35" s="172">
        <f>SUM(L26:L34)</f>
        <v>149455.12820512819</v>
      </c>
      <c r="M35" s="172">
        <f>SUM(M26:M34)</f>
        <v>440294.87179487175</v>
      </c>
      <c r="N35" s="172">
        <f>SUM(N26:N34)</f>
        <v>589750</v>
      </c>
    </row>
    <row r="36" spans="2:14" x14ac:dyDescent="0.2">
      <c r="B36" s="17" t="s">
        <v>107</v>
      </c>
      <c r="C36" s="4" t="s">
        <v>128</v>
      </c>
      <c r="D36" s="17" t="s">
        <v>180</v>
      </c>
      <c r="E36" s="17" t="s">
        <v>171</v>
      </c>
      <c r="F36" s="17" t="s">
        <v>172</v>
      </c>
    </row>
    <row r="37" spans="2:14" x14ac:dyDescent="0.2">
      <c r="B37" s="20" t="s">
        <v>129</v>
      </c>
      <c r="C37" s="165">
        <v>60000</v>
      </c>
      <c r="D37" s="20" t="s">
        <v>184</v>
      </c>
      <c r="E37" s="170">
        <f>E25/G25</f>
        <v>0.33333333333333331</v>
      </c>
      <c r="F37" s="170">
        <f>F25/G25</f>
        <v>0.66666666666666663</v>
      </c>
    </row>
    <row r="38" spans="2:14" x14ac:dyDescent="0.2">
      <c r="B38" s="20" t="s">
        <v>176</v>
      </c>
      <c r="C38" s="165">
        <v>15000</v>
      </c>
      <c r="D38" s="20" t="s">
        <v>186</v>
      </c>
      <c r="E38" s="170">
        <f t="shared" ref="E38:E45" si="11">E26/G26</f>
        <v>0.4</v>
      </c>
      <c r="F38" s="170">
        <f t="shared" ref="F38:F45" si="12">F26/G26</f>
        <v>0.6</v>
      </c>
    </row>
    <row r="39" spans="2:14" x14ac:dyDescent="0.2">
      <c r="B39" s="20" t="s">
        <v>130</v>
      </c>
      <c r="C39" s="165">
        <v>50000</v>
      </c>
      <c r="D39" s="20" t="s">
        <v>185</v>
      </c>
      <c r="E39" s="170">
        <f t="shared" si="11"/>
        <v>0.33333333333333331</v>
      </c>
      <c r="F39" s="170">
        <f t="shared" si="12"/>
        <v>0.66666666666666663</v>
      </c>
      <c r="L39" s="5" t="s">
        <v>171</v>
      </c>
      <c r="M39" s="5" t="s">
        <v>172</v>
      </c>
      <c r="N39" s="5" t="s">
        <v>39</v>
      </c>
    </row>
    <row r="40" spans="2:14" x14ac:dyDescent="0.2">
      <c r="B40" s="20" t="s">
        <v>177</v>
      </c>
      <c r="C40" s="165">
        <v>30000</v>
      </c>
      <c r="D40" s="20" t="s">
        <v>187</v>
      </c>
      <c r="E40" s="170">
        <f t="shared" si="11"/>
        <v>0.4</v>
      </c>
      <c r="F40" s="170">
        <f t="shared" si="12"/>
        <v>0.6</v>
      </c>
      <c r="K40" s="171" t="s">
        <v>129</v>
      </c>
      <c r="L40" s="172">
        <f>C37*E37</f>
        <v>20000</v>
      </c>
      <c r="M40" s="172">
        <f>C37*F37</f>
        <v>40000</v>
      </c>
      <c r="N40" s="172">
        <f>SUM(L40:M40)</f>
        <v>60000</v>
      </c>
    </row>
    <row r="41" spans="2:14" x14ac:dyDescent="0.2">
      <c r="B41" s="20" t="s">
        <v>131</v>
      </c>
      <c r="C41" s="165">
        <v>40000</v>
      </c>
      <c r="D41" s="20" t="s">
        <v>188</v>
      </c>
      <c r="E41" s="170">
        <f t="shared" si="11"/>
        <v>0.4</v>
      </c>
      <c r="F41" s="170">
        <f t="shared" si="12"/>
        <v>0.6</v>
      </c>
      <c r="K41" s="171" t="s">
        <v>130</v>
      </c>
      <c r="L41" s="172">
        <f>C39*E39</f>
        <v>16666.666666666664</v>
      </c>
      <c r="M41" s="172">
        <f>C39*F39</f>
        <v>33333.333333333328</v>
      </c>
      <c r="N41" s="172">
        <f>SUM(L41:M41)</f>
        <v>49999.999999999993</v>
      </c>
    </row>
    <row r="42" spans="2:14" x14ac:dyDescent="0.2">
      <c r="B42" s="20" t="s">
        <v>178</v>
      </c>
      <c r="C42" s="165">
        <v>35000</v>
      </c>
      <c r="D42" s="20" t="s">
        <v>188</v>
      </c>
      <c r="E42" s="170">
        <f t="shared" si="11"/>
        <v>0.4</v>
      </c>
      <c r="F42" s="170">
        <f t="shared" si="12"/>
        <v>0.6</v>
      </c>
      <c r="K42" s="171" t="s">
        <v>131</v>
      </c>
      <c r="L42" s="172">
        <f>C41*E41</f>
        <v>16000</v>
      </c>
      <c r="M42" s="172">
        <f>C41*F41</f>
        <v>24000</v>
      </c>
      <c r="N42" s="172">
        <f>SUM(L42:M42)</f>
        <v>40000</v>
      </c>
    </row>
    <row r="43" spans="2:14" x14ac:dyDescent="0.2">
      <c r="B43" s="20" t="s">
        <v>179</v>
      </c>
      <c r="C43" s="165">
        <v>9750</v>
      </c>
      <c r="D43" s="20" t="s">
        <v>189</v>
      </c>
      <c r="E43" s="170">
        <f t="shared" si="11"/>
        <v>0.33333333333333331</v>
      </c>
      <c r="F43" s="170">
        <f t="shared" si="12"/>
        <v>0.66666666666666663</v>
      </c>
      <c r="K43" s="171" t="s">
        <v>132</v>
      </c>
      <c r="L43" s="172">
        <f>C44*E44</f>
        <v>11538.461538461539</v>
      </c>
      <c r="M43" s="172">
        <f>C44*F44</f>
        <v>138461.53846153847</v>
      </c>
      <c r="N43" s="172">
        <f>SUM(L43:M43)</f>
        <v>150000</v>
      </c>
    </row>
    <row r="44" spans="2:14" x14ac:dyDescent="0.2">
      <c r="B44" s="20" t="s">
        <v>132</v>
      </c>
      <c r="C44" s="165">
        <v>150000</v>
      </c>
      <c r="D44" s="20" t="s">
        <v>190</v>
      </c>
      <c r="E44" s="170">
        <f t="shared" si="11"/>
        <v>7.6923076923076927E-2</v>
      </c>
      <c r="F44" s="170">
        <f t="shared" si="12"/>
        <v>0.92307692307692313</v>
      </c>
      <c r="K44" s="171" t="s">
        <v>133</v>
      </c>
      <c r="L44" s="172">
        <f>C45*E45</f>
        <v>50000</v>
      </c>
      <c r="M44" s="172">
        <f>C45*F45</f>
        <v>150000</v>
      </c>
      <c r="N44" s="172">
        <f>SUM(L44:M44)</f>
        <v>200000</v>
      </c>
    </row>
    <row r="45" spans="2:14" x14ac:dyDescent="0.2">
      <c r="B45" s="20" t="s">
        <v>133</v>
      </c>
      <c r="C45" s="165">
        <v>200000</v>
      </c>
      <c r="D45" s="20" t="s">
        <v>191</v>
      </c>
      <c r="E45" s="170">
        <f t="shared" si="11"/>
        <v>0.25</v>
      </c>
      <c r="F45" s="170">
        <f t="shared" si="12"/>
        <v>0.75</v>
      </c>
      <c r="K45" s="183" t="s">
        <v>195</v>
      </c>
      <c r="L45" s="184">
        <f>SUM(L40:L44)</f>
        <v>114205.1282051282</v>
      </c>
      <c r="M45" s="184">
        <f t="shared" ref="M45:N45" si="13">SUM(M40:M44)</f>
        <v>385794.87179487181</v>
      </c>
      <c r="N45" s="184">
        <f t="shared" si="13"/>
        <v>500000</v>
      </c>
    </row>
    <row r="46" spans="2:14" x14ac:dyDescent="0.2">
      <c r="B46" s="24" t="s">
        <v>22</v>
      </c>
      <c r="C46" s="120">
        <v>589750</v>
      </c>
      <c r="K46" s="171" t="s">
        <v>176</v>
      </c>
      <c r="L46" s="172">
        <f>C38*E38</f>
        <v>6000</v>
      </c>
      <c r="M46" s="172">
        <f>C38*F38</f>
        <v>9000</v>
      </c>
      <c r="N46" s="172">
        <f t="shared" ref="N46:N49" si="14">SUM(L46:M46)</f>
        <v>15000</v>
      </c>
    </row>
    <row r="47" spans="2:14" x14ac:dyDescent="0.2">
      <c r="K47" s="171" t="s">
        <v>177</v>
      </c>
      <c r="L47" s="172">
        <f>C40*E40</f>
        <v>12000</v>
      </c>
      <c r="M47" s="172">
        <f>C40*F40</f>
        <v>18000</v>
      </c>
      <c r="N47" s="172">
        <f t="shared" si="14"/>
        <v>30000</v>
      </c>
    </row>
    <row r="48" spans="2:14" x14ac:dyDescent="0.2">
      <c r="K48" s="171" t="s">
        <v>178</v>
      </c>
      <c r="L48" s="172">
        <f>C42*E42</f>
        <v>14000</v>
      </c>
      <c r="M48" s="172">
        <f>C42*F42</f>
        <v>21000</v>
      </c>
      <c r="N48" s="172">
        <f t="shared" si="14"/>
        <v>35000</v>
      </c>
    </row>
    <row r="49" spans="11:14" x14ac:dyDescent="0.2">
      <c r="K49" s="171" t="s">
        <v>179</v>
      </c>
      <c r="L49" s="172">
        <f>C43*E43</f>
        <v>3250</v>
      </c>
      <c r="M49" s="172">
        <f>C43*F43</f>
        <v>6500</v>
      </c>
      <c r="N49" s="172">
        <f t="shared" si="14"/>
        <v>9750</v>
      </c>
    </row>
    <row r="50" spans="11:14" x14ac:dyDescent="0.2">
      <c r="K50" s="183" t="s">
        <v>196</v>
      </c>
      <c r="L50" s="184">
        <f>SUM(L46:L49)</f>
        <v>35250</v>
      </c>
      <c r="M50" s="184">
        <f t="shared" ref="M50:N50" si="15">SUM(M46:M49)</f>
        <v>54500</v>
      </c>
      <c r="N50" s="184">
        <f t="shared" si="15"/>
        <v>89750</v>
      </c>
    </row>
    <row r="54" spans="11:14" x14ac:dyDescent="0.2">
      <c r="K54" t="s">
        <v>181</v>
      </c>
      <c r="L54" s="8">
        <f>E5*E4</f>
        <v>80000</v>
      </c>
      <c r="M54" s="8">
        <f>F5*F4</f>
        <v>300000</v>
      </c>
    </row>
    <row r="55" spans="11:14" x14ac:dyDescent="0.2">
      <c r="K55" t="s">
        <v>9</v>
      </c>
      <c r="L55" s="8">
        <f>E6*E4</f>
        <v>40000</v>
      </c>
      <c r="M55" s="8">
        <f>F6*F4</f>
        <v>60000</v>
      </c>
    </row>
    <row r="56" spans="11:14" x14ac:dyDescent="0.2">
      <c r="K56" t="s">
        <v>137</v>
      </c>
      <c r="L56" s="8">
        <f>L50</f>
        <v>35250</v>
      </c>
      <c r="M56" s="8">
        <f>M50</f>
        <v>54500</v>
      </c>
    </row>
    <row r="57" spans="11:14" x14ac:dyDescent="0.2">
      <c r="K57" t="s">
        <v>182</v>
      </c>
      <c r="L57" s="8">
        <f>SUM(L54:L56)</f>
        <v>155250</v>
      </c>
      <c r="M57" s="8">
        <f>SUM(M54:M56)</f>
        <v>414500</v>
      </c>
    </row>
    <row r="58" spans="11:14" x14ac:dyDescent="0.2">
      <c r="K58" t="s">
        <v>183</v>
      </c>
      <c r="L58" s="8">
        <f>L57/E4</f>
        <v>38.8125</v>
      </c>
      <c r="M58" s="8">
        <f>M57/F4</f>
        <v>34.541666666666664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tabSelected="1" topLeftCell="A42" zoomScale="184" workbookViewId="0">
      <selection activeCell="G73" sqref="G73"/>
    </sheetView>
  </sheetViews>
  <sheetFormatPr baseColWidth="10" defaultRowHeight="14" x14ac:dyDescent="0.2"/>
  <cols>
    <col min="1" max="1" width="39.33203125" style="185" customWidth="1"/>
    <col min="2" max="2" width="16.83203125" style="185" bestFit="1" customWidth="1"/>
    <col min="3" max="3" width="36.1640625" style="185" customWidth="1"/>
    <col min="4" max="4" width="10" style="185" bestFit="1" customWidth="1"/>
    <col min="5" max="5" width="10.83203125" style="185"/>
    <col min="6" max="6" width="10.83203125" style="211"/>
    <col min="7" max="7" width="10.83203125" style="185"/>
    <col min="8" max="8" width="22" style="188" customWidth="1"/>
    <col min="9" max="14" width="10.83203125" style="188"/>
    <col min="15" max="15" width="24.6640625" style="185" customWidth="1"/>
    <col min="16" max="21" width="10.83203125" style="185"/>
    <col min="22" max="22" width="17.5" style="185" customWidth="1"/>
    <col min="23" max="23" width="10.5" style="185" bestFit="1" customWidth="1"/>
    <col min="24" max="25" width="11.83203125" style="185" bestFit="1" customWidth="1"/>
    <col min="26" max="16384" width="10.83203125" style="185"/>
  </cols>
  <sheetData>
    <row r="1" spans="1:25" x14ac:dyDescent="0.2">
      <c r="A1" s="302" t="s">
        <v>232</v>
      </c>
      <c r="B1" s="190" t="s">
        <v>233</v>
      </c>
      <c r="C1" s="190" t="s">
        <v>197</v>
      </c>
      <c r="D1" s="190" t="s">
        <v>248</v>
      </c>
    </row>
    <row r="2" spans="1:25" ht="15" thickBot="1" x14ac:dyDescent="0.25">
      <c r="A2" s="303"/>
      <c r="B2" s="191" t="s">
        <v>234</v>
      </c>
      <c r="C2" s="191" t="s">
        <v>235</v>
      </c>
      <c r="D2" s="191" t="s">
        <v>251</v>
      </c>
      <c r="H2" s="227" t="s">
        <v>255</v>
      </c>
      <c r="I2" s="227">
        <f>B23+B49</f>
        <v>26000</v>
      </c>
      <c r="O2" s="186"/>
      <c r="P2" s="189"/>
      <c r="Q2" s="189"/>
      <c r="R2" s="189"/>
      <c r="S2" s="189"/>
    </row>
    <row r="3" spans="1:25" ht="15" thickBot="1" x14ac:dyDescent="0.25">
      <c r="A3" s="192" t="s">
        <v>198</v>
      </c>
      <c r="B3" s="193">
        <v>5.7</v>
      </c>
      <c r="C3" s="194">
        <v>7000</v>
      </c>
      <c r="D3" s="246">
        <f>+B3*C3</f>
        <v>39900</v>
      </c>
      <c r="H3" s="227" t="s">
        <v>262</v>
      </c>
      <c r="I3" s="227">
        <f>B68+B88</f>
        <v>1200</v>
      </c>
      <c r="P3" s="188"/>
      <c r="Q3" s="188"/>
      <c r="R3" s="188"/>
      <c r="S3" s="187"/>
    </row>
    <row r="4" spans="1:25" ht="15" thickBot="1" x14ac:dyDescent="0.25">
      <c r="A4" s="192" t="s">
        <v>199</v>
      </c>
      <c r="B4" s="193">
        <v>11.4</v>
      </c>
      <c r="C4" s="194">
        <v>3000</v>
      </c>
      <c r="D4" s="246">
        <f t="shared" ref="D4:D5" si="0">+B4*C4</f>
        <v>34200</v>
      </c>
      <c r="H4" s="227"/>
      <c r="I4" s="227"/>
      <c r="P4" s="188"/>
      <c r="Q4" s="188"/>
      <c r="R4" s="188"/>
      <c r="S4" s="187"/>
    </row>
    <row r="5" spans="1:25" ht="15" thickBot="1" x14ac:dyDescent="0.25">
      <c r="A5" s="192" t="s">
        <v>200</v>
      </c>
      <c r="B5" s="193">
        <v>28.5</v>
      </c>
      <c r="C5" s="193">
        <v>300</v>
      </c>
      <c r="D5" s="246">
        <f t="shared" si="0"/>
        <v>8550</v>
      </c>
      <c r="P5" s="188"/>
      <c r="Q5" s="188"/>
      <c r="R5" s="188"/>
      <c r="S5" s="188"/>
      <c r="W5" s="189"/>
      <c r="X5" s="189"/>
      <c r="Y5" s="189"/>
    </row>
    <row r="6" spans="1:25" x14ac:dyDescent="0.2">
      <c r="A6" s="224"/>
      <c r="B6" s="225" t="s">
        <v>39</v>
      </c>
      <c r="C6" s="226">
        <f>SUM(C3:C5)</f>
        <v>10300</v>
      </c>
      <c r="D6" s="197">
        <f>SUM(D3:D5)</f>
        <v>82650</v>
      </c>
      <c r="H6" s="188" t="s">
        <v>252</v>
      </c>
      <c r="I6" s="222" t="s">
        <v>198</v>
      </c>
      <c r="J6" s="222" t="s">
        <v>199</v>
      </c>
      <c r="K6" s="222" t="s">
        <v>200</v>
      </c>
      <c r="L6" s="222" t="s">
        <v>39</v>
      </c>
      <c r="P6" s="188"/>
      <c r="Q6" s="188"/>
      <c r="R6" s="188"/>
      <c r="S6" s="188"/>
      <c r="W6" s="222"/>
      <c r="X6" s="222"/>
      <c r="Y6" s="223"/>
    </row>
    <row r="7" spans="1:25" ht="15" thickBot="1" x14ac:dyDescent="0.25">
      <c r="H7" s="188" t="s">
        <v>236</v>
      </c>
      <c r="I7" s="188">
        <f>B9*C3</f>
        <v>5670</v>
      </c>
      <c r="J7" s="188">
        <f>B10*C4</f>
        <v>3630</v>
      </c>
      <c r="K7" s="188">
        <f>B11*C5</f>
        <v>726</v>
      </c>
      <c r="L7" s="188">
        <f>SUM(I7:K7)</f>
        <v>10026</v>
      </c>
      <c r="P7" s="188"/>
      <c r="Q7" s="188"/>
      <c r="R7" s="188"/>
      <c r="S7" s="188"/>
      <c r="W7" s="188"/>
      <c r="X7" s="188"/>
      <c r="Y7" s="188"/>
    </row>
    <row r="8" spans="1:25" ht="18" thickBot="1" x14ac:dyDescent="0.4">
      <c r="A8" s="195" t="s">
        <v>232</v>
      </c>
      <c r="B8" s="196" t="s">
        <v>236</v>
      </c>
      <c r="C8" s="196" t="s">
        <v>9</v>
      </c>
      <c r="H8" s="188" t="s">
        <v>9</v>
      </c>
      <c r="I8" s="228">
        <f>C9*C3</f>
        <v>15276.8</v>
      </c>
      <c r="J8" s="228">
        <f>C10*C4</f>
        <v>8184.0000000000009</v>
      </c>
      <c r="K8" s="228">
        <f>C11*C5</f>
        <v>1338.99</v>
      </c>
      <c r="L8" s="228">
        <f>SUM(I8:K8)</f>
        <v>24799.79</v>
      </c>
      <c r="P8" s="188"/>
      <c r="Q8" s="188"/>
      <c r="R8" s="188"/>
      <c r="S8" s="188"/>
      <c r="V8" s="186"/>
      <c r="W8" s="227"/>
      <c r="X8" s="227"/>
      <c r="Y8" s="227"/>
    </row>
    <row r="9" spans="1:25" ht="15" thickBot="1" x14ac:dyDescent="0.25">
      <c r="A9" s="192" t="s">
        <v>198</v>
      </c>
      <c r="B9" s="193">
        <v>0.81</v>
      </c>
      <c r="C9" s="193">
        <v>2.1823999999999999</v>
      </c>
      <c r="H9" s="188" t="s">
        <v>39</v>
      </c>
      <c r="I9" s="188">
        <f>SUM(I7:I8)</f>
        <v>20946.8</v>
      </c>
      <c r="J9" s="188">
        <f t="shared" ref="J9:L9" si="1">SUM(J7:J8)</f>
        <v>11814</v>
      </c>
      <c r="K9" s="188">
        <f t="shared" si="1"/>
        <v>2064.9899999999998</v>
      </c>
      <c r="L9" s="188">
        <f t="shared" si="1"/>
        <v>34825.79</v>
      </c>
      <c r="P9" s="188"/>
      <c r="Q9" s="188"/>
      <c r="R9" s="188"/>
      <c r="S9" s="188"/>
      <c r="W9" s="188"/>
      <c r="X9" s="188"/>
      <c r="Y9" s="188"/>
    </row>
    <row r="10" spans="1:25" ht="15" thickBot="1" x14ac:dyDescent="0.25">
      <c r="A10" s="192" t="s">
        <v>199</v>
      </c>
      <c r="B10" s="193">
        <v>1.21</v>
      </c>
      <c r="C10" s="193">
        <v>2.7280000000000002</v>
      </c>
      <c r="P10" s="188"/>
      <c r="Q10" s="188"/>
      <c r="R10" s="188"/>
      <c r="S10" s="188"/>
      <c r="W10" s="188"/>
      <c r="X10" s="188"/>
      <c r="Y10" s="188"/>
    </row>
    <row r="11" spans="1:25" ht="15" thickBot="1" x14ac:dyDescent="0.25">
      <c r="A11" s="192" t="s">
        <v>200</v>
      </c>
      <c r="B11" s="193">
        <v>2.42</v>
      </c>
      <c r="C11" s="193">
        <v>4.4633000000000003</v>
      </c>
      <c r="H11" s="227" t="s">
        <v>254</v>
      </c>
      <c r="I11" s="245">
        <f>+C3/C6</f>
        <v>0.67961165048543692</v>
      </c>
      <c r="J11" s="245">
        <f>+C4/C6</f>
        <v>0.29126213592233008</v>
      </c>
      <c r="K11" s="245">
        <f>+C5/C6</f>
        <v>2.9126213592233011E-2</v>
      </c>
      <c r="P11" s="188"/>
      <c r="Q11" s="188"/>
      <c r="R11" s="188"/>
      <c r="S11" s="188"/>
      <c r="V11" s="186"/>
      <c r="W11" s="197"/>
      <c r="X11" s="197"/>
      <c r="Y11" s="197"/>
    </row>
    <row r="12" spans="1:25" x14ac:dyDescent="0.2">
      <c r="A12" s="224"/>
      <c r="B12" s="224"/>
      <c r="C12" s="224"/>
      <c r="O12" s="186"/>
      <c r="P12" s="197"/>
      <c r="Q12" s="197"/>
      <c r="R12" s="197"/>
      <c r="S12" s="197"/>
      <c r="Y12" s="188"/>
    </row>
    <row r="13" spans="1:25" ht="15" thickBot="1" x14ac:dyDescent="0.25">
      <c r="H13" s="227" t="s">
        <v>253</v>
      </c>
      <c r="I13" s="222" t="s">
        <v>198</v>
      </c>
      <c r="J13" s="222" t="s">
        <v>199</v>
      </c>
      <c r="K13" s="222" t="s">
        <v>200</v>
      </c>
      <c r="L13" s="222" t="s">
        <v>39</v>
      </c>
      <c r="M13" s="227"/>
      <c r="V13" s="186"/>
      <c r="W13" s="186"/>
      <c r="X13" s="186"/>
      <c r="Y13" s="197"/>
    </row>
    <row r="14" spans="1:25" x14ac:dyDescent="0.2">
      <c r="A14" s="295" t="s">
        <v>242</v>
      </c>
      <c r="B14" s="198" t="s">
        <v>83</v>
      </c>
      <c r="C14" s="295" t="s">
        <v>84</v>
      </c>
      <c r="D14" s="295" t="s">
        <v>201</v>
      </c>
      <c r="H14" s="188" t="s">
        <v>248</v>
      </c>
      <c r="I14" s="188">
        <f>+D3</f>
        <v>39900</v>
      </c>
      <c r="J14" s="188">
        <f>+D4</f>
        <v>34200</v>
      </c>
      <c r="K14" s="188">
        <f>+D5</f>
        <v>8550</v>
      </c>
      <c r="L14" s="188">
        <f>SUM(I14:K14)</f>
        <v>82650</v>
      </c>
      <c r="O14" s="186"/>
      <c r="P14" s="189"/>
      <c r="Q14" s="189"/>
      <c r="R14" s="189"/>
      <c r="S14" s="189"/>
    </row>
    <row r="15" spans="1:25" ht="18" thickBot="1" x14ac:dyDescent="0.4">
      <c r="A15" s="296"/>
      <c r="B15" s="199" t="s">
        <v>237</v>
      </c>
      <c r="C15" s="296"/>
      <c r="D15" s="296"/>
      <c r="H15" s="188" t="s">
        <v>249</v>
      </c>
      <c r="I15" s="228">
        <f>-I14*0.12</f>
        <v>-4788</v>
      </c>
      <c r="J15" s="228">
        <f t="shared" ref="J15:L15" si="2">-J14*0.12</f>
        <v>-4104</v>
      </c>
      <c r="K15" s="228">
        <f t="shared" si="2"/>
        <v>-1026</v>
      </c>
      <c r="L15" s="228">
        <f t="shared" si="2"/>
        <v>-9918</v>
      </c>
      <c r="P15" s="188"/>
      <c r="Q15" s="188"/>
      <c r="R15" s="188"/>
      <c r="S15" s="188"/>
    </row>
    <row r="16" spans="1:25" ht="15" thickBot="1" x14ac:dyDescent="0.25">
      <c r="A16" s="200" t="s">
        <v>202</v>
      </c>
      <c r="B16" s="233">
        <v>2250</v>
      </c>
      <c r="C16" s="201" t="s">
        <v>203</v>
      </c>
      <c r="D16" s="201" t="s">
        <v>192</v>
      </c>
      <c r="H16" s="227" t="s">
        <v>250</v>
      </c>
      <c r="I16" s="227">
        <f>+I15+I14</f>
        <v>35112</v>
      </c>
      <c r="J16" s="227">
        <f t="shared" ref="J16:L16" si="3">+J15+J14</f>
        <v>30096</v>
      </c>
      <c r="K16" s="227">
        <f t="shared" si="3"/>
        <v>7524</v>
      </c>
      <c r="L16" s="227">
        <f t="shared" si="3"/>
        <v>72732</v>
      </c>
      <c r="M16" s="227"/>
      <c r="P16" s="188"/>
      <c r="Q16" s="188"/>
      <c r="R16" s="188"/>
      <c r="S16" s="188"/>
    </row>
    <row r="17" spans="1:19" ht="15" thickBot="1" x14ac:dyDescent="0.25">
      <c r="A17" s="200" t="s">
        <v>204</v>
      </c>
      <c r="B17" s="233">
        <v>2250</v>
      </c>
      <c r="C17" s="201" t="s">
        <v>203</v>
      </c>
      <c r="D17" s="201" t="s">
        <v>192</v>
      </c>
      <c r="H17" s="188" t="s">
        <v>229</v>
      </c>
      <c r="I17" s="188">
        <f>-I9</f>
        <v>-20946.8</v>
      </c>
      <c r="J17" s="188">
        <f t="shared" ref="J17:K17" si="4">-J9</f>
        <v>-11814</v>
      </c>
      <c r="K17" s="188">
        <f t="shared" si="4"/>
        <v>-2064.9899999999998</v>
      </c>
      <c r="L17" s="188">
        <f>SUM(I17:K17)</f>
        <v>-34825.79</v>
      </c>
    </row>
    <row r="18" spans="1:19" ht="18" thickBot="1" x14ac:dyDescent="0.4">
      <c r="A18" s="200" t="s">
        <v>205</v>
      </c>
      <c r="B18" s="233">
        <v>5000</v>
      </c>
      <c r="C18" s="201" t="s">
        <v>206</v>
      </c>
      <c r="D18" s="201">
        <v>250</v>
      </c>
      <c r="H18" s="188" t="s">
        <v>137</v>
      </c>
      <c r="I18" s="228">
        <f>-I11*$I$2</f>
        <v>-17669.902912621361</v>
      </c>
      <c r="J18" s="228">
        <f t="shared" ref="J18:K18" si="5">-J11*$I$2</f>
        <v>-7572.8155339805817</v>
      </c>
      <c r="K18" s="228">
        <f t="shared" si="5"/>
        <v>-757.28155339805824</v>
      </c>
      <c r="L18" s="228">
        <f>SUM(I18:K18)</f>
        <v>-26000</v>
      </c>
      <c r="M18" s="227"/>
      <c r="O18" s="186"/>
      <c r="P18" s="197"/>
      <c r="Q18" s="197"/>
      <c r="R18" s="197"/>
      <c r="S18" s="197"/>
    </row>
    <row r="19" spans="1:19" ht="15" thickBot="1" x14ac:dyDescent="0.25">
      <c r="A19" s="200" t="s">
        <v>207</v>
      </c>
      <c r="B19" s="233">
        <v>2750</v>
      </c>
      <c r="C19" s="201" t="s">
        <v>208</v>
      </c>
      <c r="D19" s="201">
        <v>100</v>
      </c>
      <c r="H19" s="227" t="s">
        <v>230</v>
      </c>
      <c r="I19" s="227">
        <f>SUM(I16:I18)</f>
        <v>-3504.7029126213602</v>
      </c>
      <c r="J19" s="227">
        <f t="shared" ref="J19:L19" si="6">SUM(J16:J18)</f>
        <v>10709.184466019418</v>
      </c>
      <c r="K19" s="227">
        <f t="shared" si="6"/>
        <v>4701.7284466019419</v>
      </c>
      <c r="L19" s="227">
        <f t="shared" si="6"/>
        <v>11906.21</v>
      </c>
    </row>
    <row r="20" spans="1:19" ht="18" thickBot="1" x14ac:dyDescent="0.4">
      <c r="A20" s="200" t="s">
        <v>209</v>
      </c>
      <c r="B20" s="233">
        <v>2750</v>
      </c>
      <c r="C20" s="201" t="s">
        <v>210</v>
      </c>
      <c r="D20" s="201">
        <v>100</v>
      </c>
      <c r="H20" s="188" t="s">
        <v>261</v>
      </c>
      <c r="L20" s="228">
        <f>-I3</f>
        <v>-1200</v>
      </c>
      <c r="O20" s="186"/>
      <c r="P20" s="189"/>
      <c r="Q20" s="189"/>
      <c r="R20" s="189"/>
    </row>
    <row r="21" spans="1:19" ht="15" thickBot="1" x14ac:dyDescent="0.25">
      <c r="A21" s="200" t="s">
        <v>211</v>
      </c>
      <c r="B21" s="233">
        <v>2250</v>
      </c>
      <c r="C21" s="201" t="s">
        <v>212</v>
      </c>
      <c r="D21" s="201">
        <v>250</v>
      </c>
      <c r="H21" s="227" t="s">
        <v>231</v>
      </c>
      <c r="I21" s="227"/>
      <c r="J21" s="227"/>
      <c r="K21" s="227"/>
      <c r="L21" s="227">
        <f>+L19+L20</f>
        <v>10706.21</v>
      </c>
      <c r="P21" s="188"/>
      <c r="Q21" s="188"/>
      <c r="R21" s="188"/>
    </row>
    <row r="22" spans="1:19" s="211" customFormat="1" ht="15" thickBot="1" x14ac:dyDescent="0.25">
      <c r="A22" s="200" t="s">
        <v>213</v>
      </c>
      <c r="B22" s="233">
        <v>1000</v>
      </c>
      <c r="C22" s="201" t="s">
        <v>214</v>
      </c>
      <c r="D22" s="201">
        <v>100</v>
      </c>
      <c r="E22" s="185"/>
      <c r="H22" s="188"/>
      <c r="I22" s="188"/>
      <c r="J22" s="188"/>
      <c r="K22" s="188"/>
      <c r="L22" s="188"/>
      <c r="M22" s="188"/>
      <c r="N22" s="188"/>
      <c r="P22" s="231"/>
      <c r="Q22" s="231"/>
      <c r="R22" s="231"/>
    </row>
    <row r="23" spans="1:19" ht="15" thickBot="1" x14ac:dyDescent="0.25">
      <c r="A23" s="234" t="s">
        <v>39</v>
      </c>
      <c r="B23" s="235">
        <f>SUM(B16:B22)</f>
        <v>18250</v>
      </c>
      <c r="C23" s="230"/>
      <c r="D23" s="230"/>
      <c r="E23" s="211"/>
      <c r="H23" s="227" t="s">
        <v>256</v>
      </c>
      <c r="I23" s="245">
        <f>D3/$D$6</f>
        <v>0.48275862068965519</v>
      </c>
      <c r="J23" s="245">
        <f>D4/$D$6</f>
        <v>0.41379310344827586</v>
      </c>
      <c r="K23" s="245">
        <f>D5/$D$6</f>
        <v>0.10344827586206896</v>
      </c>
      <c r="P23" s="188"/>
      <c r="Q23" s="188"/>
      <c r="R23" s="188"/>
    </row>
    <row r="24" spans="1:19" ht="15" thickBot="1" x14ac:dyDescent="0.25">
      <c r="R24" s="188"/>
    </row>
    <row r="25" spans="1:19" ht="15" thickBot="1" x14ac:dyDescent="0.25">
      <c r="A25" s="295" t="s">
        <v>243</v>
      </c>
      <c r="B25" s="297" t="s">
        <v>232</v>
      </c>
      <c r="C25" s="298"/>
      <c r="D25" s="299"/>
      <c r="E25" s="295" t="s">
        <v>39</v>
      </c>
      <c r="F25" s="247"/>
      <c r="H25" s="227" t="s">
        <v>257</v>
      </c>
      <c r="I25" s="222" t="s">
        <v>198</v>
      </c>
      <c r="J25" s="222" t="s">
        <v>199</v>
      </c>
      <c r="K25" s="222" t="s">
        <v>200</v>
      </c>
      <c r="L25" s="222" t="s">
        <v>39</v>
      </c>
      <c r="O25" s="186"/>
      <c r="P25" s="197"/>
      <c r="Q25" s="197"/>
      <c r="R25" s="197"/>
    </row>
    <row r="26" spans="1:19" ht="15" thickBot="1" x14ac:dyDescent="0.25">
      <c r="A26" s="296"/>
      <c r="B26" s="199" t="s">
        <v>198</v>
      </c>
      <c r="C26" s="199" t="s">
        <v>199</v>
      </c>
      <c r="D26" s="199" t="s">
        <v>200</v>
      </c>
      <c r="E26" s="296"/>
      <c r="F26" s="247"/>
      <c r="H26" s="188" t="s">
        <v>248</v>
      </c>
      <c r="I26" s="188">
        <f>D3</f>
        <v>39900</v>
      </c>
      <c r="J26" s="188">
        <f>D4</f>
        <v>34200</v>
      </c>
      <c r="K26" s="188">
        <f>D5</f>
        <v>8550</v>
      </c>
      <c r="L26" s="188">
        <f>SUM(I26:K26)</f>
        <v>82650</v>
      </c>
      <c r="M26" s="231"/>
      <c r="N26" s="231"/>
    </row>
    <row r="27" spans="1:19" ht="18" thickBot="1" x14ac:dyDescent="0.4">
      <c r="A27" s="200" t="s">
        <v>206</v>
      </c>
      <c r="B27" s="201">
        <v>125</v>
      </c>
      <c r="C27" s="201">
        <v>90</v>
      </c>
      <c r="D27" s="201">
        <v>35</v>
      </c>
      <c r="E27" s="201">
        <f>+D27+C27+B27</f>
        <v>250</v>
      </c>
      <c r="F27" s="230"/>
      <c r="H27" s="188" t="s">
        <v>249</v>
      </c>
      <c r="I27" s="228">
        <f>-I26*0.12</f>
        <v>-4788</v>
      </c>
      <c r="J27" s="228">
        <f t="shared" ref="J27" si="7">-J26*0.12</f>
        <v>-4104</v>
      </c>
      <c r="K27" s="228">
        <f t="shared" ref="K27" si="8">-K26*0.12</f>
        <v>-1026</v>
      </c>
      <c r="L27" s="228">
        <f t="shared" ref="L27" si="9">-L26*0.12</f>
        <v>-9918</v>
      </c>
      <c r="M27" s="222"/>
    </row>
    <row r="28" spans="1:19" ht="15" thickBot="1" x14ac:dyDescent="0.25">
      <c r="A28" s="200" t="s">
        <v>208</v>
      </c>
      <c r="B28" s="201">
        <v>20</v>
      </c>
      <c r="C28" s="201">
        <v>30</v>
      </c>
      <c r="D28" s="201">
        <v>50</v>
      </c>
      <c r="E28" s="201">
        <f t="shared" ref="E28:E31" si="10">+D28+C28+B28</f>
        <v>100</v>
      </c>
      <c r="F28" s="230"/>
      <c r="H28" s="227" t="s">
        <v>250</v>
      </c>
      <c r="I28" s="227">
        <f>+I27+I26</f>
        <v>35112</v>
      </c>
      <c r="J28" s="227">
        <f t="shared" ref="J28" si="11">+J27+J26</f>
        <v>30096</v>
      </c>
      <c r="K28" s="227">
        <f t="shared" ref="K28" si="12">+K27+K26</f>
        <v>7524</v>
      </c>
      <c r="L28" s="227">
        <f t="shared" ref="L28" si="13">+L27+L26</f>
        <v>72732</v>
      </c>
      <c r="M28" s="222"/>
      <c r="P28" s="189"/>
      <c r="Q28" s="189"/>
      <c r="R28" s="189"/>
      <c r="S28" s="189"/>
    </row>
    <row r="29" spans="1:19" ht="15" thickBot="1" x14ac:dyDescent="0.25">
      <c r="A29" s="200" t="s">
        <v>210</v>
      </c>
      <c r="B29" s="201">
        <v>20</v>
      </c>
      <c r="C29" s="201">
        <v>30</v>
      </c>
      <c r="D29" s="201">
        <v>50</v>
      </c>
      <c r="E29" s="201">
        <f t="shared" si="10"/>
        <v>100</v>
      </c>
      <c r="F29" s="230"/>
      <c r="H29" s="188" t="s">
        <v>229</v>
      </c>
      <c r="I29" s="188">
        <f>-I9</f>
        <v>-20946.8</v>
      </c>
      <c r="J29" s="188">
        <f t="shared" ref="J29:K29" si="14">-J9</f>
        <v>-11814</v>
      </c>
      <c r="K29" s="188">
        <f t="shared" si="14"/>
        <v>-2064.9899999999998</v>
      </c>
      <c r="L29" s="188">
        <f>SUM(I29:K29)</f>
        <v>-34825.79</v>
      </c>
      <c r="P29" s="222"/>
      <c r="Q29" s="222"/>
      <c r="R29" s="222"/>
      <c r="S29" s="223"/>
    </row>
    <row r="30" spans="1:19" ht="18" thickBot="1" x14ac:dyDescent="0.4">
      <c r="A30" s="200" t="s">
        <v>212</v>
      </c>
      <c r="B30" s="201">
        <v>125</v>
      </c>
      <c r="C30" s="201">
        <v>90</v>
      </c>
      <c r="D30" s="201">
        <v>35</v>
      </c>
      <c r="E30" s="201">
        <f t="shared" si="10"/>
        <v>250</v>
      </c>
      <c r="F30" s="230"/>
      <c r="H30" s="188" t="s">
        <v>137</v>
      </c>
      <c r="I30" s="228">
        <f>-I23*$I$2</f>
        <v>-12551.724137931034</v>
      </c>
      <c r="J30" s="228">
        <f t="shared" ref="J30:K30" si="15">-J23*$I$2</f>
        <v>-10758.620689655172</v>
      </c>
      <c r="K30" s="228">
        <f t="shared" si="15"/>
        <v>-2689.655172413793</v>
      </c>
      <c r="L30" s="228">
        <f>SUM(I30:K30)</f>
        <v>-26000</v>
      </c>
      <c r="M30" s="227"/>
      <c r="P30" s="188"/>
      <c r="Q30" s="188"/>
      <c r="R30" s="188"/>
      <c r="S30" s="188"/>
    </row>
    <row r="31" spans="1:19" s="211" customFormat="1" ht="15" thickBot="1" x14ac:dyDescent="0.25">
      <c r="A31" s="200" t="s">
        <v>214</v>
      </c>
      <c r="B31" s="201">
        <v>25</v>
      </c>
      <c r="C31" s="201">
        <v>30</v>
      </c>
      <c r="D31" s="201">
        <v>45</v>
      </c>
      <c r="E31" s="201">
        <f t="shared" si="10"/>
        <v>100</v>
      </c>
      <c r="F31" s="230"/>
      <c r="H31" s="227" t="s">
        <v>230</v>
      </c>
      <c r="I31" s="227">
        <f>SUM(I28:I30)</f>
        <v>1613.4758620689663</v>
      </c>
      <c r="J31" s="227">
        <f t="shared" ref="J31" si="16">SUM(J28:J30)</f>
        <v>7523.3793103448279</v>
      </c>
      <c r="K31" s="227">
        <f t="shared" ref="K31" si="17">SUM(K28:K30)</f>
        <v>2769.3548275862072</v>
      </c>
      <c r="L31" s="227">
        <f t="shared" ref="L31" si="18">SUM(L28:L30)</f>
        <v>11906.21</v>
      </c>
      <c r="M31" s="188"/>
      <c r="N31" s="188"/>
      <c r="P31" s="231"/>
      <c r="Q31" s="231"/>
      <c r="R31" s="231"/>
      <c r="S31" s="231"/>
    </row>
    <row r="32" spans="1:19" s="211" customFormat="1" ht="18" thickBot="1" x14ac:dyDescent="0.4">
      <c r="A32" s="229"/>
      <c r="B32" s="230"/>
      <c r="C32" s="230"/>
      <c r="D32" s="230"/>
      <c r="E32" s="230"/>
      <c r="F32" s="230"/>
      <c r="H32" s="188" t="s">
        <v>261</v>
      </c>
      <c r="I32" s="188"/>
      <c r="J32" s="188"/>
      <c r="K32" s="188"/>
      <c r="L32" s="228">
        <f>-I3</f>
        <v>-1200</v>
      </c>
      <c r="M32" s="188"/>
      <c r="N32" s="188"/>
      <c r="P32" s="231"/>
      <c r="Q32" s="231"/>
      <c r="R32" s="231"/>
      <c r="S32" s="231"/>
    </row>
    <row r="33" spans="1:19" s="211" customFormat="1" ht="15" thickBot="1" x14ac:dyDescent="0.25">
      <c r="A33" s="295" t="s">
        <v>258</v>
      </c>
      <c r="B33" s="297" t="s">
        <v>232</v>
      </c>
      <c r="C33" s="298"/>
      <c r="D33" s="299"/>
      <c r="E33" s="295" t="s">
        <v>39</v>
      </c>
      <c r="F33" s="230"/>
      <c r="H33" s="227" t="s">
        <v>231</v>
      </c>
      <c r="I33" s="227"/>
      <c r="J33" s="227"/>
      <c r="K33" s="227"/>
      <c r="L33" s="227">
        <f>+L31+L32</f>
        <v>10706.21</v>
      </c>
      <c r="M33" s="188"/>
      <c r="N33" s="188"/>
      <c r="P33" s="231"/>
      <c r="Q33" s="231"/>
      <c r="R33" s="231"/>
      <c r="S33" s="231"/>
    </row>
    <row r="34" spans="1:19" s="211" customFormat="1" ht="15" thickBot="1" x14ac:dyDescent="0.25">
      <c r="A34" s="296"/>
      <c r="B34" s="199" t="s">
        <v>198</v>
      </c>
      <c r="C34" s="199" t="s">
        <v>199</v>
      </c>
      <c r="D34" s="199" t="s">
        <v>200</v>
      </c>
      <c r="E34" s="296"/>
      <c r="F34" s="230"/>
      <c r="H34" s="227"/>
      <c r="I34" s="227"/>
      <c r="J34" s="227"/>
      <c r="K34" s="227"/>
      <c r="L34" s="227"/>
      <c r="M34" s="188"/>
      <c r="N34" s="188"/>
      <c r="P34" s="231"/>
      <c r="Q34" s="231"/>
      <c r="R34" s="231"/>
      <c r="S34" s="231"/>
    </row>
    <row r="35" spans="1:19" s="211" customFormat="1" ht="15" thickBot="1" x14ac:dyDescent="0.25">
      <c r="A35" s="200" t="s">
        <v>202</v>
      </c>
      <c r="B35" s="248">
        <f>$B$16/3</f>
        <v>750</v>
      </c>
      <c r="C35" s="248">
        <f t="shared" ref="C35:D35" si="19">$B$16/3</f>
        <v>750</v>
      </c>
      <c r="D35" s="248">
        <f t="shared" si="19"/>
        <v>750</v>
      </c>
      <c r="E35" s="248">
        <f>SUM(B35:D35)</f>
        <v>2250</v>
      </c>
      <c r="F35" s="230"/>
      <c r="H35" s="227" t="s">
        <v>257</v>
      </c>
      <c r="I35" s="222" t="s">
        <v>198</v>
      </c>
      <c r="J35" s="222" t="s">
        <v>199</v>
      </c>
      <c r="K35" s="222" t="s">
        <v>200</v>
      </c>
      <c r="L35" s="222" t="s">
        <v>39</v>
      </c>
      <c r="M35" s="188"/>
      <c r="N35" s="188"/>
      <c r="P35" s="231"/>
      <c r="Q35" s="231"/>
      <c r="R35" s="231"/>
      <c r="S35" s="231"/>
    </row>
    <row r="36" spans="1:19" s="211" customFormat="1" ht="15" thickBot="1" x14ac:dyDescent="0.25">
      <c r="A36" s="200" t="s">
        <v>204</v>
      </c>
      <c r="B36" s="248">
        <f>$B$17/3</f>
        <v>750</v>
      </c>
      <c r="C36" s="248">
        <f t="shared" ref="C36:D36" si="20">$B$17/3</f>
        <v>750</v>
      </c>
      <c r="D36" s="248">
        <f t="shared" si="20"/>
        <v>750</v>
      </c>
      <c r="E36" s="248">
        <f>SUM(B36:D36)</f>
        <v>2250</v>
      </c>
      <c r="F36" s="230"/>
      <c r="H36" s="188" t="s">
        <v>248</v>
      </c>
      <c r="I36" s="188">
        <f>D3</f>
        <v>39900</v>
      </c>
      <c r="J36" s="188">
        <f>D4</f>
        <v>34200</v>
      </c>
      <c r="K36" s="188">
        <f>D5</f>
        <v>8550</v>
      </c>
      <c r="L36" s="188">
        <f>SUM(I36:K36)</f>
        <v>82650</v>
      </c>
      <c r="M36" s="188"/>
      <c r="N36" s="188"/>
      <c r="P36" s="231"/>
      <c r="Q36" s="231"/>
      <c r="R36" s="231"/>
      <c r="S36" s="231"/>
    </row>
    <row r="37" spans="1:19" s="211" customFormat="1" ht="18" thickBot="1" x14ac:dyDescent="0.4">
      <c r="A37" s="200" t="s">
        <v>205</v>
      </c>
      <c r="B37" s="248">
        <f>B27/$E$27*$B$18</f>
        <v>2500</v>
      </c>
      <c r="C37" s="248">
        <f>C27/$E$27*$B$18</f>
        <v>1800</v>
      </c>
      <c r="D37" s="248">
        <f>D27/$E$27*$B$18</f>
        <v>700.00000000000011</v>
      </c>
      <c r="E37" s="248">
        <f t="shared" ref="E37:E41" si="21">SUM(B37:D37)</f>
        <v>5000</v>
      </c>
      <c r="F37" s="230"/>
      <c r="H37" s="188" t="s">
        <v>249</v>
      </c>
      <c r="I37" s="228">
        <f>-I36*0.12</f>
        <v>-4788</v>
      </c>
      <c r="J37" s="228">
        <f t="shared" ref="J37" si="22">-J36*0.12</f>
        <v>-4104</v>
      </c>
      <c r="K37" s="228">
        <f t="shared" ref="K37" si="23">-K36*0.12</f>
        <v>-1026</v>
      </c>
      <c r="L37" s="228">
        <f t="shared" ref="L37" si="24">-L36*0.12</f>
        <v>-9918</v>
      </c>
      <c r="M37" s="188"/>
      <c r="N37" s="188"/>
      <c r="P37" s="231"/>
      <c r="Q37" s="231"/>
      <c r="R37" s="231"/>
      <c r="S37" s="231"/>
    </row>
    <row r="38" spans="1:19" s="211" customFormat="1" ht="15" thickBot="1" x14ac:dyDescent="0.25">
      <c r="A38" s="200" t="s">
        <v>207</v>
      </c>
      <c r="B38" s="248">
        <f>B28/$E$28*$B$19</f>
        <v>550</v>
      </c>
      <c r="C38" s="248">
        <f>C28/$E$28*$B$19</f>
        <v>825</v>
      </c>
      <c r="D38" s="248">
        <f>D28/$E$28*$B$19</f>
        <v>1375</v>
      </c>
      <c r="E38" s="248">
        <f t="shared" si="21"/>
        <v>2750</v>
      </c>
      <c r="F38" s="230"/>
      <c r="H38" s="227" t="s">
        <v>250</v>
      </c>
      <c r="I38" s="227">
        <f>+I37+I36</f>
        <v>35112</v>
      </c>
      <c r="J38" s="227">
        <f t="shared" ref="J38" si="25">+J37+J36</f>
        <v>30096</v>
      </c>
      <c r="K38" s="227">
        <f t="shared" ref="K38" si="26">+K37+K36</f>
        <v>7524</v>
      </c>
      <c r="L38" s="227">
        <f t="shared" ref="L38" si="27">+L37+L36</f>
        <v>72732</v>
      </c>
      <c r="M38" s="188"/>
      <c r="N38" s="188"/>
      <c r="P38" s="231"/>
      <c r="Q38" s="231"/>
      <c r="R38" s="231"/>
      <c r="S38" s="231"/>
    </row>
    <row r="39" spans="1:19" s="211" customFormat="1" ht="15" thickBot="1" x14ac:dyDescent="0.25">
      <c r="A39" s="200" t="s">
        <v>209</v>
      </c>
      <c r="B39" s="248">
        <f>B29/$E$29*$B$20</f>
        <v>550</v>
      </c>
      <c r="C39" s="248">
        <f>C29/$E$29*$B$20</f>
        <v>825</v>
      </c>
      <c r="D39" s="248">
        <f>D29/$E$29*$B$20</f>
        <v>1375</v>
      </c>
      <c r="E39" s="248">
        <f t="shared" si="21"/>
        <v>2750</v>
      </c>
      <c r="F39" s="230"/>
      <c r="H39" s="188" t="s">
        <v>229</v>
      </c>
      <c r="I39" s="188">
        <f>-I9</f>
        <v>-20946.8</v>
      </c>
      <c r="J39" s="188">
        <f>-J9</f>
        <v>-11814</v>
      </c>
      <c r="K39" s="188">
        <f>-K9</f>
        <v>-2064.9899999999998</v>
      </c>
      <c r="L39" s="188">
        <f>SUM(I39:K39)</f>
        <v>-34825.79</v>
      </c>
      <c r="M39" s="188"/>
      <c r="N39" s="188"/>
      <c r="P39" s="231"/>
      <c r="Q39" s="231"/>
      <c r="R39" s="231"/>
      <c r="S39" s="231"/>
    </row>
    <row r="40" spans="1:19" s="211" customFormat="1" ht="15" thickBot="1" x14ac:dyDescent="0.25">
      <c r="A40" s="200" t="s">
        <v>211</v>
      </c>
      <c r="B40" s="248">
        <f>B30/$E$30*$B$21</f>
        <v>1125</v>
      </c>
      <c r="C40" s="248">
        <f>C30/$E$30*$B$21</f>
        <v>810</v>
      </c>
      <c r="D40" s="248">
        <f>D30/$E$30*$B$21</f>
        <v>315.00000000000006</v>
      </c>
      <c r="E40" s="248">
        <f t="shared" si="21"/>
        <v>2250</v>
      </c>
      <c r="F40" s="230"/>
      <c r="H40" s="188" t="s">
        <v>137</v>
      </c>
      <c r="I40" s="188">
        <f>-B42-B60</f>
        <v>-10595.989304812834</v>
      </c>
      <c r="J40" s="188">
        <f>-C42-C60</f>
        <v>-8907.3262032085549</v>
      </c>
      <c r="K40" s="188">
        <f>-D42-D60</f>
        <v>-6496.6844919786099</v>
      </c>
      <c r="L40" s="188">
        <f>SUM(I40:K40)</f>
        <v>-26000</v>
      </c>
      <c r="M40" s="188"/>
      <c r="N40" s="188"/>
      <c r="P40" s="231"/>
      <c r="Q40" s="231"/>
      <c r="R40" s="231"/>
      <c r="S40" s="231"/>
    </row>
    <row r="41" spans="1:19" s="211" customFormat="1" ht="15" thickBot="1" x14ac:dyDescent="0.25">
      <c r="A41" s="200" t="s">
        <v>213</v>
      </c>
      <c r="B41" s="248">
        <f>B31/$E$31*$B$22</f>
        <v>250</v>
      </c>
      <c r="C41" s="248">
        <f>C31/$E$31*$B$22</f>
        <v>300</v>
      </c>
      <c r="D41" s="248">
        <f>D31/$E$31*$B$22</f>
        <v>450</v>
      </c>
      <c r="E41" s="248">
        <f t="shared" si="21"/>
        <v>1000</v>
      </c>
      <c r="F41" s="230"/>
      <c r="H41" s="188" t="s">
        <v>263</v>
      </c>
      <c r="I41" s="188">
        <f>-B80</f>
        <v>-150</v>
      </c>
      <c r="J41" s="188">
        <f t="shared" ref="J41:K41" si="28">-C80</f>
        <v>-108</v>
      </c>
      <c r="K41" s="188">
        <f t="shared" si="28"/>
        <v>-42.000000000000007</v>
      </c>
      <c r="L41" s="188">
        <f>SUM(I41:K41)</f>
        <v>-300</v>
      </c>
      <c r="M41" s="188"/>
      <c r="N41" s="188"/>
      <c r="P41" s="231"/>
      <c r="Q41" s="231"/>
      <c r="R41" s="231"/>
      <c r="S41" s="231"/>
    </row>
    <row r="42" spans="1:19" s="211" customFormat="1" ht="15" thickBot="1" x14ac:dyDescent="0.25">
      <c r="A42" s="234" t="s">
        <v>39</v>
      </c>
      <c r="B42" s="249">
        <f>SUM(B35:B41)</f>
        <v>6475</v>
      </c>
      <c r="C42" s="249">
        <f t="shared" ref="C42:E42" si="29">SUM(C35:C41)</f>
        <v>6060</v>
      </c>
      <c r="D42" s="249">
        <f t="shared" si="29"/>
        <v>5715</v>
      </c>
      <c r="E42" s="249">
        <f t="shared" si="29"/>
        <v>18250</v>
      </c>
      <c r="F42" s="230"/>
      <c r="H42" s="227" t="s">
        <v>230</v>
      </c>
      <c r="I42" s="227">
        <f>SUM(I38:I41)</f>
        <v>3419.2106951871665</v>
      </c>
      <c r="J42" s="227">
        <f>SUM(J38:J41)</f>
        <v>9266.6737967914451</v>
      </c>
      <c r="K42" s="227">
        <f>SUM(K38:K41)</f>
        <v>-1079.6744919786097</v>
      </c>
      <c r="L42" s="227">
        <f>SUM(L38:L41)</f>
        <v>11606.21</v>
      </c>
      <c r="M42" s="188"/>
      <c r="N42" s="188"/>
      <c r="P42" s="231"/>
      <c r="Q42" s="231"/>
      <c r="R42" s="231"/>
      <c r="S42" s="231"/>
    </row>
    <row r="43" spans="1:19" x14ac:dyDescent="0.2">
      <c r="A43" s="232"/>
      <c r="B43" s="252"/>
      <c r="C43" s="252"/>
      <c r="D43" s="252"/>
      <c r="E43" s="252"/>
      <c r="F43" s="230"/>
      <c r="H43" s="188" t="s">
        <v>264</v>
      </c>
      <c r="I43" s="231"/>
      <c r="J43" s="231"/>
      <c r="K43" s="231"/>
      <c r="L43" s="231">
        <f>-E79</f>
        <v>-100</v>
      </c>
      <c r="M43" s="231"/>
      <c r="N43" s="231"/>
      <c r="P43" s="188"/>
      <c r="Q43" s="188"/>
      <c r="R43" s="188"/>
      <c r="S43" s="188"/>
    </row>
    <row r="44" spans="1:19" ht="15" thickBot="1" x14ac:dyDescent="0.25">
      <c r="H44" s="188" t="s">
        <v>265</v>
      </c>
      <c r="I44" s="231"/>
      <c r="J44" s="231"/>
      <c r="K44" s="231"/>
      <c r="L44" s="231">
        <f>-D100</f>
        <v>-800</v>
      </c>
      <c r="M44" s="231"/>
      <c r="N44" s="231"/>
      <c r="P44" s="188"/>
      <c r="Q44" s="188"/>
      <c r="R44" s="188"/>
      <c r="S44" s="188"/>
    </row>
    <row r="45" spans="1:19" x14ac:dyDescent="0.2">
      <c r="A45" s="285" t="s">
        <v>244</v>
      </c>
      <c r="B45" s="202" t="s">
        <v>83</v>
      </c>
      <c r="C45" s="285" t="s">
        <v>84</v>
      </c>
      <c r="D45" s="285" t="s">
        <v>201</v>
      </c>
      <c r="H45" s="258" t="s">
        <v>231</v>
      </c>
      <c r="I45" s="258"/>
      <c r="J45" s="258"/>
      <c r="K45" s="258"/>
      <c r="L45" s="258">
        <f>SUM(L42:L44)</f>
        <v>10706.21</v>
      </c>
      <c r="M45" s="231"/>
      <c r="N45" s="231"/>
      <c r="P45" s="187"/>
      <c r="Q45" s="187"/>
      <c r="R45" s="187"/>
      <c r="S45" s="188"/>
    </row>
    <row r="46" spans="1:19" ht="15" thickBot="1" x14ac:dyDescent="0.25">
      <c r="A46" s="286"/>
      <c r="B46" s="203" t="s">
        <v>237</v>
      </c>
      <c r="C46" s="286"/>
      <c r="D46" s="286"/>
      <c r="H46" s="227"/>
      <c r="I46" s="227"/>
      <c r="J46" s="227"/>
      <c r="K46" s="227"/>
      <c r="L46" s="227"/>
      <c r="M46" s="231"/>
      <c r="N46" s="231"/>
      <c r="P46" s="187"/>
      <c r="Q46" s="187"/>
      <c r="R46" s="187"/>
      <c r="S46" s="188"/>
    </row>
    <row r="47" spans="1:19" ht="15" thickBot="1" x14ac:dyDescent="0.25">
      <c r="A47" s="204" t="s">
        <v>215</v>
      </c>
      <c r="B47" s="236">
        <v>3750</v>
      </c>
      <c r="C47" s="206" t="s">
        <v>217</v>
      </c>
      <c r="D47" s="206">
        <v>250</v>
      </c>
      <c r="I47" s="222" t="s">
        <v>227</v>
      </c>
      <c r="J47" s="222" t="s">
        <v>228</v>
      </c>
      <c r="K47" s="245"/>
      <c r="M47" s="231"/>
      <c r="N47" s="231"/>
      <c r="P47" s="187"/>
      <c r="Q47" s="187"/>
      <c r="R47" s="187"/>
      <c r="S47" s="188"/>
    </row>
    <row r="48" spans="1:19" ht="15" thickBot="1" x14ac:dyDescent="0.25">
      <c r="A48" s="204" t="s">
        <v>216</v>
      </c>
      <c r="B48" s="236">
        <v>4000</v>
      </c>
      <c r="C48" s="206" t="s">
        <v>218</v>
      </c>
      <c r="D48" s="205">
        <v>1122</v>
      </c>
      <c r="H48" s="227" t="s">
        <v>266</v>
      </c>
      <c r="I48" s="259">
        <v>0.4</v>
      </c>
      <c r="J48" s="259">
        <v>0.6</v>
      </c>
      <c r="K48" s="245"/>
      <c r="M48" s="231"/>
      <c r="N48" s="185"/>
      <c r="O48" s="188"/>
      <c r="P48" s="188"/>
      <c r="Q48" s="188"/>
      <c r="R48" s="188"/>
    </row>
    <row r="49" spans="1:18" ht="15" thickBot="1" x14ac:dyDescent="0.25">
      <c r="A49" s="237" t="s">
        <v>39</v>
      </c>
      <c r="B49" s="238">
        <f>SUM(B47:B48)</f>
        <v>7750</v>
      </c>
      <c r="H49" s="227"/>
      <c r="I49" s="245"/>
      <c r="J49" s="245"/>
      <c r="K49" s="245"/>
      <c r="M49" s="231"/>
      <c r="N49" s="185"/>
      <c r="O49" s="188"/>
      <c r="P49" s="188"/>
      <c r="Q49" s="188"/>
      <c r="R49" s="188"/>
    </row>
    <row r="50" spans="1:18" ht="15" thickBot="1" x14ac:dyDescent="0.25">
      <c r="L50" s="231"/>
      <c r="M50" s="231"/>
      <c r="N50" s="185"/>
      <c r="O50" s="188"/>
      <c r="P50" s="188"/>
      <c r="Q50" s="188"/>
      <c r="R50" s="188"/>
    </row>
    <row r="51" spans="1:18" ht="15" thickBot="1" x14ac:dyDescent="0.25">
      <c r="A51" s="285" t="s">
        <v>245</v>
      </c>
      <c r="B51" s="292" t="s">
        <v>232</v>
      </c>
      <c r="C51" s="293"/>
      <c r="D51" s="294"/>
      <c r="E51" s="285" t="s">
        <v>39</v>
      </c>
      <c r="F51" s="247"/>
      <c r="H51" s="227" t="s">
        <v>257</v>
      </c>
      <c r="I51" s="222" t="s">
        <v>227</v>
      </c>
      <c r="J51" s="222" t="s">
        <v>228</v>
      </c>
      <c r="K51" s="222" t="s">
        <v>39</v>
      </c>
      <c r="L51" s="231"/>
      <c r="M51" s="231"/>
      <c r="N51" s="185"/>
      <c r="O51" s="188"/>
      <c r="P51" s="188"/>
      <c r="Q51" s="188"/>
      <c r="R51" s="188"/>
    </row>
    <row r="52" spans="1:18" ht="15" thickBot="1" x14ac:dyDescent="0.25">
      <c r="A52" s="286"/>
      <c r="B52" s="203" t="s">
        <v>198</v>
      </c>
      <c r="C52" s="203" t="s">
        <v>199</v>
      </c>
      <c r="D52" s="203" t="s">
        <v>200</v>
      </c>
      <c r="E52" s="286"/>
      <c r="F52" s="247"/>
      <c r="H52" s="188" t="s">
        <v>248</v>
      </c>
      <c r="I52" s="188">
        <f>I48*$D$6</f>
        <v>33060</v>
      </c>
      <c r="J52" s="188">
        <f>J48*$D$6</f>
        <v>49590</v>
      </c>
      <c r="K52" s="188">
        <f>SUM(I52:J52)</f>
        <v>82650</v>
      </c>
      <c r="L52" s="231"/>
      <c r="M52" s="231"/>
      <c r="N52" s="185"/>
      <c r="O52" s="188"/>
      <c r="P52" s="188"/>
      <c r="Q52" s="188"/>
      <c r="R52" s="188"/>
    </row>
    <row r="53" spans="1:18" ht="18" thickBot="1" x14ac:dyDescent="0.4">
      <c r="A53" s="204" t="s">
        <v>217</v>
      </c>
      <c r="B53" s="206">
        <v>125</v>
      </c>
      <c r="C53" s="206">
        <v>90</v>
      </c>
      <c r="D53" s="206">
        <v>35</v>
      </c>
      <c r="E53" s="206">
        <f>+D53+C53+B53</f>
        <v>250</v>
      </c>
      <c r="F53" s="230"/>
      <c r="H53" s="188" t="s">
        <v>249</v>
      </c>
      <c r="I53" s="228">
        <f>-I52*0.12</f>
        <v>-3967.2</v>
      </c>
      <c r="J53" s="228">
        <f t="shared" ref="J53" si="30">-J52*0.12</f>
        <v>-5950.8</v>
      </c>
      <c r="K53" s="228">
        <f t="shared" ref="K53" si="31">-K52*0.12</f>
        <v>-9918</v>
      </c>
      <c r="L53" s="231"/>
      <c r="M53" s="231"/>
      <c r="N53" s="185"/>
      <c r="O53" s="188"/>
      <c r="P53" s="188"/>
      <c r="Q53" s="188"/>
      <c r="R53" s="188"/>
    </row>
    <row r="54" spans="1:18" ht="15" thickBot="1" x14ac:dyDescent="0.25">
      <c r="A54" s="204" t="s">
        <v>218</v>
      </c>
      <c r="B54" s="206">
        <v>630</v>
      </c>
      <c r="C54" s="206">
        <v>420</v>
      </c>
      <c r="D54" s="206">
        <v>72</v>
      </c>
      <c r="E54" s="206">
        <f t="shared" ref="E54" si="32">+D54+C54+B54</f>
        <v>1122</v>
      </c>
      <c r="F54" s="230"/>
      <c r="H54" s="227" t="s">
        <v>250</v>
      </c>
      <c r="I54" s="227">
        <f>+I53+I52</f>
        <v>29092.799999999999</v>
      </c>
      <c r="J54" s="227">
        <f t="shared" ref="J54" si="33">+J53+J52</f>
        <v>43639.199999999997</v>
      </c>
      <c r="K54" s="227">
        <f t="shared" ref="K54" si="34">+K53+K52</f>
        <v>72732</v>
      </c>
      <c r="L54" s="231"/>
      <c r="M54" s="231"/>
      <c r="N54" s="185"/>
    </row>
    <row r="55" spans="1:18" ht="15" thickBot="1" x14ac:dyDescent="0.25">
      <c r="H55" s="188" t="s">
        <v>229</v>
      </c>
      <c r="I55" s="188">
        <f>-$L$9*I48</f>
        <v>-13930.316000000001</v>
      </c>
      <c r="J55" s="188">
        <f>-$L$9*J48</f>
        <v>-20895.473999999998</v>
      </c>
      <c r="K55" s="188">
        <f>SUM(I55:J55)</f>
        <v>-34825.79</v>
      </c>
      <c r="L55" s="231"/>
      <c r="M55" s="231"/>
      <c r="N55" s="185"/>
    </row>
    <row r="56" spans="1:18" ht="18" thickBot="1" x14ac:dyDescent="0.4">
      <c r="A56" s="285" t="s">
        <v>259</v>
      </c>
      <c r="B56" s="292" t="s">
        <v>232</v>
      </c>
      <c r="C56" s="293"/>
      <c r="D56" s="294"/>
      <c r="E56" s="285" t="s">
        <v>39</v>
      </c>
      <c r="H56" s="188" t="s">
        <v>137</v>
      </c>
      <c r="I56" s="228">
        <f>-$I$2*I48</f>
        <v>-10400</v>
      </c>
      <c r="J56" s="228">
        <f>-$I$2*J48</f>
        <v>-15600</v>
      </c>
      <c r="K56" s="228">
        <f>SUM(I56:J56)</f>
        <v>-26000</v>
      </c>
      <c r="L56" s="227"/>
      <c r="N56" s="185"/>
    </row>
    <row r="57" spans="1:18" ht="15" thickBot="1" x14ac:dyDescent="0.25">
      <c r="A57" s="286"/>
      <c r="B57" s="203" t="s">
        <v>198</v>
      </c>
      <c r="C57" s="203" t="s">
        <v>199</v>
      </c>
      <c r="D57" s="203" t="s">
        <v>200</v>
      </c>
      <c r="E57" s="286"/>
      <c r="H57" s="227" t="s">
        <v>230</v>
      </c>
      <c r="I57" s="227">
        <f>SUM(I54:I56)</f>
        <v>4762.4839999999986</v>
      </c>
      <c r="J57" s="227">
        <f t="shared" ref="J57" si="35">SUM(J54:J56)</f>
        <v>7143.7259999999987</v>
      </c>
      <c r="K57" s="227">
        <f t="shared" ref="K57" si="36">SUM(K54:K56)</f>
        <v>11906.21</v>
      </c>
      <c r="N57" s="185"/>
    </row>
    <row r="58" spans="1:18" ht="18" thickBot="1" x14ac:dyDescent="0.4">
      <c r="A58" s="204" t="s">
        <v>217</v>
      </c>
      <c r="B58" s="250">
        <f>B53/$E$53*$B$47</f>
        <v>1875</v>
      </c>
      <c r="C58" s="250">
        <f>C53/$E$53*$B$47</f>
        <v>1350</v>
      </c>
      <c r="D58" s="250">
        <f>D53/$E$53*$B$47</f>
        <v>525</v>
      </c>
      <c r="E58" s="250">
        <f>SUM(B58:D58)</f>
        <v>3750</v>
      </c>
      <c r="H58" s="188" t="s">
        <v>267</v>
      </c>
      <c r="I58" s="228">
        <f>-$I$3*I48</f>
        <v>-480</v>
      </c>
      <c r="J58" s="228">
        <f>-$I$3*J48</f>
        <v>-720</v>
      </c>
      <c r="K58" s="228">
        <f>SUM(I58:J58)</f>
        <v>-1200</v>
      </c>
      <c r="L58" s="227"/>
      <c r="N58" s="185"/>
    </row>
    <row r="59" spans="1:18" ht="15" thickBot="1" x14ac:dyDescent="0.25">
      <c r="A59" s="204" t="s">
        <v>218</v>
      </c>
      <c r="B59" s="250">
        <f>B54/$E$54*$B$48</f>
        <v>2245.9893048128342</v>
      </c>
      <c r="C59" s="250">
        <f>C54/$E$54*$B$48</f>
        <v>1497.3262032085561</v>
      </c>
      <c r="D59" s="250">
        <f>D54/$E$54*$B$48</f>
        <v>256.68449197860963</v>
      </c>
      <c r="E59" s="250">
        <f t="shared" ref="E59:E60" si="37">SUM(B59:D59)</f>
        <v>3999.9999999999995</v>
      </c>
      <c r="H59" s="227" t="s">
        <v>231</v>
      </c>
      <c r="I59" s="227">
        <f>+I58+I57</f>
        <v>4282.4839999999986</v>
      </c>
      <c r="J59" s="227">
        <f>+J58+J57</f>
        <v>6423.7259999999987</v>
      </c>
      <c r="K59" s="227">
        <f>+K58+K57</f>
        <v>10706.21</v>
      </c>
      <c r="N59" s="185"/>
    </row>
    <row r="60" spans="1:18" ht="15" thickBot="1" x14ac:dyDescent="0.25">
      <c r="A60" s="237" t="s">
        <v>39</v>
      </c>
      <c r="B60" s="251">
        <f>SUM(B58:B59)</f>
        <v>4120.9893048128342</v>
      </c>
      <c r="C60" s="251">
        <f t="shared" ref="C60:D60" si="38">SUM(C58:C59)</f>
        <v>2847.3262032085559</v>
      </c>
      <c r="D60" s="251">
        <f t="shared" si="38"/>
        <v>781.68449197860969</v>
      </c>
      <c r="E60" s="251">
        <f t="shared" si="37"/>
        <v>7750</v>
      </c>
      <c r="N60" s="185"/>
    </row>
    <row r="61" spans="1:18" x14ac:dyDescent="0.2">
      <c r="N61" s="185"/>
    </row>
    <row r="62" spans="1:18" ht="15" thickBot="1" x14ac:dyDescent="0.25">
      <c r="H62" s="227" t="s">
        <v>257</v>
      </c>
      <c r="I62" s="222" t="s">
        <v>227</v>
      </c>
      <c r="J62" s="222" t="s">
        <v>228</v>
      </c>
      <c r="K62" s="222" t="s">
        <v>39</v>
      </c>
      <c r="N62" s="185"/>
    </row>
    <row r="63" spans="1:18" x14ac:dyDescent="0.2">
      <c r="A63" s="287" t="s">
        <v>246</v>
      </c>
      <c r="B63" s="207" t="s">
        <v>83</v>
      </c>
      <c r="C63" s="287" t="s">
        <v>84</v>
      </c>
      <c r="D63" s="287" t="s">
        <v>201</v>
      </c>
      <c r="H63" s="188" t="s">
        <v>248</v>
      </c>
      <c r="I63" s="188">
        <f>I48*$D$6</f>
        <v>33060</v>
      </c>
      <c r="J63" s="188">
        <f>J48*$D$6</f>
        <v>49590</v>
      </c>
      <c r="K63" s="188">
        <f>SUM(I63:J63)</f>
        <v>82650</v>
      </c>
      <c r="N63" s="185"/>
    </row>
    <row r="64" spans="1:18" ht="18" thickBot="1" x14ac:dyDescent="0.4">
      <c r="A64" s="288"/>
      <c r="B64" s="208" t="s">
        <v>237</v>
      </c>
      <c r="C64" s="288"/>
      <c r="D64" s="288"/>
      <c r="H64" s="188" t="s">
        <v>249</v>
      </c>
      <c r="I64" s="228">
        <f>-I63*0.12</f>
        <v>-3967.2</v>
      </c>
      <c r="J64" s="228">
        <f t="shared" ref="J64" si="39">-J63*0.12</f>
        <v>-5950.8</v>
      </c>
      <c r="K64" s="228">
        <f t="shared" ref="K64" si="40">-K63*0.12</f>
        <v>-9918</v>
      </c>
      <c r="N64" s="185"/>
    </row>
    <row r="65" spans="1:14" ht="15" thickBot="1" x14ac:dyDescent="0.25">
      <c r="A65" s="209" t="s">
        <v>219</v>
      </c>
      <c r="B65" s="240">
        <v>150</v>
      </c>
      <c r="C65" s="210" t="s">
        <v>222</v>
      </c>
      <c r="D65" s="210">
        <v>250</v>
      </c>
      <c r="H65" s="227" t="s">
        <v>250</v>
      </c>
      <c r="I65" s="227">
        <f>+I64+I63</f>
        <v>29092.799999999999</v>
      </c>
      <c r="J65" s="227">
        <f t="shared" ref="J65" si="41">+J64+J63</f>
        <v>43639.199999999997</v>
      </c>
      <c r="K65" s="227">
        <f t="shared" ref="K65" si="42">+K64+K63</f>
        <v>72732</v>
      </c>
      <c r="N65" s="185"/>
    </row>
    <row r="66" spans="1:14" ht="15" thickBot="1" x14ac:dyDescent="0.25">
      <c r="A66" s="209" t="s">
        <v>220</v>
      </c>
      <c r="B66" s="240">
        <v>150</v>
      </c>
      <c r="C66" s="210" t="s">
        <v>223</v>
      </c>
      <c r="D66" s="210">
        <v>250</v>
      </c>
      <c r="H66" s="188" t="s">
        <v>229</v>
      </c>
      <c r="I66" s="188">
        <f>-$L$9*I48</f>
        <v>-13930.316000000001</v>
      </c>
      <c r="J66" s="188">
        <f>-$L$9*J48</f>
        <v>-20895.473999999998</v>
      </c>
      <c r="K66" s="188">
        <f>SUM(I66:J66)</f>
        <v>-34825.79</v>
      </c>
      <c r="N66" s="185"/>
    </row>
    <row r="67" spans="1:14" ht="15" thickBot="1" x14ac:dyDescent="0.25">
      <c r="A67" s="209" t="s">
        <v>221</v>
      </c>
      <c r="B67" s="240">
        <v>100</v>
      </c>
      <c r="C67" s="210"/>
      <c r="D67" s="210"/>
      <c r="H67" s="188" t="s">
        <v>137</v>
      </c>
      <c r="I67" s="188">
        <f>+I40*I48+J40*I48+K40*I48</f>
        <v>-10400</v>
      </c>
      <c r="J67" s="188">
        <f>+I40*J48+J40*J48+K40*J48</f>
        <v>-15599.999999999998</v>
      </c>
      <c r="K67" s="188">
        <f>SUM(I67:J67)</f>
        <v>-26000</v>
      </c>
      <c r="N67" s="185"/>
    </row>
    <row r="68" spans="1:14" ht="15" thickBot="1" x14ac:dyDescent="0.25">
      <c r="A68" s="239" t="s">
        <v>39</v>
      </c>
      <c r="B68" s="241">
        <f>SUM(B65:B67)</f>
        <v>400</v>
      </c>
      <c r="H68" s="188" t="s">
        <v>263</v>
      </c>
      <c r="I68" s="188">
        <f>+I41*I48+J41*I48+K41*I48</f>
        <v>-120</v>
      </c>
      <c r="J68" s="188">
        <f>+I41*J48+J41*J48+K41*J48</f>
        <v>-180</v>
      </c>
      <c r="K68" s="188">
        <f>SUM(I68:J68)</f>
        <v>-300</v>
      </c>
      <c r="N68" s="185"/>
    </row>
    <row r="69" spans="1:14" ht="18" thickBot="1" x14ac:dyDescent="0.4">
      <c r="H69" s="188" t="s">
        <v>265</v>
      </c>
      <c r="I69" s="228">
        <f>-B100</f>
        <v>-390</v>
      </c>
      <c r="J69" s="228">
        <f>-C100</f>
        <v>-210</v>
      </c>
      <c r="K69" s="228">
        <f>SUM(I69:J69)</f>
        <v>-600</v>
      </c>
      <c r="N69" s="185"/>
    </row>
    <row r="70" spans="1:14" ht="15" thickBot="1" x14ac:dyDescent="0.25">
      <c r="A70" s="287" t="s">
        <v>247</v>
      </c>
      <c r="B70" s="289" t="s">
        <v>232</v>
      </c>
      <c r="C70" s="290"/>
      <c r="D70" s="291"/>
      <c r="E70" s="287" t="s">
        <v>39</v>
      </c>
      <c r="H70" s="227" t="s">
        <v>230</v>
      </c>
      <c r="I70" s="227">
        <f>SUM(I65:I69)</f>
        <v>4252.4839999999986</v>
      </c>
      <c r="J70" s="227">
        <f>SUM(J65:J69)</f>
        <v>6753.7260000000006</v>
      </c>
      <c r="K70" s="227">
        <f>SUM(K65:K69)</f>
        <v>11006.21</v>
      </c>
      <c r="N70" s="185"/>
    </row>
    <row r="71" spans="1:14" ht="18" thickBot="1" x14ac:dyDescent="0.4">
      <c r="A71" s="288"/>
      <c r="B71" s="210" t="s">
        <v>198</v>
      </c>
      <c r="C71" s="210" t="s">
        <v>199</v>
      </c>
      <c r="D71" s="210" t="s">
        <v>200</v>
      </c>
      <c r="E71" s="288"/>
      <c r="F71" s="230"/>
      <c r="H71" s="188" t="s">
        <v>264</v>
      </c>
      <c r="I71" s="231" t="s">
        <v>260</v>
      </c>
      <c r="J71" s="231"/>
      <c r="K71" s="260">
        <f>-E79-D99</f>
        <v>-300</v>
      </c>
      <c r="N71" s="185"/>
    </row>
    <row r="72" spans="1:14" ht="15" thickBot="1" x14ac:dyDescent="0.25">
      <c r="A72" s="209" t="s">
        <v>222</v>
      </c>
      <c r="B72" s="210">
        <v>125</v>
      </c>
      <c r="C72" s="210">
        <v>90</v>
      </c>
      <c r="D72" s="210">
        <v>35</v>
      </c>
      <c r="E72" s="210">
        <f>+D72+C72+B72</f>
        <v>250</v>
      </c>
      <c r="F72" s="230"/>
      <c r="H72" s="258" t="s">
        <v>231</v>
      </c>
      <c r="I72" s="258"/>
      <c r="J72" s="258"/>
      <c r="K72" s="258">
        <f>+K71+K70</f>
        <v>10706.21</v>
      </c>
      <c r="N72" s="185"/>
    </row>
    <row r="73" spans="1:14" ht="15" thickBot="1" x14ac:dyDescent="0.25">
      <c r="A73" s="209" t="s">
        <v>223</v>
      </c>
      <c r="B73" s="210">
        <v>125</v>
      </c>
      <c r="C73" s="210">
        <v>90</v>
      </c>
      <c r="D73" s="210">
        <v>35</v>
      </c>
      <c r="E73" s="210">
        <f>+D73+C73+B73</f>
        <v>250</v>
      </c>
      <c r="F73" s="230"/>
      <c r="N73" s="185"/>
    </row>
    <row r="74" spans="1:14" s="211" customFormat="1" ht="15" thickBot="1" x14ac:dyDescent="0.25">
      <c r="A74" s="229"/>
      <c r="B74" s="230"/>
      <c r="C74" s="230"/>
      <c r="D74" s="230"/>
      <c r="E74" s="230"/>
      <c r="F74" s="230"/>
      <c r="H74" s="188"/>
      <c r="I74" s="188"/>
      <c r="J74" s="188"/>
      <c r="K74" s="188"/>
      <c r="L74" s="188"/>
      <c r="M74" s="188"/>
      <c r="N74" s="188"/>
    </row>
    <row r="75" spans="1:14" s="211" customFormat="1" ht="15" thickBot="1" x14ac:dyDescent="0.25">
      <c r="A75" s="287" t="s">
        <v>259</v>
      </c>
      <c r="B75" s="289" t="s">
        <v>232</v>
      </c>
      <c r="C75" s="290"/>
      <c r="D75" s="291"/>
      <c r="E75" s="287" t="s">
        <v>39</v>
      </c>
      <c r="F75" s="230"/>
      <c r="H75" s="188"/>
      <c r="I75" s="188"/>
      <c r="J75" s="188"/>
      <c r="K75" s="188"/>
      <c r="L75" s="188"/>
      <c r="M75" s="188"/>
      <c r="N75" s="188"/>
    </row>
    <row r="76" spans="1:14" s="211" customFormat="1" ht="15" thickBot="1" x14ac:dyDescent="0.25">
      <c r="A76" s="288"/>
      <c r="B76" s="210" t="s">
        <v>198</v>
      </c>
      <c r="C76" s="210" t="s">
        <v>199</v>
      </c>
      <c r="D76" s="210" t="s">
        <v>200</v>
      </c>
      <c r="E76" s="288"/>
      <c r="F76" s="230"/>
      <c r="H76" s="188"/>
      <c r="I76" s="188"/>
      <c r="J76" s="188"/>
      <c r="K76" s="188"/>
      <c r="L76" s="188"/>
      <c r="M76" s="188"/>
      <c r="N76" s="188"/>
    </row>
    <row r="77" spans="1:14" s="211" customFormat="1" ht="15" thickBot="1" x14ac:dyDescent="0.25">
      <c r="A77" s="209" t="s">
        <v>222</v>
      </c>
      <c r="B77" s="253">
        <f>B72/$E$72*$B$65</f>
        <v>75</v>
      </c>
      <c r="C77" s="253">
        <f t="shared" ref="C77:D77" si="43">C72/$E$72*$B$65</f>
        <v>54</v>
      </c>
      <c r="D77" s="253">
        <f t="shared" si="43"/>
        <v>21.000000000000004</v>
      </c>
      <c r="E77" s="253">
        <f>SUM(B77:D77)</f>
        <v>150</v>
      </c>
      <c r="F77" s="230"/>
      <c r="H77" s="188"/>
      <c r="I77" s="188"/>
      <c r="J77" s="188"/>
      <c r="K77" s="188"/>
      <c r="L77" s="188"/>
      <c r="M77" s="188"/>
      <c r="N77" s="188"/>
    </row>
    <row r="78" spans="1:14" s="211" customFormat="1" ht="15" thickBot="1" x14ac:dyDescent="0.25">
      <c r="A78" s="209" t="s">
        <v>223</v>
      </c>
      <c r="B78" s="253">
        <f>B73/$E$73*$B$66</f>
        <v>75</v>
      </c>
      <c r="C78" s="253">
        <f t="shared" ref="C78:D78" si="44">C73/$E$73*$B$66</f>
        <v>54</v>
      </c>
      <c r="D78" s="253">
        <f t="shared" si="44"/>
        <v>21.000000000000004</v>
      </c>
      <c r="E78" s="253">
        <f>SUM(B78:D78)</f>
        <v>150</v>
      </c>
      <c r="F78" s="230"/>
      <c r="H78" s="231"/>
      <c r="I78" s="231"/>
      <c r="J78" s="231"/>
      <c r="K78" s="231"/>
      <c r="L78" s="231"/>
      <c r="M78" s="188"/>
      <c r="N78" s="188"/>
    </row>
    <row r="79" spans="1:14" s="211" customFormat="1" ht="15" thickBot="1" x14ac:dyDescent="0.25">
      <c r="A79" s="209" t="s">
        <v>221</v>
      </c>
      <c r="B79" s="253">
        <v>0</v>
      </c>
      <c r="C79" s="253">
        <v>0</v>
      </c>
      <c r="D79" s="253">
        <v>0</v>
      </c>
      <c r="E79" s="253">
        <f>B67</f>
        <v>100</v>
      </c>
      <c r="F79" s="230"/>
      <c r="H79" s="231"/>
      <c r="I79" s="231"/>
      <c r="J79" s="231"/>
      <c r="K79" s="231"/>
      <c r="L79" s="231"/>
      <c r="M79" s="188"/>
      <c r="N79" s="188"/>
    </row>
    <row r="80" spans="1:14" s="211" customFormat="1" ht="15" thickBot="1" x14ac:dyDescent="0.25">
      <c r="A80" s="239" t="s">
        <v>39</v>
      </c>
      <c r="B80" s="254">
        <f>SUM(B77:B79)</f>
        <v>150</v>
      </c>
      <c r="C80" s="254">
        <f t="shared" ref="C80:E80" si="45">SUM(C77:C79)</f>
        <v>108</v>
      </c>
      <c r="D80" s="254">
        <f t="shared" si="45"/>
        <v>42.000000000000007</v>
      </c>
      <c r="E80" s="254">
        <f t="shared" si="45"/>
        <v>400</v>
      </c>
      <c r="F80" s="230"/>
      <c r="H80" s="231"/>
      <c r="I80" s="231"/>
      <c r="J80" s="231"/>
      <c r="K80" s="231"/>
      <c r="L80" s="231"/>
      <c r="M80" s="188"/>
      <c r="N80" s="188"/>
    </row>
    <row r="81" spans="1:14" s="211" customFormat="1" x14ac:dyDescent="0.2">
      <c r="A81" s="229"/>
      <c r="B81" s="230"/>
      <c r="C81" s="230"/>
      <c r="D81" s="230"/>
      <c r="E81" s="230"/>
      <c r="F81" s="230"/>
      <c r="H81" s="231"/>
      <c r="I81" s="231"/>
      <c r="J81" s="231"/>
      <c r="K81" s="231"/>
      <c r="L81" s="231"/>
      <c r="M81" s="188"/>
      <c r="N81" s="188"/>
    </row>
    <row r="82" spans="1:14" ht="15" thickBot="1" x14ac:dyDescent="0.25">
      <c r="H82" s="231"/>
      <c r="I82" s="231"/>
      <c r="J82" s="231"/>
      <c r="K82" s="231"/>
      <c r="L82" s="231"/>
    </row>
    <row r="83" spans="1:14" x14ac:dyDescent="0.2">
      <c r="A83" s="300" t="s">
        <v>82</v>
      </c>
      <c r="B83" s="212" t="s">
        <v>83</v>
      </c>
      <c r="C83" s="300" t="s">
        <v>84</v>
      </c>
      <c r="D83" s="300" t="s">
        <v>201</v>
      </c>
      <c r="H83" s="231"/>
      <c r="I83" s="231"/>
      <c r="J83" s="231"/>
      <c r="K83" s="231"/>
      <c r="L83" s="231"/>
    </row>
    <row r="84" spans="1:14" ht="15" thickBot="1" x14ac:dyDescent="0.25">
      <c r="A84" s="301"/>
      <c r="B84" s="213" t="s">
        <v>237</v>
      </c>
      <c r="C84" s="301"/>
      <c r="D84" s="301"/>
      <c r="H84" s="231"/>
      <c r="I84" s="231"/>
      <c r="J84" s="231"/>
      <c r="K84" s="231"/>
      <c r="L84" s="231"/>
    </row>
    <row r="85" spans="1:14" ht="15" thickBot="1" x14ac:dyDescent="0.25">
      <c r="A85" s="214" t="s">
        <v>224</v>
      </c>
      <c r="B85" s="242">
        <v>100</v>
      </c>
      <c r="C85" s="215" t="s">
        <v>212</v>
      </c>
      <c r="D85" s="216">
        <v>2000</v>
      </c>
      <c r="H85" s="231"/>
      <c r="I85" s="231"/>
      <c r="J85" s="231"/>
      <c r="K85" s="231"/>
      <c r="L85" s="231"/>
      <c r="N85" s="231"/>
    </row>
    <row r="86" spans="1:14" ht="15" thickBot="1" x14ac:dyDescent="0.25">
      <c r="A86" s="214" t="s">
        <v>225</v>
      </c>
      <c r="B86" s="242">
        <v>500</v>
      </c>
      <c r="C86" s="215" t="s">
        <v>226</v>
      </c>
      <c r="D86" s="216">
        <v>10300</v>
      </c>
      <c r="N86" s="231"/>
    </row>
    <row r="87" spans="1:14" s="211" customFormat="1" ht="15" thickBot="1" x14ac:dyDescent="0.25">
      <c r="A87" s="214" t="s">
        <v>221</v>
      </c>
      <c r="B87" s="242">
        <v>200</v>
      </c>
      <c r="C87" s="215"/>
      <c r="D87" s="215"/>
      <c r="E87" s="185"/>
      <c r="H87" s="188"/>
      <c r="I87" s="188"/>
      <c r="J87" s="188"/>
      <c r="K87" s="188"/>
      <c r="L87" s="188"/>
      <c r="M87" s="231"/>
      <c r="N87" s="231"/>
    </row>
    <row r="88" spans="1:14" ht="15" thickBot="1" x14ac:dyDescent="0.25">
      <c r="A88" s="243" t="s">
        <v>39</v>
      </c>
      <c r="B88" s="244">
        <f>SUM(B85:B87)</f>
        <v>800</v>
      </c>
      <c r="C88" s="230"/>
      <c r="D88" s="230"/>
      <c r="E88" s="211"/>
      <c r="M88" s="231"/>
      <c r="N88" s="231"/>
    </row>
    <row r="89" spans="1:14" ht="15" thickBot="1" x14ac:dyDescent="0.25">
      <c r="M89" s="231"/>
      <c r="N89" s="231"/>
    </row>
    <row r="90" spans="1:14" ht="15" thickBot="1" x14ac:dyDescent="0.25">
      <c r="A90" s="281" t="s">
        <v>238</v>
      </c>
      <c r="B90" s="283" t="s">
        <v>239</v>
      </c>
      <c r="C90" s="284"/>
      <c r="D90" s="217"/>
      <c r="M90" s="231"/>
      <c r="N90" s="231"/>
    </row>
    <row r="91" spans="1:14" ht="15" thickBot="1" x14ac:dyDescent="0.25">
      <c r="A91" s="282"/>
      <c r="B91" s="218" t="s">
        <v>240</v>
      </c>
      <c r="C91" s="218" t="s">
        <v>241</v>
      </c>
      <c r="D91" s="215" t="s">
        <v>39</v>
      </c>
      <c r="M91" s="231"/>
      <c r="N91" s="231"/>
    </row>
    <row r="92" spans="1:14" ht="15" thickBot="1" x14ac:dyDescent="0.25">
      <c r="A92" s="219" t="s">
        <v>212</v>
      </c>
      <c r="B92" s="220">
        <v>1800</v>
      </c>
      <c r="C92" s="221">
        <v>200</v>
      </c>
      <c r="D92" s="216">
        <f>+C92+B92</f>
        <v>2000</v>
      </c>
      <c r="M92" s="231"/>
      <c r="N92" s="231"/>
    </row>
    <row r="93" spans="1:14" ht="15" thickBot="1" x14ac:dyDescent="0.25">
      <c r="A93" s="219" t="s">
        <v>226</v>
      </c>
      <c r="B93" s="220">
        <v>6180</v>
      </c>
      <c r="C93" s="220">
        <v>4120</v>
      </c>
      <c r="D93" s="216">
        <f>+C93+B93</f>
        <v>10300</v>
      </c>
      <c r="H93" s="231"/>
      <c r="I93" s="231"/>
      <c r="J93" s="231"/>
      <c r="K93" s="231"/>
      <c r="L93" s="231"/>
      <c r="M93" s="231"/>
    </row>
    <row r="94" spans="1:14" ht="15" thickBot="1" x14ac:dyDescent="0.25">
      <c r="D94" s="211"/>
      <c r="M94" s="231"/>
    </row>
    <row r="95" spans="1:14" ht="15" thickBot="1" x14ac:dyDescent="0.25">
      <c r="A95" s="281" t="s">
        <v>238</v>
      </c>
      <c r="B95" s="283" t="s">
        <v>239</v>
      </c>
      <c r="C95" s="284"/>
      <c r="D95" s="217"/>
    </row>
    <row r="96" spans="1:14" ht="15" thickBot="1" x14ac:dyDescent="0.25">
      <c r="A96" s="282"/>
      <c r="B96" s="218" t="s">
        <v>240</v>
      </c>
      <c r="C96" s="218" t="s">
        <v>241</v>
      </c>
      <c r="D96" s="215" t="s">
        <v>39</v>
      </c>
    </row>
    <row r="97" spans="1:14" ht="15" thickBot="1" x14ac:dyDescent="0.25">
      <c r="A97" s="219" t="s">
        <v>212</v>
      </c>
      <c r="B97" s="256">
        <f>B92/$D$92*$B$85</f>
        <v>90</v>
      </c>
      <c r="C97" s="256">
        <f>C92/$D$92*$B$85</f>
        <v>10</v>
      </c>
      <c r="D97" s="242">
        <f>SUM(B97:C97)</f>
        <v>100</v>
      </c>
    </row>
    <row r="98" spans="1:14" ht="15" thickBot="1" x14ac:dyDescent="0.25">
      <c r="A98" s="219" t="s">
        <v>226</v>
      </c>
      <c r="B98" s="256">
        <f>B93/$D$93*$B$86</f>
        <v>300</v>
      </c>
      <c r="C98" s="256">
        <f>C93/$D$93*$B$86</f>
        <v>200</v>
      </c>
      <c r="D98" s="242">
        <f t="shared" ref="D98" si="46">SUM(B98:C98)</f>
        <v>500</v>
      </c>
    </row>
    <row r="99" spans="1:14" ht="15" thickBot="1" x14ac:dyDescent="0.25">
      <c r="A99" s="214" t="s">
        <v>221</v>
      </c>
      <c r="B99" s="256">
        <v>0</v>
      </c>
      <c r="C99" s="256">
        <v>0</v>
      </c>
      <c r="D99" s="242">
        <f>B87</f>
        <v>200</v>
      </c>
    </row>
    <row r="100" spans="1:14" ht="15" thickBot="1" x14ac:dyDescent="0.25">
      <c r="A100" s="255" t="s">
        <v>39</v>
      </c>
      <c r="B100" s="257">
        <f>SUM(B97:B99)</f>
        <v>390</v>
      </c>
      <c r="C100" s="257">
        <f>SUM(C97:C99)</f>
        <v>210</v>
      </c>
      <c r="D100" s="244">
        <f>SUM(D97:D99)</f>
        <v>800</v>
      </c>
      <c r="N100" s="231"/>
    </row>
    <row r="101" spans="1:14" x14ac:dyDescent="0.2">
      <c r="B101" s="188"/>
      <c r="C101" s="188"/>
      <c r="D101" s="188"/>
    </row>
    <row r="102" spans="1:14" x14ac:dyDescent="0.2">
      <c r="M102" s="231"/>
    </row>
  </sheetData>
  <mergeCells count="35">
    <mergeCell ref="D83:D84"/>
    <mergeCell ref="C83:C84"/>
    <mergeCell ref="A83:A84"/>
    <mergeCell ref="A1:A2"/>
    <mergeCell ref="D14:D15"/>
    <mergeCell ref="C14:C15"/>
    <mergeCell ref="A14:A15"/>
    <mergeCell ref="A25:A26"/>
    <mergeCell ref="B25:D25"/>
    <mergeCell ref="E25:E26"/>
    <mergeCell ref="E51:E52"/>
    <mergeCell ref="A33:A34"/>
    <mergeCell ref="B33:D33"/>
    <mergeCell ref="E33:E34"/>
    <mergeCell ref="D45:D46"/>
    <mergeCell ref="C45:C46"/>
    <mergeCell ref="A45:A46"/>
    <mergeCell ref="A51:A52"/>
    <mergeCell ref="B51:D51"/>
    <mergeCell ref="A95:A96"/>
    <mergeCell ref="B95:C95"/>
    <mergeCell ref="E56:E57"/>
    <mergeCell ref="E70:E71"/>
    <mergeCell ref="A75:A76"/>
    <mergeCell ref="B75:D75"/>
    <mergeCell ref="E75:E76"/>
    <mergeCell ref="A90:A91"/>
    <mergeCell ref="B90:C90"/>
    <mergeCell ref="D63:D64"/>
    <mergeCell ref="C63:C64"/>
    <mergeCell ref="A63:A64"/>
    <mergeCell ref="A56:A57"/>
    <mergeCell ref="B56:D56"/>
    <mergeCell ref="A70:A71"/>
    <mergeCell ref="B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acompanhamento</vt:lpstr>
      <vt:lpstr>FOTD</vt:lpstr>
      <vt:lpstr>Met Guaru</vt:lpstr>
      <vt:lpstr>Arnita</vt:lpstr>
      <vt:lpstr>Serviços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2016-08-04T20:49:46Z</dcterms:created>
  <dcterms:modified xsi:type="dcterms:W3CDTF">2017-09-16T01:56:56Z</dcterms:modified>
</cp:coreProperties>
</file>