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eugeniobitti/Dropbox/DISCIPLINAS GRADUAÇÃO FEARP/RCC0320 - Gestão Estratégica de Custos/"/>
    </mc:Choice>
  </mc:AlternateContent>
  <bookViews>
    <workbookView xWindow="640" yWindow="1180" windowWidth="28160" windowHeight="15380" tabRatio="500" activeTab="3"/>
  </bookViews>
  <sheets>
    <sheet name="abs1" sheetId="1" r:id="rId1"/>
    <sheet name="abs2" sheetId="2" r:id="rId2"/>
    <sheet name="depart1" sheetId="3" r:id="rId3"/>
    <sheet name="depart2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" i="4" l="1"/>
  <c r="G16" i="4"/>
  <c r="F39" i="4"/>
  <c r="G18" i="4"/>
  <c r="F21" i="4"/>
  <c r="F40" i="4"/>
  <c r="F41" i="4"/>
  <c r="G17" i="4"/>
  <c r="F20" i="4"/>
  <c r="F42" i="4"/>
  <c r="F43" i="4"/>
  <c r="F44" i="4"/>
  <c r="C35" i="4"/>
  <c r="D34" i="4"/>
  <c r="E45" i="4"/>
  <c r="E39" i="4"/>
  <c r="E21" i="4"/>
  <c r="E40" i="4"/>
  <c r="E41" i="4"/>
  <c r="E20" i="4"/>
  <c r="E42" i="4"/>
  <c r="E43" i="4"/>
  <c r="E44" i="4"/>
  <c r="E46" i="4"/>
  <c r="D47" i="4"/>
  <c r="C47" i="4"/>
  <c r="D32" i="4"/>
  <c r="C45" i="4"/>
  <c r="C39" i="4"/>
  <c r="C21" i="4"/>
  <c r="C40" i="4"/>
  <c r="C41" i="4"/>
  <c r="C20" i="4"/>
  <c r="C42" i="4"/>
  <c r="C43" i="4"/>
  <c r="C44" i="4"/>
  <c r="C46" i="4"/>
  <c r="C48" i="4"/>
  <c r="D24" i="4"/>
  <c r="C65" i="4"/>
  <c r="D33" i="4"/>
  <c r="D45" i="4"/>
  <c r="D39" i="4"/>
  <c r="D21" i="4"/>
  <c r="D40" i="4"/>
  <c r="D41" i="4"/>
  <c r="D20" i="4"/>
  <c r="D42" i="4"/>
  <c r="D43" i="4"/>
  <c r="D44" i="4"/>
  <c r="D46" i="4"/>
  <c r="D48" i="4"/>
  <c r="D65" i="4"/>
  <c r="G65" i="4"/>
  <c r="D70" i="4"/>
  <c r="D71" i="4"/>
  <c r="D72" i="4"/>
  <c r="C69" i="4"/>
  <c r="C24" i="4"/>
  <c r="C64" i="4"/>
  <c r="D64" i="4"/>
  <c r="G64" i="4"/>
  <c r="C70" i="4"/>
  <c r="C71" i="4"/>
  <c r="C72" i="4"/>
  <c r="E69" i="4"/>
  <c r="E70" i="4"/>
  <c r="E71" i="4"/>
  <c r="G66" i="4"/>
  <c r="D66" i="4"/>
  <c r="C66" i="4"/>
  <c r="D57" i="4"/>
  <c r="D23" i="4"/>
  <c r="C53" i="4"/>
  <c r="D53" i="4"/>
  <c r="G53" i="4"/>
  <c r="D58" i="4"/>
  <c r="D59" i="4"/>
  <c r="D60" i="4"/>
  <c r="C57" i="4"/>
  <c r="C23" i="4"/>
  <c r="C52" i="4"/>
  <c r="D52" i="4"/>
  <c r="G52" i="4"/>
  <c r="C58" i="4"/>
  <c r="C59" i="4"/>
  <c r="C60" i="4"/>
  <c r="E57" i="4"/>
  <c r="E58" i="4"/>
  <c r="E59" i="4"/>
  <c r="G54" i="4"/>
  <c r="D54" i="4"/>
  <c r="C54" i="4"/>
  <c r="E47" i="4"/>
  <c r="G47" i="4"/>
  <c r="F45" i="4"/>
  <c r="G45" i="4"/>
  <c r="G39" i="4"/>
  <c r="G40" i="4"/>
  <c r="G41" i="4"/>
  <c r="G42" i="4"/>
  <c r="G43" i="4"/>
  <c r="G44" i="4"/>
  <c r="G46" i="4"/>
  <c r="G48" i="4"/>
  <c r="F46" i="4"/>
  <c r="F48" i="4"/>
  <c r="E48" i="4"/>
  <c r="C13" i="4"/>
  <c r="C9" i="3"/>
  <c r="D4" i="3"/>
  <c r="D5" i="3"/>
  <c r="D6" i="3"/>
  <c r="D7" i="3"/>
  <c r="D8" i="3"/>
  <c r="D13" i="3"/>
  <c r="D14" i="3"/>
  <c r="D15" i="3"/>
  <c r="C22" i="3"/>
  <c r="D19" i="3"/>
  <c r="D20" i="3"/>
  <c r="D21" i="3"/>
  <c r="E28" i="3"/>
  <c r="E29" i="3"/>
  <c r="I33" i="3"/>
  <c r="I34" i="3"/>
  <c r="I35" i="3"/>
  <c r="I36" i="3"/>
  <c r="C37" i="3"/>
  <c r="D37" i="3"/>
  <c r="E37" i="3"/>
  <c r="F37" i="3"/>
  <c r="G37" i="3"/>
  <c r="H37" i="3"/>
  <c r="I37" i="3"/>
  <c r="C38" i="3"/>
  <c r="D38" i="3"/>
  <c r="E38" i="3"/>
  <c r="F38" i="3"/>
  <c r="G38" i="3"/>
  <c r="H38" i="3"/>
  <c r="I38" i="3"/>
  <c r="C39" i="3"/>
  <c r="D39" i="3"/>
  <c r="E39" i="3"/>
  <c r="F39" i="3"/>
  <c r="G39" i="3"/>
  <c r="H39" i="3"/>
  <c r="I39" i="3"/>
  <c r="C40" i="3"/>
  <c r="D40" i="3"/>
  <c r="E40" i="3"/>
  <c r="G40" i="3"/>
  <c r="I40" i="3"/>
  <c r="C41" i="3"/>
  <c r="D41" i="3"/>
  <c r="E41" i="3"/>
  <c r="F41" i="3"/>
  <c r="G41" i="3"/>
  <c r="H41" i="3"/>
  <c r="I41" i="3"/>
  <c r="C42" i="3"/>
  <c r="D42" i="3"/>
  <c r="E42" i="3"/>
  <c r="F42" i="3"/>
  <c r="I42" i="3"/>
  <c r="C43" i="3"/>
  <c r="D43" i="3"/>
  <c r="E43" i="3"/>
  <c r="F43" i="3"/>
  <c r="G43" i="3"/>
  <c r="H43" i="3"/>
  <c r="I43" i="3"/>
  <c r="C44" i="3"/>
  <c r="D44" i="3"/>
  <c r="E44" i="3"/>
  <c r="I44" i="3"/>
  <c r="C45" i="3"/>
  <c r="D45" i="3"/>
  <c r="I45" i="3"/>
  <c r="C46" i="3"/>
  <c r="D46" i="3"/>
  <c r="E46" i="3"/>
  <c r="I46" i="3"/>
  <c r="E50" i="3"/>
  <c r="E51" i="3"/>
  <c r="C52" i="3"/>
  <c r="D52" i="3"/>
  <c r="E52" i="3"/>
  <c r="C53" i="3"/>
  <c r="D53" i="3"/>
  <c r="E53" i="3"/>
  <c r="C54" i="3"/>
  <c r="D54" i="3"/>
  <c r="C26" i="2"/>
  <c r="D26" i="2"/>
  <c r="C27" i="2"/>
  <c r="D27" i="2"/>
  <c r="C28" i="2"/>
  <c r="D28" i="2"/>
  <c r="C29" i="2"/>
  <c r="D29" i="2"/>
  <c r="C30" i="2"/>
  <c r="D30" i="2"/>
  <c r="C34" i="2"/>
  <c r="D34" i="2"/>
  <c r="C35" i="2"/>
  <c r="D35" i="2"/>
  <c r="C36" i="2"/>
  <c r="D36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E54" i="2"/>
  <c r="E55" i="2"/>
  <c r="E56" i="2"/>
  <c r="C58" i="2"/>
  <c r="D58" i="2"/>
  <c r="E58" i="2"/>
  <c r="F81" i="1"/>
  <c r="C35" i="1"/>
  <c r="D35" i="1"/>
  <c r="E35" i="1"/>
  <c r="F35" i="1"/>
  <c r="C50" i="1"/>
  <c r="C51" i="1"/>
  <c r="F30" i="1"/>
  <c r="C52" i="1"/>
  <c r="C37" i="1"/>
  <c r="D37" i="1"/>
  <c r="E37" i="1"/>
  <c r="F37" i="1"/>
  <c r="C53" i="1"/>
  <c r="C54" i="1"/>
  <c r="C55" i="1"/>
  <c r="C56" i="1"/>
  <c r="C57" i="1"/>
  <c r="C46" i="1"/>
  <c r="C47" i="1"/>
  <c r="C48" i="1"/>
  <c r="C49" i="1"/>
  <c r="C58" i="1"/>
  <c r="C59" i="1"/>
  <c r="C62" i="1"/>
  <c r="C68" i="1"/>
  <c r="D50" i="1"/>
  <c r="D51" i="1"/>
  <c r="D52" i="1"/>
  <c r="D53" i="1"/>
  <c r="D54" i="1"/>
  <c r="D55" i="1"/>
  <c r="D56" i="1"/>
  <c r="D57" i="1"/>
  <c r="D46" i="1"/>
  <c r="D47" i="1"/>
  <c r="D48" i="1"/>
  <c r="D49" i="1"/>
  <c r="D58" i="1"/>
  <c r="D59" i="1"/>
  <c r="D62" i="1"/>
  <c r="D68" i="1"/>
  <c r="E50" i="1"/>
  <c r="E51" i="1"/>
  <c r="E52" i="1"/>
  <c r="E53" i="1"/>
  <c r="E54" i="1"/>
  <c r="E55" i="1"/>
  <c r="E56" i="1"/>
  <c r="E57" i="1"/>
  <c r="E46" i="1"/>
  <c r="E47" i="1"/>
  <c r="E48" i="1"/>
  <c r="E49" i="1"/>
  <c r="E58" i="1"/>
  <c r="E59" i="1"/>
  <c r="E62" i="1"/>
  <c r="E68" i="1"/>
  <c r="F68" i="1"/>
  <c r="C67" i="1"/>
  <c r="D67" i="1"/>
  <c r="E67" i="1"/>
  <c r="F67" i="1"/>
  <c r="F69" i="1"/>
  <c r="F71" i="1"/>
  <c r="F72" i="1"/>
  <c r="F73" i="1"/>
  <c r="F74" i="1"/>
  <c r="F75" i="1"/>
  <c r="F82" i="1"/>
  <c r="F87" i="1"/>
  <c r="F76" i="1"/>
  <c r="F88" i="1"/>
  <c r="F91" i="1"/>
  <c r="D81" i="1"/>
  <c r="D82" i="1"/>
  <c r="D83" i="1"/>
  <c r="C63" i="1"/>
  <c r="D63" i="1"/>
  <c r="E63" i="1"/>
  <c r="F63" i="1"/>
  <c r="D84" i="1"/>
  <c r="D85" i="1"/>
  <c r="D87" i="1"/>
  <c r="D88" i="1"/>
  <c r="D89" i="1"/>
  <c r="D90" i="1"/>
  <c r="D91" i="1"/>
  <c r="E69" i="1"/>
  <c r="D69" i="1"/>
  <c r="C69" i="1"/>
  <c r="F62" i="1"/>
</calcChain>
</file>

<file path=xl/sharedStrings.xml><?xml version="1.0" encoding="utf-8"?>
<sst xmlns="http://schemas.openxmlformats.org/spreadsheetml/2006/main" count="283" uniqueCount="183">
  <si>
    <t xml:space="preserve">Caixa </t>
  </si>
  <si>
    <t xml:space="preserve">Bancos </t>
  </si>
  <si>
    <t xml:space="preserve">Clientes </t>
  </si>
  <si>
    <t xml:space="preserve">Estoque de matéria-prima </t>
  </si>
  <si>
    <t xml:space="preserve">Equipamentos de produção </t>
  </si>
  <si>
    <t xml:space="preserve">Depreciação acumulada de equipamentos </t>
  </si>
  <si>
    <t xml:space="preserve">Veículos </t>
  </si>
  <si>
    <t xml:space="preserve">Depreciação acumulada de veículos </t>
  </si>
  <si>
    <t xml:space="preserve">Empréstimos de curto prazo obtidos com encargos prefixados </t>
  </si>
  <si>
    <t xml:space="preserve">Capital Social </t>
  </si>
  <si>
    <t xml:space="preserve">Consumo de matéria-prima </t>
  </si>
  <si>
    <t xml:space="preserve">Mão-de-obra direta (inclui encargos sociais) no período (custo fixo) </t>
  </si>
  <si>
    <t xml:space="preserve">Energia elétrica consumida na produção </t>
  </si>
  <si>
    <t xml:space="preserve">Supervisão geral da fábrica </t>
  </si>
  <si>
    <t xml:space="preserve">Aluguel da fábrica </t>
  </si>
  <si>
    <t xml:space="preserve">Consumo de lubrificantes nos equipamentos de produção (custo fixo) </t>
  </si>
  <si>
    <t xml:space="preserve">Manutenção preventiva de máquinas comuns de produção (custo fixo) </t>
  </si>
  <si>
    <t xml:space="preserve">Supervisão do almoxarifado de matéria-prima </t>
  </si>
  <si>
    <t xml:space="preserve">Depreciação de equipamentos de produção </t>
  </si>
  <si>
    <t>Seguro dos equipamentos de fábrica</t>
  </si>
  <si>
    <t xml:space="preserve">Despesas comerciais no período (fixas) </t>
  </si>
  <si>
    <t xml:space="preserve">Despesas administrativas no período (fixas) </t>
  </si>
  <si>
    <t xml:space="preserve">Despesas financeiras no período (fixas) </t>
  </si>
  <si>
    <t xml:space="preserve">Vendas de produtos acabados (PAC) </t>
  </si>
  <si>
    <t>X</t>
  </si>
  <si>
    <t>Y</t>
  </si>
  <si>
    <t>Z</t>
  </si>
  <si>
    <t>TOTAL</t>
  </si>
  <si>
    <t>Preço médio de venda/un.</t>
  </si>
  <si>
    <t>Volume de produção (em unidades)</t>
  </si>
  <si>
    <t>Volume de vendas (em unidades)</t>
  </si>
  <si>
    <t>Tempo de MOD (HH)</t>
  </si>
  <si>
    <t>Tempo de máquina (HM)</t>
  </si>
  <si>
    <t>TOTAL MOD</t>
  </si>
  <si>
    <t>TOTAL MAQUINAS</t>
  </si>
  <si>
    <t>MP</t>
  </si>
  <si>
    <t>MOD</t>
  </si>
  <si>
    <t>EE</t>
  </si>
  <si>
    <t>e)</t>
  </si>
  <si>
    <t>Total CD</t>
  </si>
  <si>
    <t>f)</t>
  </si>
  <si>
    <t>Supervisão fábrica</t>
  </si>
  <si>
    <t>Supervisão almoxarifado</t>
  </si>
  <si>
    <t>Consumo de lubrificantes</t>
  </si>
  <si>
    <t>Manutencao preventiva</t>
  </si>
  <si>
    <t>Depreciacao equipamentos</t>
  </si>
  <si>
    <t>Seguro fábrica</t>
  </si>
  <si>
    <t>Total CIP</t>
  </si>
  <si>
    <t>a)</t>
  </si>
  <si>
    <t>CUSTO TOTAL</t>
  </si>
  <si>
    <t>b)</t>
  </si>
  <si>
    <t>CUSTO UNITÁRIO</t>
  </si>
  <si>
    <t>c)</t>
  </si>
  <si>
    <t>CPV</t>
  </si>
  <si>
    <t>d)</t>
  </si>
  <si>
    <t>ESTOQUE PRODUTOS ACABADOS</t>
  </si>
  <si>
    <t>Receita Bruta</t>
  </si>
  <si>
    <t>(-) CPV</t>
  </si>
  <si>
    <t>Lucro Bruto</t>
  </si>
  <si>
    <t>(-) Despesas</t>
  </si>
  <si>
    <t>Comericias</t>
  </si>
  <si>
    <t>Administrativas Gerais</t>
  </si>
  <si>
    <t>Financeiras</t>
  </si>
  <si>
    <t>LAIR</t>
  </si>
  <si>
    <t>(-) IR a Pagar</t>
  </si>
  <si>
    <t>Lucro Líquido</t>
  </si>
  <si>
    <t>Ativo</t>
  </si>
  <si>
    <t>Passivo</t>
  </si>
  <si>
    <t>Circulante</t>
  </si>
  <si>
    <t>Caixa</t>
  </si>
  <si>
    <t>Empréstimos</t>
  </si>
  <si>
    <t>Bancos</t>
  </si>
  <si>
    <t>IR a Pagar</t>
  </si>
  <si>
    <t>Clientes</t>
  </si>
  <si>
    <t>Estoque Produto Acabado</t>
  </si>
  <si>
    <t>Estoque Matéria Prima</t>
  </si>
  <si>
    <t>Permanente</t>
  </si>
  <si>
    <t>PL</t>
  </si>
  <si>
    <t>Equipamentos</t>
  </si>
  <si>
    <t>Capital</t>
  </si>
  <si>
    <t>(-) Depreciação Acumulada</t>
  </si>
  <si>
    <t>LPA</t>
  </si>
  <si>
    <t>Veículos</t>
  </si>
  <si>
    <t>Total Ativo</t>
  </si>
  <si>
    <t>EPAC</t>
  </si>
  <si>
    <t>Lucro Operacional</t>
  </si>
  <si>
    <t>(-) Despesas Administrativas</t>
  </si>
  <si>
    <t>(-) Despesas Comerciais</t>
  </si>
  <si>
    <t>(-) Comissões</t>
  </si>
  <si>
    <t>Receita Líquida</t>
  </si>
  <si>
    <t>(-) Tributos</t>
  </si>
  <si>
    <t>Total</t>
  </si>
  <si>
    <t>Shorts</t>
  </si>
  <si>
    <t>Blusas</t>
  </si>
  <si>
    <t>Custo Unitário</t>
  </si>
  <si>
    <t>Custo Total</t>
  </si>
  <si>
    <t>CIP Total</t>
  </si>
  <si>
    <t>Depreciação</t>
  </si>
  <si>
    <t>Supervisão</t>
  </si>
  <si>
    <t>Aluguel</t>
  </si>
  <si>
    <t>CIP</t>
  </si>
  <si>
    <t>CD Total</t>
  </si>
  <si>
    <t>CD</t>
  </si>
  <si>
    <t>Hmaq</t>
  </si>
  <si>
    <t>MOD Total</t>
  </si>
  <si>
    <t>Área</t>
  </si>
  <si>
    <t>Proporcionais</t>
  </si>
  <si>
    <t xml:space="preserve">Despesas administrativas gerais da empresa </t>
  </si>
  <si>
    <t xml:space="preserve">Despesas com publicidade e propaganda </t>
  </si>
  <si>
    <t xml:space="preserve">Depreciação das maquinas de produção </t>
  </si>
  <si>
    <t xml:space="preserve">Energia elétrica na produção (demanda) </t>
  </si>
  <si>
    <t xml:space="preserve">Supervisão geral da produção </t>
  </si>
  <si>
    <t xml:space="preserve">Aluguel do galpão industrial </t>
  </si>
  <si>
    <t xml:space="preserve">Comissões sobre a receita liquida </t>
  </si>
  <si>
    <t xml:space="preserve">Tributos sobre a receita bruta </t>
  </si>
  <si>
    <t xml:space="preserve">Mão-de-obra direta (MOD): salário dos operários </t>
  </si>
  <si>
    <t xml:space="preserve">Matéria-prima </t>
  </si>
  <si>
    <t>Hmaq (h)</t>
  </si>
  <si>
    <t>EE (kwh)</t>
  </si>
  <si>
    <t>Área (m2)</t>
  </si>
  <si>
    <t>MOD (h)</t>
  </si>
  <si>
    <t>MP (m)</t>
  </si>
  <si>
    <t>Vendas</t>
  </si>
  <si>
    <t>Producao</t>
  </si>
  <si>
    <t>PV</t>
  </si>
  <si>
    <t>Mão-de-Obra</t>
  </si>
  <si>
    <t>Material</t>
  </si>
  <si>
    <t>Custos Diretos</t>
  </si>
  <si>
    <t>Trancas</t>
  </si>
  <si>
    <t>Maçanetas</t>
  </si>
  <si>
    <t>Soma</t>
  </si>
  <si>
    <t>Rateio Almoxarifado</t>
  </si>
  <si>
    <t>Rateio Manutenção</t>
  </si>
  <si>
    <t>Rateio Adm. Geral</t>
  </si>
  <si>
    <t>MOI</t>
  </si>
  <si>
    <t>Energia Elétrica</t>
  </si>
  <si>
    <t>Mat. Indireto</t>
  </si>
  <si>
    <t>Adm. Geral Produção</t>
  </si>
  <si>
    <t>Manutenção</t>
  </si>
  <si>
    <t>Almoxarifado</t>
  </si>
  <si>
    <t>Montagem</t>
  </si>
  <si>
    <t>Furação</t>
  </si>
  <si>
    <t>Estamparia</t>
  </si>
  <si>
    <t>Custos Indiretos</t>
  </si>
  <si>
    <t>Volume</t>
  </si>
  <si>
    <t xml:space="preserve">Total </t>
  </si>
  <si>
    <t xml:space="preserve">Furação </t>
  </si>
  <si>
    <t xml:space="preserve">Montagem </t>
  </si>
  <si>
    <t xml:space="preserve">Estamparia </t>
  </si>
  <si>
    <t>Proporção</t>
  </si>
  <si>
    <t>Num. Requisições</t>
  </si>
  <si>
    <t>Deptos</t>
  </si>
  <si>
    <t>Nº de Funcionários</t>
  </si>
  <si>
    <t>Departamentos</t>
  </si>
  <si>
    <t>Prato</t>
  </si>
  <si>
    <t>Mozzarela</t>
  </si>
  <si>
    <t xml:space="preserve"> Aluguel </t>
  </si>
  <si>
    <t xml:space="preserve"> Material </t>
  </si>
  <si>
    <t xml:space="preserve"> Depreciação </t>
  </si>
  <si>
    <t xml:space="preserve"> Energia elétrica </t>
  </si>
  <si>
    <t xml:space="preserve"> Outros </t>
  </si>
  <si>
    <t xml:space="preserve"> Pasteurização </t>
  </si>
  <si>
    <t xml:space="preserve"> Embalagem  </t>
  </si>
  <si>
    <t xml:space="preserve"> Manutenção </t>
  </si>
  <si>
    <t xml:space="preserve"> Adm. Produção </t>
  </si>
  <si>
    <t>Energia Elétrica (kwh)</t>
  </si>
  <si>
    <t>Horas de MO</t>
  </si>
  <si>
    <t>Energia Elétrica - Proporção</t>
  </si>
  <si>
    <t>Horas de MO - Proporção</t>
  </si>
  <si>
    <t>Volume - Proporção</t>
  </si>
  <si>
    <t>CD - Proporção</t>
  </si>
  <si>
    <t>Nº de funcionários</t>
  </si>
  <si>
    <t xml:space="preserve"> Embalagem </t>
  </si>
  <si>
    <t>Custos</t>
  </si>
  <si>
    <t>Pasteurização</t>
  </si>
  <si>
    <t>Embalagem</t>
  </si>
  <si>
    <t>Adm. Produção</t>
  </si>
  <si>
    <t>Rateio da Adm. Produção</t>
  </si>
  <si>
    <t xml:space="preserve">Soma </t>
  </si>
  <si>
    <t>Rateio da Manutenção</t>
  </si>
  <si>
    <t>Rateio com Base em Volume</t>
  </si>
  <si>
    <t xml:space="preserve">TOTAL </t>
  </si>
  <si>
    <t>Rateio com Base em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</si>
</sst>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3" fontId="0" fillId="0" borderId="1" xfId="1" applyFont="1" applyBorder="1"/>
    <xf numFmtId="43" fontId="0" fillId="0" borderId="0" xfId="1" applyFont="1"/>
    <xf numFmtId="43" fontId="0" fillId="2" borderId="1" xfId="1" applyFont="1" applyFill="1" applyBorder="1"/>
    <xf numFmtId="43" fontId="0" fillId="3" borderId="1" xfId="1" applyFont="1" applyFill="1" applyBorder="1"/>
    <xf numFmtId="43" fontId="2" fillId="0" borderId="1" xfId="1" applyFont="1" applyBorder="1" applyAlignment="1">
      <alignment horizontal="center"/>
    </xf>
    <xf numFmtId="164" fontId="0" fillId="0" borderId="1" xfId="1" applyNumberFormat="1" applyFont="1" applyBorder="1"/>
    <xf numFmtId="43" fontId="2" fillId="0" borderId="2" xfId="1" applyFont="1" applyBorder="1" applyAlignment="1">
      <alignment horizontal="center"/>
    </xf>
    <xf numFmtId="43" fontId="3" fillId="0" borderId="1" xfId="1" applyFont="1" applyBorder="1"/>
    <xf numFmtId="43" fontId="2" fillId="0" borderId="1" xfId="1" applyFont="1" applyBorder="1"/>
    <xf numFmtId="43" fontId="0" fillId="0" borderId="3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0" xfId="1" applyFont="1" applyBorder="1"/>
    <xf numFmtId="43" fontId="0" fillId="0" borderId="7" xfId="1" applyFont="1" applyBorder="1"/>
    <xf numFmtId="43" fontId="0" fillId="0" borderId="6" xfId="1" applyFont="1" applyBorder="1" applyAlignment="1">
      <alignment horizontal="left" indent="2"/>
    </xf>
    <xf numFmtId="43" fontId="0" fillId="0" borderId="8" xfId="1" applyFont="1" applyBorder="1"/>
    <xf numFmtId="43" fontId="0" fillId="0" borderId="9" xfId="1" applyFont="1" applyBorder="1"/>
    <xf numFmtId="43" fontId="0" fillId="0" borderId="10" xfId="1" applyFont="1" applyBorder="1"/>
    <xf numFmtId="43" fontId="0" fillId="0" borderId="11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0" borderId="1" xfId="1" applyFont="1" applyBorder="1" applyAlignment="1">
      <alignment horizontal="left" indent="2"/>
    </xf>
    <xf numFmtId="43" fontId="1" fillId="0" borderId="0" xfId="1" applyFont="1"/>
    <xf numFmtId="43" fontId="1" fillId="0" borderId="1" xfId="1" applyFont="1" applyBorder="1"/>
    <xf numFmtId="43" fontId="1" fillId="0" borderId="1" xfId="1" applyFont="1" applyBorder="1" applyAlignment="1"/>
    <xf numFmtId="43" fontId="1" fillId="0" borderId="1" xfId="1" applyFont="1" applyFill="1" applyBorder="1"/>
    <xf numFmtId="43" fontId="1" fillId="4" borderId="1" xfId="1" applyFont="1" applyFill="1" applyBorder="1"/>
    <xf numFmtId="43" fontId="0" fillId="4" borderId="0" xfId="1" applyFont="1" applyFill="1"/>
    <xf numFmtId="43" fontId="1" fillId="5" borderId="1" xfId="1" applyFont="1" applyFill="1" applyBorder="1"/>
    <xf numFmtId="43" fontId="0" fillId="5" borderId="0" xfId="1" applyFont="1" applyFill="1"/>
    <xf numFmtId="164" fontId="1" fillId="0" borderId="1" xfId="1" applyNumberFormat="1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3" fillId="0" borderId="1" xfId="1" applyNumberFormat="1" applyFont="1" applyBorder="1"/>
    <xf numFmtId="43" fontId="2" fillId="0" borderId="11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1" fillId="0" borderId="0" xfId="1" applyFont="1" applyBorder="1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/>
    <xf numFmtId="43" fontId="2" fillId="0" borderId="13" xfId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1"/>
  <sheetViews>
    <sheetView showGridLines="0" zoomScale="125" zoomScaleNormal="125" zoomScalePageLayoutView="125" workbookViewId="0">
      <selection activeCell="B13" sqref="B13"/>
    </sheetView>
  </sheetViews>
  <sheetFormatPr baseColWidth="10" defaultRowHeight="16" x14ac:dyDescent="0.2"/>
  <cols>
    <col min="1" max="1" width="10.83203125" style="2"/>
    <col min="2" max="2" width="60.33203125" style="2" bestFit="1" customWidth="1"/>
    <col min="3" max="3" width="28.33203125" style="2" bestFit="1" customWidth="1"/>
    <col min="4" max="4" width="14.1640625" style="2" bestFit="1" customWidth="1"/>
    <col min="5" max="5" width="13.1640625" style="2" bestFit="1" customWidth="1"/>
    <col min="6" max="6" width="14.1640625" style="2" bestFit="1" customWidth="1"/>
    <col min="7" max="7" width="31.5" style="2" bestFit="1" customWidth="1"/>
    <col min="8" max="16384" width="10.83203125" style="2"/>
  </cols>
  <sheetData>
    <row r="3" spans="2:3" x14ac:dyDescent="0.2">
      <c r="B3" s="1" t="s">
        <v>0</v>
      </c>
      <c r="C3" s="1">
        <v>460</v>
      </c>
    </row>
    <row r="4" spans="2:3" x14ac:dyDescent="0.2">
      <c r="B4" s="1" t="s">
        <v>1</v>
      </c>
      <c r="C4" s="1">
        <v>1000</v>
      </c>
    </row>
    <row r="5" spans="2:3" x14ac:dyDescent="0.2">
      <c r="B5" s="1" t="s">
        <v>2</v>
      </c>
      <c r="C5" s="1">
        <v>6060</v>
      </c>
    </row>
    <row r="6" spans="2:3" x14ac:dyDescent="0.2">
      <c r="B6" s="1" t="s">
        <v>3</v>
      </c>
      <c r="C6" s="1">
        <v>5000</v>
      </c>
    </row>
    <row r="7" spans="2:3" x14ac:dyDescent="0.2">
      <c r="B7" s="1" t="s">
        <v>4</v>
      </c>
      <c r="C7" s="1">
        <v>2000</v>
      </c>
    </row>
    <row r="8" spans="2:3" x14ac:dyDescent="0.2">
      <c r="B8" s="1" t="s">
        <v>5</v>
      </c>
      <c r="C8" s="1">
        <v>300</v>
      </c>
    </row>
    <row r="9" spans="2:3" x14ac:dyDescent="0.2">
      <c r="B9" s="1" t="s">
        <v>6</v>
      </c>
      <c r="C9" s="1">
        <v>1000</v>
      </c>
    </row>
    <row r="10" spans="2:3" x14ac:dyDescent="0.2">
      <c r="B10" s="1" t="s">
        <v>7</v>
      </c>
      <c r="C10" s="1">
        <v>100</v>
      </c>
    </row>
    <row r="11" spans="2:3" x14ac:dyDescent="0.2">
      <c r="B11" s="1" t="s">
        <v>8</v>
      </c>
      <c r="C11" s="1">
        <v>3520</v>
      </c>
    </row>
    <row r="12" spans="2:3" x14ac:dyDescent="0.2">
      <c r="B12" s="1" t="s">
        <v>9</v>
      </c>
      <c r="C12" s="1">
        <v>15000</v>
      </c>
    </row>
    <row r="13" spans="2:3" x14ac:dyDescent="0.2">
      <c r="B13" s="3" t="s">
        <v>10</v>
      </c>
      <c r="C13" s="3">
        <v>7000</v>
      </c>
    </row>
    <row r="14" spans="2:3" x14ac:dyDescent="0.2">
      <c r="B14" s="3" t="s">
        <v>11</v>
      </c>
      <c r="C14" s="3">
        <v>6000</v>
      </c>
    </row>
    <row r="15" spans="2:3" x14ac:dyDescent="0.2">
      <c r="B15" s="3" t="s">
        <v>12</v>
      </c>
      <c r="C15" s="3">
        <v>790</v>
      </c>
    </row>
    <row r="16" spans="2:3" x14ac:dyDescent="0.2">
      <c r="B16" s="4" t="s">
        <v>13</v>
      </c>
      <c r="C16" s="4">
        <v>2880</v>
      </c>
    </row>
    <row r="17" spans="2:6" x14ac:dyDescent="0.2">
      <c r="B17" s="4" t="s">
        <v>14</v>
      </c>
      <c r="C17" s="4">
        <v>600</v>
      </c>
    </row>
    <row r="18" spans="2:6" x14ac:dyDescent="0.2">
      <c r="B18" s="4" t="s">
        <v>15</v>
      </c>
      <c r="C18" s="4">
        <v>350</v>
      </c>
    </row>
    <row r="19" spans="2:6" x14ac:dyDescent="0.2">
      <c r="B19" s="4" t="s">
        <v>16</v>
      </c>
      <c r="C19" s="4">
        <v>500</v>
      </c>
    </row>
    <row r="20" spans="2:6" x14ac:dyDescent="0.2">
      <c r="B20" s="4" t="s">
        <v>17</v>
      </c>
      <c r="C20" s="4">
        <v>1440</v>
      </c>
    </row>
    <row r="21" spans="2:6" x14ac:dyDescent="0.2">
      <c r="B21" s="4" t="s">
        <v>18</v>
      </c>
      <c r="C21" s="4">
        <v>300</v>
      </c>
    </row>
    <row r="22" spans="2:6" x14ac:dyDescent="0.2">
      <c r="B22" s="4" t="s">
        <v>19</v>
      </c>
      <c r="C22" s="4">
        <v>340</v>
      </c>
    </row>
    <row r="23" spans="2:6" x14ac:dyDescent="0.2">
      <c r="B23" s="1" t="s">
        <v>20</v>
      </c>
      <c r="C23" s="1">
        <v>5060</v>
      </c>
    </row>
    <row r="24" spans="2:6" x14ac:dyDescent="0.2">
      <c r="B24" s="1" t="s">
        <v>21</v>
      </c>
      <c r="C24" s="1">
        <v>3040</v>
      </c>
    </row>
    <row r="25" spans="2:6" x14ac:dyDescent="0.2">
      <c r="B25" s="1" t="s">
        <v>22</v>
      </c>
      <c r="C25" s="1">
        <v>200</v>
      </c>
    </row>
    <row r="26" spans="2:6" x14ac:dyDescent="0.2">
      <c r="B26" s="1" t="s">
        <v>23</v>
      </c>
      <c r="C26" s="1">
        <v>25100</v>
      </c>
    </row>
    <row r="28" spans="2:6" x14ac:dyDescent="0.2">
      <c r="C28" s="5" t="s">
        <v>24</v>
      </c>
      <c r="D28" s="5" t="s">
        <v>25</v>
      </c>
      <c r="E28" s="5" t="s">
        <v>26</v>
      </c>
      <c r="F28" s="5" t="s">
        <v>27</v>
      </c>
    </row>
    <row r="29" spans="2:6" x14ac:dyDescent="0.2">
      <c r="B29" s="1" t="s">
        <v>28</v>
      </c>
      <c r="C29" s="1">
        <v>270</v>
      </c>
      <c r="D29" s="1">
        <v>350</v>
      </c>
      <c r="E29" s="1">
        <v>500</v>
      </c>
    </row>
    <row r="30" spans="2:6" x14ac:dyDescent="0.2">
      <c r="B30" s="1" t="s">
        <v>29</v>
      </c>
      <c r="C30" s="6">
        <v>50000</v>
      </c>
      <c r="D30" s="6">
        <v>30000</v>
      </c>
      <c r="E30" s="6">
        <v>20000</v>
      </c>
      <c r="F30" s="6">
        <f>SUM(C30:E30)</f>
        <v>100000</v>
      </c>
    </row>
    <row r="31" spans="2:6" x14ac:dyDescent="0.2">
      <c r="B31" s="1" t="s">
        <v>30</v>
      </c>
      <c r="C31" s="6">
        <v>40000</v>
      </c>
      <c r="D31" s="6">
        <v>18000</v>
      </c>
      <c r="E31" s="6">
        <v>16000</v>
      </c>
    </row>
    <row r="32" spans="2:6" x14ac:dyDescent="0.2">
      <c r="B32" s="1" t="s">
        <v>31</v>
      </c>
      <c r="C32" s="1">
        <v>1</v>
      </c>
      <c r="D32" s="1">
        <v>2</v>
      </c>
      <c r="E32" s="1">
        <v>2.5</v>
      </c>
    </row>
    <row r="33" spans="2:6" x14ac:dyDescent="0.2">
      <c r="B33" s="1" t="s">
        <v>32</v>
      </c>
      <c r="C33" s="1">
        <v>0.6</v>
      </c>
      <c r="D33" s="1">
        <v>1.5</v>
      </c>
      <c r="E33" s="1">
        <v>3.75</v>
      </c>
    </row>
    <row r="35" spans="2:6" x14ac:dyDescent="0.2">
      <c r="B35" s="1" t="s">
        <v>33</v>
      </c>
      <c r="C35" s="6">
        <f>C32*C30</f>
        <v>50000</v>
      </c>
      <c r="D35" s="6">
        <f>D32*D30</f>
        <v>60000</v>
      </c>
      <c r="E35" s="6">
        <f>E32*E30</f>
        <v>50000</v>
      </c>
      <c r="F35" s="6">
        <f>SUM(C35:E35)</f>
        <v>160000</v>
      </c>
    </row>
    <row r="37" spans="2:6" x14ac:dyDescent="0.2">
      <c r="B37" s="1" t="s">
        <v>34</v>
      </c>
      <c r="C37" s="6">
        <f>C33*C30</f>
        <v>30000</v>
      </c>
      <c r="D37" s="6">
        <f t="shared" ref="D37:E37" si="0">D33*D30</f>
        <v>45000</v>
      </c>
      <c r="E37" s="6">
        <f t="shared" si="0"/>
        <v>75000</v>
      </c>
      <c r="F37" s="6">
        <f>SUM(C37:E37)</f>
        <v>150000</v>
      </c>
    </row>
    <row r="45" spans="2:6" x14ac:dyDescent="0.2">
      <c r="C45" s="7" t="s">
        <v>24</v>
      </c>
      <c r="D45" s="7" t="s">
        <v>25</v>
      </c>
      <c r="E45" s="7" t="s">
        <v>26</v>
      </c>
    </row>
    <row r="46" spans="2:6" x14ac:dyDescent="0.2">
      <c r="B46" s="3" t="s">
        <v>35</v>
      </c>
      <c r="C46" s="3">
        <f>C13/F30*C30</f>
        <v>3500.0000000000005</v>
      </c>
      <c r="D46" s="3">
        <f>C13/F30*D30</f>
        <v>2100</v>
      </c>
      <c r="E46" s="3">
        <f>C13/F30*E30</f>
        <v>1400.0000000000002</v>
      </c>
    </row>
    <row r="47" spans="2:6" x14ac:dyDescent="0.2">
      <c r="B47" s="3" t="s">
        <v>36</v>
      </c>
      <c r="C47" s="3">
        <f>C14/F35*C35</f>
        <v>1875</v>
      </c>
      <c r="D47" s="3">
        <f>C14/F35*D35</f>
        <v>2250</v>
      </c>
      <c r="E47" s="3">
        <f>C14/F35*E35</f>
        <v>1875</v>
      </c>
    </row>
    <row r="48" spans="2:6" x14ac:dyDescent="0.2">
      <c r="B48" s="3" t="s">
        <v>37</v>
      </c>
      <c r="C48" s="3">
        <f>C15/F37*C37</f>
        <v>158</v>
      </c>
      <c r="D48" s="3">
        <f>C15/F37*D37</f>
        <v>237</v>
      </c>
      <c r="E48" s="3">
        <f>C15/F37*E37</f>
        <v>395</v>
      </c>
    </row>
    <row r="49" spans="1:6" x14ac:dyDescent="0.2">
      <c r="A49" s="2" t="s">
        <v>38</v>
      </c>
      <c r="B49" s="8" t="s">
        <v>39</v>
      </c>
      <c r="C49" s="8">
        <f>SUM(C46:C48)</f>
        <v>5533</v>
      </c>
      <c r="D49" s="8">
        <f t="shared" ref="D49:E49" si="1">SUM(D46:D48)</f>
        <v>4587</v>
      </c>
      <c r="E49" s="8">
        <f t="shared" si="1"/>
        <v>3670</v>
      </c>
    </row>
    <row r="50" spans="1:6" x14ac:dyDescent="0.2">
      <c r="A50" s="2" t="s">
        <v>40</v>
      </c>
      <c r="B50" s="4" t="s">
        <v>41</v>
      </c>
      <c r="C50" s="4">
        <f>C16/F35*C35</f>
        <v>899.99999999999989</v>
      </c>
      <c r="D50" s="4">
        <f>C16/F35*D35</f>
        <v>1080</v>
      </c>
      <c r="E50" s="4">
        <f>C16/F35*E35</f>
        <v>899.99999999999989</v>
      </c>
    </row>
    <row r="51" spans="1:6" x14ac:dyDescent="0.2">
      <c r="B51" s="4" t="s">
        <v>14</v>
      </c>
      <c r="C51" s="4">
        <f>C17/F35*C35</f>
        <v>187.5</v>
      </c>
      <c r="D51" s="4">
        <f>C17/F35*D35</f>
        <v>225</v>
      </c>
      <c r="E51" s="4">
        <f>C17/F35*E35</f>
        <v>187.5</v>
      </c>
    </row>
    <row r="52" spans="1:6" x14ac:dyDescent="0.2">
      <c r="B52" s="4" t="s">
        <v>42</v>
      </c>
      <c r="C52" s="4">
        <f>C20/F30*C30</f>
        <v>720</v>
      </c>
      <c r="D52" s="4">
        <f>C20/F30*D30</f>
        <v>432</v>
      </c>
      <c r="E52" s="4">
        <f>C20/F30*E30</f>
        <v>288</v>
      </c>
    </row>
    <row r="53" spans="1:6" x14ac:dyDescent="0.2">
      <c r="B53" s="4" t="s">
        <v>43</v>
      </c>
      <c r="C53" s="4">
        <f>C18/F37*C37</f>
        <v>70</v>
      </c>
      <c r="D53" s="4">
        <f>C18/F37*D37</f>
        <v>105.00000000000001</v>
      </c>
      <c r="E53" s="4">
        <f>C18/F37*E37</f>
        <v>175.00000000000003</v>
      </c>
    </row>
    <row r="54" spans="1:6" x14ac:dyDescent="0.2">
      <c r="B54" s="4" t="s">
        <v>44</v>
      </c>
      <c r="C54" s="4">
        <f>C19/F37*C37</f>
        <v>100</v>
      </c>
      <c r="D54" s="4">
        <f>C19/F37*D37</f>
        <v>150</v>
      </c>
      <c r="E54" s="4">
        <f>C19/F37*E37</f>
        <v>250.00000000000003</v>
      </c>
    </row>
    <row r="55" spans="1:6" x14ac:dyDescent="0.2">
      <c r="B55" s="4" t="s">
        <v>45</v>
      </c>
      <c r="C55" s="4">
        <f>C21/F37*C37</f>
        <v>60</v>
      </c>
      <c r="D55" s="4">
        <f>C21/F37*D37</f>
        <v>90</v>
      </c>
      <c r="E55" s="4">
        <f>C21/F37*E37</f>
        <v>150</v>
      </c>
    </row>
    <row r="56" spans="1:6" x14ac:dyDescent="0.2">
      <c r="B56" s="4" t="s">
        <v>46</v>
      </c>
      <c r="C56" s="4">
        <f>C22/F37*C37</f>
        <v>68</v>
      </c>
      <c r="D56" s="4">
        <f>C22/F37*D37</f>
        <v>102.00000000000001</v>
      </c>
      <c r="E56" s="4">
        <f>C22/F37*E37</f>
        <v>170</v>
      </c>
    </row>
    <row r="57" spans="1:6" x14ac:dyDescent="0.2">
      <c r="B57" s="8" t="s">
        <v>47</v>
      </c>
      <c r="C57" s="8">
        <f>SUM(C50:C56)</f>
        <v>2105.5</v>
      </c>
      <c r="D57" s="8">
        <f t="shared" ref="D57:E57" si="2">SUM(D50:D56)</f>
        <v>2184</v>
      </c>
      <c r="E57" s="8">
        <f t="shared" si="2"/>
        <v>2120.5</v>
      </c>
    </row>
    <row r="58" spans="1:6" x14ac:dyDescent="0.2">
      <c r="A58" s="2" t="s">
        <v>48</v>
      </c>
      <c r="B58" s="8" t="s">
        <v>49</v>
      </c>
      <c r="C58" s="8">
        <f>+C57+C49</f>
        <v>7638.5</v>
      </c>
      <c r="D58" s="8">
        <f t="shared" ref="D58:E58" si="3">+D57+D49</f>
        <v>6771</v>
      </c>
      <c r="E58" s="8">
        <f t="shared" si="3"/>
        <v>5790.5</v>
      </c>
    </row>
    <row r="59" spans="1:6" x14ac:dyDescent="0.2">
      <c r="A59" s="2" t="s">
        <v>50</v>
      </c>
      <c r="B59" s="8" t="s">
        <v>51</v>
      </c>
      <c r="C59" s="8">
        <f>+C58/C30</f>
        <v>0.15276999999999999</v>
      </c>
      <c r="D59" s="8">
        <f t="shared" ref="D59:E59" si="4">+D58/D30</f>
        <v>0.22570000000000001</v>
      </c>
      <c r="E59" s="8">
        <f t="shared" si="4"/>
        <v>0.28952499999999998</v>
      </c>
    </row>
    <row r="61" spans="1:6" x14ac:dyDescent="0.2">
      <c r="F61" s="5" t="s">
        <v>27</v>
      </c>
    </row>
    <row r="62" spans="1:6" x14ac:dyDescent="0.2">
      <c r="A62" s="2" t="s">
        <v>52</v>
      </c>
      <c r="B62" s="8" t="s">
        <v>53</v>
      </c>
      <c r="C62" s="8">
        <f>C59*C31</f>
        <v>6110.7999999999993</v>
      </c>
      <c r="D62" s="8">
        <f t="shared" ref="D62:E62" si="5">D59*D31</f>
        <v>4062.6000000000004</v>
      </c>
      <c r="E62" s="8">
        <f t="shared" si="5"/>
        <v>4632.3999999999996</v>
      </c>
      <c r="F62" s="9">
        <f>SUM(C62:E62)</f>
        <v>14805.8</v>
      </c>
    </row>
    <row r="63" spans="1:6" x14ac:dyDescent="0.2">
      <c r="A63" s="2" t="s">
        <v>54</v>
      </c>
      <c r="B63" s="8" t="s">
        <v>55</v>
      </c>
      <c r="C63" s="8">
        <f>C58-C62</f>
        <v>1527.7000000000007</v>
      </c>
      <c r="D63" s="8">
        <f t="shared" ref="D63:E63" si="6">D58-D62</f>
        <v>2708.3999999999996</v>
      </c>
      <c r="E63" s="8">
        <f t="shared" si="6"/>
        <v>1158.1000000000004</v>
      </c>
      <c r="F63" s="9">
        <f>SUM(C63:E63)</f>
        <v>5394.2000000000007</v>
      </c>
    </row>
    <row r="67" spans="2:6" x14ac:dyDescent="0.2">
      <c r="B67" s="10" t="s">
        <v>56</v>
      </c>
      <c r="C67" s="11">
        <f>C31*C29</f>
        <v>10800000</v>
      </c>
      <c r="D67" s="11">
        <f t="shared" ref="D67:E67" si="7">D31*D29</f>
        <v>6300000</v>
      </c>
      <c r="E67" s="11">
        <f t="shared" si="7"/>
        <v>8000000</v>
      </c>
      <c r="F67" s="12">
        <f>SUM(C67:E67)</f>
        <v>25100000</v>
      </c>
    </row>
    <row r="68" spans="2:6" x14ac:dyDescent="0.2">
      <c r="B68" s="13" t="s">
        <v>57</v>
      </c>
      <c r="C68" s="14">
        <f>-C62*1000</f>
        <v>-6110799.9999999991</v>
      </c>
      <c r="D68" s="14">
        <f t="shared" ref="D68:E68" si="8">-D62*1000</f>
        <v>-4062600.0000000005</v>
      </c>
      <c r="E68" s="14">
        <f t="shared" si="8"/>
        <v>-4632400</v>
      </c>
      <c r="F68" s="15">
        <f>SUM(C68:E68)</f>
        <v>-14805800</v>
      </c>
    </row>
    <row r="69" spans="2:6" x14ac:dyDescent="0.2">
      <c r="B69" s="13" t="s">
        <v>58</v>
      </c>
      <c r="C69" s="14">
        <f>+C68+C67</f>
        <v>4689200.0000000009</v>
      </c>
      <c r="D69" s="14">
        <f t="shared" ref="D69:F69" si="9">+D68+D67</f>
        <v>2237399.9999999995</v>
      </c>
      <c r="E69" s="14">
        <f t="shared" si="9"/>
        <v>3367600</v>
      </c>
      <c r="F69" s="15">
        <f t="shared" si="9"/>
        <v>10294200</v>
      </c>
    </row>
    <row r="70" spans="2:6" x14ac:dyDescent="0.2">
      <c r="B70" s="13" t="s">
        <v>59</v>
      </c>
      <c r="C70" s="14"/>
      <c r="D70" s="14"/>
      <c r="E70" s="14"/>
      <c r="F70" s="15"/>
    </row>
    <row r="71" spans="2:6" x14ac:dyDescent="0.2">
      <c r="B71" s="16" t="s">
        <v>60</v>
      </c>
      <c r="C71" s="14"/>
      <c r="D71" s="14"/>
      <c r="E71" s="14"/>
      <c r="F71" s="15">
        <f>-C23*1000</f>
        <v>-5060000</v>
      </c>
    </row>
    <row r="72" spans="2:6" x14ac:dyDescent="0.2">
      <c r="B72" s="16" t="s">
        <v>61</v>
      </c>
      <c r="C72" s="14"/>
      <c r="D72" s="14"/>
      <c r="E72" s="14"/>
      <c r="F72" s="15">
        <f t="shared" ref="F72:F73" si="10">-C24*1000</f>
        <v>-3040000</v>
      </c>
    </row>
    <row r="73" spans="2:6" x14ac:dyDescent="0.2">
      <c r="B73" s="16" t="s">
        <v>62</v>
      </c>
      <c r="C73" s="14"/>
      <c r="D73" s="14"/>
      <c r="E73" s="14"/>
      <c r="F73" s="15">
        <f t="shared" si="10"/>
        <v>-200000</v>
      </c>
    </row>
    <row r="74" spans="2:6" x14ac:dyDescent="0.2">
      <c r="B74" s="13" t="s">
        <v>63</v>
      </c>
      <c r="C74" s="14"/>
      <c r="D74" s="14"/>
      <c r="E74" s="14"/>
      <c r="F74" s="15">
        <f>SUM(F69:F73)</f>
        <v>1994200</v>
      </c>
    </row>
    <row r="75" spans="2:6" x14ac:dyDescent="0.2">
      <c r="B75" s="13" t="s">
        <v>64</v>
      </c>
      <c r="C75" s="14"/>
      <c r="D75" s="14"/>
      <c r="E75" s="14"/>
      <c r="F75" s="15">
        <f>-F74*0.3</f>
        <v>-598260</v>
      </c>
    </row>
    <row r="76" spans="2:6" x14ac:dyDescent="0.2">
      <c r="B76" s="17" t="s">
        <v>65</v>
      </c>
      <c r="C76" s="18"/>
      <c r="D76" s="18"/>
      <c r="E76" s="18"/>
      <c r="F76" s="19">
        <f>+F75+F74</f>
        <v>1395940</v>
      </c>
    </row>
    <row r="79" spans="2:6" x14ac:dyDescent="0.2">
      <c r="C79" s="20" t="s">
        <v>66</v>
      </c>
      <c r="D79" s="21"/>
      <c r="E79" s="22" t="s">
        <v>67</v>
      </c>
      <c r="F79" s="21"/>
    </row>
    <row r="80" spans="2:6" x14ac:dyDescent="0.2">
      <c r="C80" s="13" t="s">
        <v>68</v>
      </c>
      <c r="D80" s="15"/>
      <c r="E80" s="14" t="s">
        <v>68</v>
      </c>
      <c r="F80" s="15"/>
    </row>
    <row r="81" spans="3:6" x14ac:dyDescent="0.2">
      <c r="C81" s="16" t="s">
        <v>69</v>
      </c>
      <c r="D81" s="15">
        <f>C3*1000</f>
        <v>460000</v>
      </c>
      <c r="E81" s="14" t="s">
        <v>70</v>
      </c>
      <c r="F81" s="15">
        <f>C11*1000</f>
        <v>3520000</v>
      </c>
    </row>
    <row r="82" spans="3:6" x14ac:dyDescent="0.2">
      <c r="C82" s="16" t="s">
        <v>71</v>
      </c>
      <c r="D82" s="15">
        <f>C4*1000</f>
        <v>1000000</v>
      </c>
      <c r="E82" s="14" t="s">
        <v>72</v>
      </c>
      <c r="F82" s="15">
        <f>-F75</f>
        <v>598260</v>
      </c>
    </row>
    <row r="83" spans="3:6" x14ac:dyDescent="0.2">
      <c r="C83" s="16" t="s">
        <v>73</v>
      </c>
      <c r="D83" s="15">
        <f>C5*1000</f>
        <v>6060000</v>
      </c>
      <c r="E83" s="14"/>
      <c r="F83" s="15"/>
    </row>
    <row r="84" spans="3:6" x14ac:dyDescent="0.2">
      <c r="C84" s="16" t="s">
        <v>74</v>
      </c>
      <c r="D84" s="15">
        <f>F63*1000</f>
        <v>5394200.0000000009</v>
      </c>
      <c r="E84" s="14"/>
      <c r="F84" s="15"/>
    </row>
    <row r="85" spans="3:6" x14ac:dyDescent="0.2">
      <c r="C85" s="16" t="s">
        <v>75</v>
      </c>
      <c r="D85" s="15">
        <f>C6*1000</f>
        <v>5000000</v>
      </c>
      <c r="E85" s="14"/>
      <c r="F85" s="15"/>
    </row>
    <row r="86" spans="3:6" x14ac:dyDescent="0.2">
      <c r="C86" s="13" t="s">
        <v>76</v>
      </c>
      <c r="D86" s="15"/>
      <c r="E86" s="14" t="s">
        <v>77</v>
      </c>
      <c r="F86" s="15"/>
    </row>
    <row r="87" spans="3:6" x14ac:dyDescent="0.2">
      <c r="C87" s="16" t="s">
        <v>78</v>
      </c>
      <c r="D87" s="15">
        <f>C7*1000</f>
        <v>2000000</v>
      </c>
      <c r="E87" s="14" t="s">
        <v>79</v>
      </c>
      <c r="F87" s="15">
        <f>C12*1000</f>
        <v>15000000</v>
      </c>
    </row>
    <row r="88" spans="3:6" x14ac:dyDescent="0.2">
      <c r="C88" s="16" t="s">
        <v>80</v>
      </c>
      <c r="D88" s="15">
        <f>-C8*1000</f>
        <v>-300000</v>
      </c>
      <c r="E88" s="14" t="s">
        <v>81</v>
      </c>
      <c r="F88" s="15">
        <f>F76</f>
        <v>1395940</v>
      </c>
    </row>
    <row r="89" spans="3:6" x14ac:dyDescent="0.2">
      <c r="C89" s="16" t="s">
        <v>82</v>
      </c>
      <c r="D89" s="15">
        <f>C9*1000</f>
        <v>1000000</v>
      </c>
      <c r="E89" s="14"/>
      <c r="F89" s="15"/>
    </row>
    <row r="90" spans="3:6" x14ac:dyDescent="0.2">
      <c r="C90" s="16" t="s">
        <v>80</v>
      </c>
      <c r="D90" s="15">
        <f>-C10*1000</f>
        <v>-100000</v>
      </c>
      <c r="E90" s="14"/>
      <c r="F90" s="15"/>
    </row>
    <row r="91" spans="3:6" x14ac:dyDescent="0.2">
      <c r="C91" s="23" t="s">
        <v>83</v>
      </c>
      <c r="D91" s="24">
        <f>SUM(D81:D90)</f>
        <v>20514200</v>
      </c>
      <c r="E91" s="25"/>
      <c r="F91" s="24">
        <f>SUM(F81:F89)</f>
        <v>20514200</v>
      </c>
    </row>
  </sheetData>
  <mergeCells count="2">
    <mergeCell ref="C79:D79"/>
    <mergeCell ref="E79:F79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showGridLines="0" topLeftCell="A36" zoomScale="125" zoomScaleNormal="125" zoomScalePageLayoutView="125" workbookViewId="0">
      <selection activeCell="B1" sqref="B1"/>
    </sheetView>
  </sheetViews>
  <sheetFormatPr baseColWidth="10" defaultRowHeight="16" x14ac:dyDescent="0.2"/>
  <cols>
    <col min="1" max="1" width="10.83203125" style="2"/>
    <col min="2" max="2" width="42.83203125" style="2" bestFit="1" customWidth="1"/>
    <col min="3" max="3" width="16.33203125" style="2" customWidth="1"/>
    <col min="4" max="5" width="13.1640625" style="2" bestFit="1" customWidth="1"/>
    <col min="6" max="16384" width="10.83203125" style="2"/>
  </cols>
  <sheetData>
    <row r="3" spans="2:4" x14ac:dyDescent="0.2">
      <c r="B3" s="1"/>
      <c r="C3" s="5" t="s">
        <v>93</v>
      </c>
      <c r="D3" s="5" t="s">
        <v>92</v>
      </c>
    </row>
    <row r="4" spans="2:4" x14ac:dyDescent="0.2">
      <c r="B4" s="1" t="s">
        <v>124</v>
      </c>
      <c r="C4" s="1">
        <v>60</v>
      </c>
      <c r="D4" s="1">
        <v>80</v>
      </c>
    </row>
    <row r="5" spans="2:4" x14ac:dyDescent="0.2">
      <c r="B5" s="1" t="s">
        <v>123</v>
      </c>
      <c r="C5" s="6">
        <v>35000</v>
      </c>
      <c r="D5" s="6">
        <v>29000</v>
      </c>
    </row>
    <row r="6" spans="2:4" x14ac:dyDescent="0.2">
      <c r="B6" s="1" t="s">
        <v>122</v>
      </c>
      <c r="C6" s="6">
        <v>30000</v>
      </c>
      <c r="D6" s="6">
        <v>25000</v>
      </c>
    </row>
    <row r="7" spans="2:4" x14ac:dyDescent="0.2">
      <c r="B7" s="1" t="s">
        <v>121</v>
      </c>
      <c r="C7" s="1">
        <v>3</v>
      </c>
      <c r="D7" s="1">
        <v>5</v>
      </c>
    </row>
    <row r="8" spans="2:4" x14ac:dyDescent="0.2">
      <c r="B8" s="1" t="s">
        <v>120</v>
      </c>
      <c r="C8" s="1">
        <v>2.4</v>
      </c>
      <c r="D8" s="1">
        <v>4</v>
      </c>
    </row>
    <row r="9" spans="2:4" x14ac:dyDescent="0.2">
      <c r="B9" s="1" t="s">
        <v>119</v>
      </c>
      <c r="C9" s="6">
        <v>600</v>
      </c>
      <c r="D9" s="6">
        <v>400</v>
      </c>
    </row>
    <row r="10" spans="2:4" x14ac:dyDescent="0.2">
      <c r="B10" s="1" t="s">
        <v>118</v>
      </c>
      <c r="C10" s="6">
        <v>12000</v>
      </c>
      <c r="D10" s="6">
        <v>13000</v>
      </c>
    </row>
    <row r="11" spans="2:4" x14ac:dyDescent="0.2">
      <c r="B11" s="1" t="s">
        <v>117</v>
      </c>
      <c r="C11" s="6">
        <v>110</v>
      </c>
      <c r="D11" s="6">
        <v>140</v>
      </c>
    </row>
    <row r="14" spans="2:4" x14ac:dyDescent="0.2">
      <c r="B14" s="1" t="s">
        <v>116</v>
      </c>
      <c r="C14" s="1">
        <v>7</v>
      </c>
    </row>
    <row r="15" spans="2:4" x14ac:dyDescent="0.2">
      <c r="B15" s="1" t="s">
        <v>115</v>
      </c>
      <c r="C15" s="1">
        <v>6</v>
      </c>
    </row>
    <row r="16" spans="2:4" x14ac:dyDescent="0.2">
      <c r="B16" s="1" t="s">
        <v>114</v>
      </c>
      <c r="C16" s="1">
        <v>0.15</v>
      </c>
    </row>
    <row r="17" spans="2:4" x14ac:dyDescent="0.2">
      <c r="B17" s="1" t="s">
        <v>113</v>
      </c>
      <c r="C17" s="1">
        <v>0.08</v>
      </c>
    </row>
    <row r="18" spans="2:4" x14ac:dyDescent="0.2">
      <c r="B18" s="1" t="s">
        <v>112</v>
      </c>
      <c r="C18" s="1">
        <v>60000</v>
      </c>
    </row>
    <row r="19" spans="2:4" x14ac:dyDescent="0.2">
      <c r="B19" s="1" t="s">
        <v>111</v>
      </c>
      <c r="C19" s="1">
        <v>40000</v>
      </c>
    </row>
    <row r="20" spans="2:4" x14ac:dyDescent="0.2">
      <c r="B20" s="1" t="s">
        <v>110</v>
      </c>
      <c r="C20" s="1">
        <v>30000</v>
      </c>
    </row>
    <row r="21" spans="2:4" x14ac:dyDescent="0.2">
      <c r="B21" s="1" t="s">
        <v>109</v>
      </c>
      <c r="C21" s="1">
        <v>15000</v>
      </c>
    </row>
    <row r="22" spans="2:4" x14ac:dyDescent="0.2">
      <c r="B22" s="1" t="s">
        <v>108</v>
      </c>
      <c r="C22" s="1">
        <v>120000</v>
      </c>
    </row>
    <row r="23" spans="2:4" x14ac:dyDescent="0.2">
      <c r="B23" s="1" t="s">
        <v>107</v>
      </c>
      <c r="C23" s="1">
        <v>150000</v>
      </c>
    </row>
    <row r="25" spans="2:4" x14ac:dyDescent="0.2">
      <c r="B25" s="2" t="s">
        <v>106</v>
      </c>
    </row>
    <row r="26" spans="2:4" x14ac:dyDescent="0.2">
      <c r="B26" s="1" t="s">
        <v>105</v>
      </c>
      <c r="C26" s="1">
        <f>C9/SUM($C$9:$D$9)</f>
        <v>0.6</v>
      </c>
      <c r="D26" s="1">
        <f>D9/SUM($C$9:$D$9)</f>
        <v>0.4</v>
      </c>
    </row>
    <row r="27" spans="2:4" x14ac:dyDescent="0.2">
      <c r="B27" s="1" t="s">
        <v>104</v>
      </c>
      <c r="C27" s="1">
        <f>C8*C5</f>
        <v>84000</v>
      </c>
      <c r="D27" s="1">
        <f>D8*D5</f>
        <v>116000</v>
      </c>
    </row>
    <row r="28" spans="2:4" x14ac:dyDescent="0.2">
      <c r="B28" s="1" t="s">
        <v>36</v>
      </c>
      <c r="C28" s="1">
        <f>C27/SUM($C$27:$D$27)</f>
        <v>0.42</v>
      </c>
      <c r="D28" s="1">
        <f>D27/SUM($C$27:$D$27)</f>
        <v>0.57999999999999996</v>
      </c>
    </row>
    <row r="29" spans="2:4" x14ac:dyDescent="0.2">
      <c r="B29" s="1" t="s">
        <v>37</v>
      </c>
      <c r="C29" s="1">
        <f>C10/SUM($C$10:$D$10)</f>
        <v>0.48</v>
      </c>
      <c r="D29" s="1">
        <f>D10/SUM($C$10:$D$10)</f>
        <v>0.52</v>
      </c>
    </row>
    <row r="30" spans="2:4" x14ac:dyDescent="0.2">
      <c r="B30" s="1" t="s">
        <v>103</v>
      </c>
      <c r="C30" s="1">
        <f>C11/SUM($C$11:$D$11)</f>
        <v>0.44</v>
      </c>
      <c r="D30" s="1">
        <f>D11/SUM($C$11:$D$11)</f>
        <v>0.56000000000000005</v>
      </c>
    </row>
    <row r="33" spans="1:5" x14ac:dyDescent="0.2">
      <c r="B33" s="1" t="s">
        <v>102</v>
      </c>
      <c r="C33" s="1"/>
      <c r="D33" s="1"/>
    </row>
    <row r="34" spans="1:5" x14ac:dyDescent="0.2">
      <c r="B34" s="26" t="s">
        <v>35</v>
      </c>
      <c r="C34" s="1">
        <f>$C$14*C7*C5</f>
        <v>735000</v>
      </c>
      <c r="D34" s="1">
        <f>$C$14*D7*D5</f>
        <v>1015000</v>
      </c>
    </row>
    <row r="35" spans="1:5" x14ac:dyDescent="0.2">
      <c r="B35" s="26" t="s">
        <v>36</v>
      </c>
      <c r="C35" s="1">
        <f>$C$15*C8*C5</f>
        <v>503999.99999999994</v>
      </c>
      <c r="D35" s="1">
        <f>$C$15*D8*D5</f>
        <v>696000</v>
      </c>
    </row>
    <row r="36" spans="1:5" x14ac:dyDescent="0.2">
      <c r="B36" s="1" t="s">
        <v>101</v>
      </c>
      <c r="C36" s="1">
        <f>SUM(C34:C35)</f>
        <v>1239000</v>
      </c>
      <c r="D36" s="1">
        <f>SUM(D34:D35)</f>
        <v>1711000</v>
      </c>
    </row>
    <row r="37" spans="1:5" x14ac:dyDescent="0.2">
      <c r="B37" s="1" t="s">
        <v>100</v>
      </c>
      <c r="C37" s="1"/>
      <c r="D37" s="1"/>
    </row>
    <row r="38" spans="1:5" x14ac:dyDescent="0.2">
      <c r="B38" s="26" t="s">
        <v>99</v>
      </c>
      <c r="C38" s="1">
        <f>$C$18*C26</f>
        <v>36000</v>
      </c>
      <c r="D38" s="1">
        <f>$C$18*D26</f>
        <v>24000</v>
      </c>
    </row>
    <row r="39" spans="1:5" x14ac:dyDescent="0.2">
      <c r="B39" s="26" t="s">
        <v>98</v>
      </c>
      <c r="C39" s="1">
        <f>$C$19*C28</f>
        <v>16800</v>
      </c>
      <c r="D39" s="1">
        <f>$C$19*D28</f>
        <v>23200</v>
      </c>
    </row>
    <row r="40" spans="1:5" x14ac:dyDescent="0.2">
      <c r="B40" s="26" t="s">
        <v>37</v>
      </c>
      <c r="C40" s="1">
        <f>$C$20*C29</f>
        <v>14400</v>
      </c>
      <c r="D40" s="1">
        <f>$C$20*D29</f>
        <v>15600</v>
      </c>
    </row>
    <row r="41" spans="1:5" x14ac:dyDescent="0.2">
      <c r="B41" s="26" t="s">
        <v>97</v>
      </c>
      <c r="C41" s="1">
        <f>$C$21*C30</f>
        <v>6600</v>
      </c>
      <c r="D41" s="1">
        <f>$C$21*D30</f>
        <v>8400</v>
      </c>
    </row>
    <row r="42" spans="1:5" x14ac:dyDescent="0.2">
      <c r="B42" s="1" t="s">
        <v>96</v>
      </c>
      <c r="C42" s="1">
        <f>SUM(C38:C41)</f>
        <v>73800</v>
      </c>
      <c r="D42" s="1">
        <f>SUM(D38:D41)</f>
        <v>71200</v>
      </c>
    </row>
    <row r="43" spans="1:5" x14ac:dyDescent="0.2">
      <c r="A43" s="2" t="s">
        <v>48</v>
      </c>
      <c r="B43" s="1" t="s">
        <v>95</v>
      </c>
      <c r="C43" s="1">
        <f>+C42+C36</f>
        <v>1312800</v>
      </c>
      <c r="D43" s="1">
        <f>+D42+D36</f>
        <v>1782200</v>
      </c>
    </row>
    <row r="44" spans="1:5" x14ac:dyDescent="0.2">
      <c r="A44" s="2" t="s">
        <v>50</v>
      </c>
      <c r="B44" s="1" t="s">
        <v>94</v>
      </c>
      <c r="C44" s="1">
        <f>C43/C5</f>
        <v>37.508571428571429</v>
      </c>
      <c r="D44" s="1">
        <f>D43/D5</f>
        <v>61.4551724137931</v>
      </c>
    </row>
    <row r="47" spans="1:5" x14ac:dyDescent="0.2">
      <c r="C47" s="5" t="s">
        <v>93</v>
      </c>
      <c r="D47" s="5" t="s">
        <v>92</v>
      </c>
      <c r="E47" s="7" t="s">
        <v>91</v>
      </c>
    </row>
    <row r="48" spans="1:5" x14ac:dyDescent="0.2">
      <c r="B48" s="1" t="s">
        <v>56</v>
      </c>
      <c r="C48" s="1">
        <f>C4*C6</f>
        <v>1800000</v>
      </c>
      <c r="D48" s="1">
        <f>D4*D6</f>
        <v>2000000</v>
      </c>
      <c r="E48" s="1">
        <f>+D48+C48</f>
        <v>3800000</v>
      </c>
    </row>
    <row r="49" spans="1:5" x14ac:dyDescent="0.2">
      <c r="B49" s="1" t="s">
        <v>90</v>
      </c>
      <c r="C49" s="1">
        <f>-C48*C16</f>
        <v>-270000</v>
      </c>
      <c r="D49" s="1">
        <f>-D48*C16</f>
        <v>-300000</v>
      </c>
      <c r="E49" s="1">
        <f>+D49+C49</f>
        <v>-570000</v>
      </c>
    </row>
    <row r="50" spans="1:5" x14ac:dyDescent="0.2">
      <c r="B50" s="1" t="s">
        <v>89</v>
      </c>
      <c r="C50" s="1">
        <f>SUM(C48:C49)</f>
        <v>1530000</v>
      </c>
      <c r="D50" s="1">
        <f>SUM(D48:D49)</f>
        <v>1700000</v>
      </c>
      <c r="E50" s="1">
        <f>SUM(E48:E49)</f>
        <v>3230000</v>
      </c>
    </row>
    <row r="51" spans="1:5" x14ac:dyDescent="0.2">
      <c r="B51" s="1" t="s">
        <v>57</v>
      </c>
      <c r="C51" s="1">
        <f>-C44*C6</f>
        <v>-1125257.142857143</v>
      </c>
      <c r="D51" s="1">
        <f>-D44*D6</f>
        <v>-1536379.3103448276</v>
      </c>
      <c r="E51" s="1">
        <f>+D51+C51</f>
        <v>-2661636.4532019706</v>
      </c>
    </row>
    <row r="52" spans="1:5" x14ac:dyDescent="0.2">
      <c r="A52" s="2" t="s">
        <v>52</v>
      </c>
      <c r="B52" s="1" t="s">
        <v>58</v>
      </c>
      <c r="C52" s="1">
        <f>+C51+C50</f>
        <v>404742.85714285704</v>
      </c>
      <c r="D52" s="1">
        <f>+D51+D50</f>
        <v>163620.68965517241</v>
      </c>
      <c r="E52" s="1">
        <f>+E51+E50</f>
        <v>568363.54679802945</v>
      </c>
    </row>
    <row r="53" spans="1:5" x14ac:dyDescent="0.2">
      <c r="B53" s="1" t="s">
        <v>88</v>
      </c>
      <c r="C53" s="1">
        <f>-$C$17*C50</f>
        <v>-122400</v>
      </c>
      <c r="D53" s="1">
        <f>-$C$17*D50</f>
        <v>-136000</v>
      </c>
      <c r="E53" s="1">
        <f>+D53+C53</f>
        <v>-258400</v>
      </c>
    </row>
    <row r="54" spans="1:5" x14ac:dyDescent="0.2">
      <c r="B54" s="1" t="s">
        <v>87</v>
      </c>
      <c r="C54" s="10"/>
      <c r="D54" s="12"/>
      <c r="E54" s="1">
        <f>-C22</f>
        <v>-120000</v>
      </c>
    </row>
    <row r="55" spans="1:5" x14ac:dyDescent="0.2">
      <c r="B55" s="1" t="s">
        <v>86</v>
      </c>
      <c r="C55" s="13"/>
      <c r="D55" s="15"/>
      <c r="E55" s="1">
        <f>-C23</f>
        <v>-150000</v>
      </c>
    </row>
    <row r="56" spans="1:5" x14ac:dyDescent="0.2">
      <c r="A56" s="2" t="s">
        <v>54</v>
      </c>
      <c r="B56" s="1" t="s">
        <v>85</v>
      </c>
      <c r="C56" s="17"/>
      <c r="D56" s="19"/>
      <c r="E56" s="1">
        <f>SUM(E52:E55)</f>
        <v>39963.546798029449</v>
      </c>
    </row>
    <row r="58" spans="1:5" x14ac:dyDescent="0.2">
      <c r="A58" s="2" t="s">
        <v>38</v>
      </c>
      <c r="B58" s="1" t="s">
        <v>84</v>
      </c>
      <c r="C58" s="1">
        <f>+C44*(C5-C6)</f>
        <v>187542.85714285713</v>
      </c>
      <c r="D58" s="1">
        <f>+D44*(D5-D6)</f>
        <v>245820.68965517241</v>
      </c>
      <c r="E58" s="1">
        <f>+D58+C58</f>
        <v>433363.54679802957</v>
      </c>
    </row>
  </sheetData>
  <pageMargins left="0.75" right="0.75" top="1" bottom="1" header="0.5" footer="0.5"/>
  <pageSetup paperSize="9" scale="84" orientation="portrait" horizontalDpi="4294967292" verticalDpi="4294967292"/>
  <rowBreaks count="1" manualBreakCount="1">
    <brk id="31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4"/>
  <sheetViews>
    <sheetView showGridLines="0" topLeftCell="A26" zoomScale="125" zoomScaleNormal="125" zoomScalePageLayoutView="125" workbookViewId="0">
      <selection activeCell="B48" sqref="B48:E54"/>
    </sheetView>
  </sheetViews>
  <sheetFormatPr baseColWidth="10" defaultRowHeight="16" x14ac:dyDescent="0.2"/>
  <cols>
    <col min="1" max="1" width="10.83203125" style="27"/>
    <col min="2" max="3" width="20.33203125" style="27" customWidth="1"/>
    <col min="4" max="9" width="18" style="27" customWidth="1"/>
    <col min="10" max="16384" width="10.83203125" style="27"/>
  </cols>
  <sheetData>
    <row r="3" spans="2:4" x14ac:dyDescent="0.2">
      <c r="B3" s="9" t="s">
        <v>153</v>
      </c>
      <c r="C3" s="9" t="s">
        <v>152</v>
      </c>
      <c r="D3" s="5" t="s">
        <v>149</v>
      </c>
    </row>
    <row r="4" spans="2:4" x14ac:dyDescent="0.2">
      <c r="B4" s="28" t="s">
        <v>142</v>
      </c>
      <c r="C4" s="35">
        <v>35</v>
      </c>
      <c r="D4" s="28">
        <f>+C4/$C$9</f>
        <v>0.35</v>
      </c>
    </row>
    <row r="5" spans="2:4" x14ac:dyDescent="0.2">
      <c r="B5" s="28" t="s">
        <v>140</v>
      </c>
      <c r="C5" s="35">
        <v>15</v>
      </c>
      <c r="D5" s="28">
        <f>+C5/$C$9</f>
        <v>0.15</v>
      </c>
    </row>
    <row r="6" spans="2:4" x14ac:dyDescent="0.2">
      <c r="B6" s="28" t="s">
        <v>141</v>
      </c>
      <c r="C6" s="35">
        <v>30</v>
      </c>
      <c r="D6" s="28">
        <f>+C6/$C$9</f>
        <v>0.3</v>
      </c>
    </row>
    <row r="7" spans="2:4" x14ac:dyDescent="0.2">
      <c r="B7" s="28" t="s">
        <v>139</v>
      </c>
      <c r="C7" s="35">
        <v>10</v>
      </c>
      <c r="D7" s="28">
        <f>+C7/$C$9</f>
        <v>0.1</v>
      </c>
    </row>
    <row r="8" spans="2:4" x14ac:dyDescent="0.2">
      <c r="B8" s="28" t="s">
        <v>138</v>
      </c>
      <c r="C8" s="35">
        <v>10</v>
      </c>
      <c r="D8" s="28">
        <f>+C8/$C$9</f>
        <v>0.1</v>
      </c>
    </row>
    <row r="9" spans="2:4" x14ac:dyDescent="0.2">
      <c r="B9" s="8" t="s">
        <v>91</v>
      </c>
      <c r="C9" s="41">
        <f>SUM(C4:C8)</f>
        <v>100</v>
      </c>
    </row>
    <row r="12" spans="2:4" x14ac:dyDescent="0.2">
      <c r="B12" s="40" t="s">
        <v>151</v>
      </c>
      <c r="C12" s="40" t="s">
        <v>103</v>
      </c>
      <c r="D12" s="5" t="s">
        <v>149</v>
      </c>
    </row>
    <row r="13" spans="2:4" x14ac:dyDescent="0.2">
      <c r="B13" s="39" t="s">
        <v>148</v>
      </c>
      <c r="C13" s="38">
        <v>4800</v>
      </c>
      <c r="D13" s="28">
        <f>+C13/$C$16</f>
        <v>0.4</v>
      </c>
    </row>
    <row r="14" spans="2:4" x14ac:dyDescent="0.2">
      <c r="B14" s="39" t="s">
        <v>147</v>
      </c>
      <c r="C14" s="38">
        <v>3000</v>
      </c>
      <c r="D14" s="28">
        <f>+C14/$C$16</f>
        <v>0.25</v>
      </c>
    </row>
    <row r="15" spans="2:4" x14ac:dyDescent="0.2">
      <c r="B15" s="39" t="s">
        <v>146</v>
      </c>
      <c r="C15" s="38">
        <v>4200</v>
      </c>
      <c r="D15" s="28">
        <f>+C15/$C$16</f>
        <v>0.35</v>
      </c>
    </row>
    <row r="16" spans="2:4" x14ac:dyDescent="0.2">
      <c r="B16" s="37" t="s">
        <v>145</v>
      </c>
      <c r="C16" s="36">
        <v>12000</v>
      </c>
    </row>
    <row r="18" spans="2:9" x14ac:dyDescent="0.2">
      <c r="B18" s="40" t="s">
        <v>151</v>
      </c>
      <c r="C18" s="40" t="s">
        <v>150</v>
      </c>
      <c r="D18" s="5" t="s">
        <v>149</v>
      </c>
    </row>
    <row r="19" spans="2:9" x14ac:dyDescent="0.2">
      <c r="B19" s="39" t="s">
        <v>148</v>
      </c>
      <c r="C19" s="38">
        <v>600</v>
      </c>
      <c r="D19" s="28">
        <f>+C19/$C$22</f>
        <v>0.5</v>
      </c>
    </row>
    <row r="20" spans="2:9" x14ac:dyDescent="0.2">
      <c r="B20" s="39" t="s">
        <v>147</v>
      </c>
      <c r="C20" s="38">
        <v>300</v>
      </c>
      <c r="D20" s="28">
        <f>+C20/$C$22</f>
        <v>0.25</v>
      </c>
    </row>
    <row r="21" spans="2:9" x14ac:dyDescent="0.2">
      <c r="B21" s="39" t="s">
        <v>146</v>
      </c>
      <c r="C21" s="38">
        <v>300</v>
      </c>
      <c r="D21" s="28">
        <f>+C21/$C$22</f>
        <v>0.25</v>
      </c>
    </row>
    <row r="22" spans="2:9" x14ac:dyDescent="0.2">
      <c r="B22" s="37" t="s">
        <v>145</v>
      </c>
      <c r="C22" s="36">
        <f>SUM(C19:C21)</f>
        <v>1200</v>
      </c>
    </row>
    <row r="26" spans="2:9" x14ac:dyDescent="0.2">
      <c r="B26" s="5"/>
      <c r="C26" s="5" t="s">
        <v>129</v>
      </c>
      <c r="D26" s="5" t="s">
        <v>128</v>
      </c>
      <c r="E26" s="5" t="s">
        <v>91</v>
      </c>
    </row>
    <row r="27" spans="2:9" x14ac:dyDescent="0.2">
      <c r="B27" s="28" t="s">
        <v>144</v>
      </c>
      <c r="C27" s="35">
        <v>12000</v>
      </c>
      <c r="D27" s="35">
        <v>4000</v>
      </c>
      <c r="E27" s="28"/>
    </row>
    <row r="28" spans="2:9" x14ac:dyDescent="0.2">
      <c r="B28" s="28" t="s">
        <v>126</v>
      </c>
      <c r="C28" s="29">
        <v>8352</v>
      </c>
      <c r="D28" s="29">
        <v>5568</v>
      </c>
      <c r="E28" s="29">
        <f>SUM(C28:D28)</f>
        <v>13920</v>
      </c>
    </row>
    <row r="29" spans="2:9" x14ac:dyDescent="0.2">
      <c r="B29" s="28" t="s">
        <v>125</v>
      </c>
      <c r="C29" s="29">
        <v>6048</v>
      </c>
      <c r="D29" s="29">
        <v>4032</v>
      </c>
      <c r="E29" s="29">
        <f>SUM(C29:D29)</f>
        <v>10080</v>
      </c>
    </row>
    <row r="32" spans="2:9" x14ac:dyDescent="0.2">
      <c r="B32" s="5" t="s">
        <v>143</v>
      </c>
      <c r="C32" s="5" t="s">
        <v>142</v>
      </c>
      <c r="D32" s="5" t="s">
        <v>141</v>
      </c>
      <c r="E32" s="5" t="s">
        <v>140</v>
      </c>
      <c r="F32" s="5" t="s">
        <v>139</v>
      </c>
      <c r="G32" s="5" t="s">
        <v>138</v>
      </c>
      <c r="H32" s="5" t="s">
        <v>137</v>
      </c>
      <c r="I32" s="5" t="s">
        <v>91</v>
      </c>
    </row>
    <row r="33" spans="1:9" x14ac:dyDescent="0.2">
      <c r="B33" s="28" t="s">
        <v>136</v>
      </c>
      <c r="C33" s="28">
        <v>159</v>
      </c>
      <c r="D33" s="28">
        <v>57</v>
      </c>
      <c r="E33" s="28">
        <v>46</v>
      </c>
      <c r="F33" s="28">
        <v>90</v>
      </c>
      <c r="G33" s="28">
        <v>112</v>
      </c>
      <c r="H33" s="28">
        <v>336</v>
      </c>
      <c r="I33" s="28">
        <f>SUM(C33:H33)</f>
        <v>800</v>
      </c>
    </row>
    <row r="34" spans="1:9" ht="15" customHeight="1" x14ac:dyDescent="0.2">
      <c r="B34" s="28" t="s">
        <v>135</v>
      </c>
      <c r="C34" s="28">
        <v>2400</v>
      </c>
      <c r="D34" s="28">
        <v>432</v>
      </c>
      <c r="E34" s="28">
        <v>1340</v>
      </c>
      <c r="F34" s="28">
        <v>240</v>
      </c>
      <c r="G34" s="28">
        <v>240</v>
      </c>
      <c r="H34" s="28">
        <v>148</v>
      </c>
      <c r="I34" s="28">
        <f>SUM(C34:H34)</f>
        <v>4800</v>
      </c>
    </row>
    <row r="35" spans="1:9" x14ac:dyDescent="0.2">
      <c r="B35" s="28" t="s">
        <v>134</v>
      </c>
      <c r="C35" s="28">
        <v>532</v>
      </c>
      <c r="D35" s="28">
        <v>672</v>
      </c>
      <c r="E35" s="28">
        <v>390</v>
      </c>
      <c r="F35" s="28">
        <v>140</v>
      </c>
      <c r="G35" s="28">
        <v>170</v>
      </c>
      <c r="H35" s="28">
        <v>896</v>
      </c>
      <c r="I35" s="28">
        <f>SUM(C35:H35)</f>
        <v>2800</v>
      </c>
    </row>
    <row r="36" spans="1:9" x14ac:dyDescent="0.2">
      <c r="B36" s="28" t="s">
        <v>99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3200</v>
      </c>
      <c r="I36" s="28">
        <f>SUM(C36:H36)</f>
        <v>3200</v>
      </c>
    </row>
    <row r="37" spans="1:9" x14ac:dyDescent="0.2">
      <c r="B37" s="28" t="s">
        <v>91</v>
      </c>
      <c r="C37" s="28">
        <f>SUM(C33:C36)</f>
        <v>3091</v>
      </c>
      <c r="D37" s="28">
        <f>SUM(D33:D36)</f>
        <v>1161</v>
      </c>
      <c r="E37" s="28">
        <f>SUM(E33:E36)</f>
        <v>1776</v>
      </c>
      <c r="F37" s="28">
        <f>SUM(F33:F36)</f>
        <v>470</v>
      </c>
      <c r="G37" s="28">
        <f>SUM(G33:G36)</f>
        <v>522</v>
      </c>
      <c r="H37" s="28">
        <f>SUM(H33:H36)</f>
        <v>4580</v>
      </c>
      <c r="I37" s="28">
        <f>SUM(C37:H37)</f>
        <v>11600</v>
      </c>
    </row>
    <row r="38" spans="1:9" x14ac:dyDescent="0.2">
      <c r="B38" s="28" t="s">
        <v>133</v>
      </c>
      <c r="C38" s="28">
        <f>H37*D4</f>
        <v>1603</v>
      </c>
      <c r="D38" s="28">
        <f>H37*D6</f>
        <v>1374</v>
      </c>
      <c r="E38" s="28">
        <f>H37*D5</f>
        <v>687</v>
      </c>
      <c r="F38" s="28">
        <f>H37*D7</f>
        <v>458</v>
      </c>
      <c r="G38" s="28">
        <f>H37*D8</f>
        <v>458</v>
      </c>
      <c r="H38" s="28">
        <f>-SUM(C38:G38)</f>
        <v>-4580</v>
      </c>
      <c r="I38" s="28">
        <f>SUM(C38:H38)</f>
        <v>0</v>
      </c>
    </row>
    <row r="39" spans="1:9" x14ac:dyDescent="0.2">
      <c r="B39" s="28" t="s">
        <v>130</v>
      </c>
      <c r="C39" s="28">
        <f>+C38+C37</f>
        <v>4694</v>
      </c>
      <c r="D39" s="28">
        <f>+D38+D37</f>
        <v>2535</v>
      </c>
      <c r="E39" s="28">
        <f>+E38+E37</f>
        <v>2463</v>
      </c>
      <c r="F39" s="28">
        <f>+F38+F37</f>
        <v>928</v>
      </c>
      <c r="G39" s="28">
        <f>+G38+G37</f>
        <v>980</v>
      </c>
      <c r="H39" s="28">
        <f>+H38+H37</f>
        <v>0</v>
      </c>
      <c r="I39" s="28">
        <f>+I38+I37</f>
        <v>11600</v>
      </c>
    </row>
    <row r="40" spans="1:9" x14ac:dyDescent="0.2">
      <c r="B40" s="28" t="s">
        <v>132</v>
      </c>
      <c r="C40" s="28">
        <f>G39*D13</f>
        <v>392</v>
      </c>
      <c r="D40" s="28">
        <f>G39*D15</f>
        <v>343</v>
      </c>
      <c r="E40" s="28">
        <f>G39*D14</f>
        <v>245</v>
      </c>
      <c r="F40" s="28">
        <v>0</v>
      </c>
      <c r="G40" s="1">
        <f>-SUM(C40:F40)</f>
        <v>-980</v>
      </c>
      <c r="H40" s="28">
        <v>0</v>
      </c>
      <c r="I40" s="28">
        <f>SUM(C40:H40)</f>
        <v>0</v>
      </c>
    </row>
    <row r="41" spans="1:9" x14ac:dyDescent="0.2">
      <c r="B41" s="28" t="s">
        <v>130</v>
      </c>
      <c r="C41" s="28">
        <f>+C40+C39</f>
        <v>5086</v>
      </c>
      <c r="D41" s="28">
        <f>+D40+D39</f>
        <v>2878</v>
      </c>
      <c r="E41" s="28">
        <f>+E40+E39</f>
        <v>2708</v>
      </c>
      <c r="F41" s="28">
        <f>+F40+F39</f>
        <v>928</v>
      </c>
      <c r="G41" s="28">
        <f>+G40+G39</f>
        <v>0</v>
      </c>
      <c r="H41" s="28">
        <f>+H40+H39</f>
        <v>0</v>
      </c>
      <c r="I41" s="28">
        <f>+I40+I39</f>
        <v>11600</v>
      </c>
    </row>
    <row r="42" spans="1:9" x14ac:dyDescent="0.2">
      <c r="B42" s="28" t="s">
        <v>131</v>
      </c>
      <c r="C42" s="28">
        <f>F41*D19</f>
        <v>464</v>
      </c>
      <c r="D42" s="28">
        <f>F41*D21</f>
        <v>232</v>
      </c>
      <c r="E42" s="28">
        <f>F41*D20</f>
        <v>232</v>
      </c>
      <c r="F42" s="28">
        <f>-SUM(C42:E42)</f>
        <v>-928</v>
      </c>
      <c r="G42" s="28">
        <v>0</v>
      </c>
      <c r="H42" s="28">
        <v>0</v>
      </c>
      <c r="I42" s="28">
        <f>SUM(C42:H42)</f>
        <v>0</v>
      </c>
    </row>
    <row r="43" spans="1:9" x14ac:dyDescent="0.2">
      <c r="A43" s="34" t="s">
        <v>48</v>
      </c>
      <c r="B43" s="33" t="s">
        <v>130</v>
      </c>
      <c r="C43" s="33">
        <f>+C42+C41</f>
        <v>5550</v>
      </c>
      <c r="D43" s="33">
        <f>+D42+D41</f>
        <v>3110</v>
      </c>
      <c r="E43" s="33">
        <f>+E42+E41</f>
        <v>2940</v>
      </c>
      <c r="F43" s="28">
        <f>+F42+F41</f>
        <v>0</v>
      </c>
      <c r="G43" s="28">
        <f>+G42+G41</f>
        <v>0</v>
      </c>
      <c r="H43" s="28">
        <f>+H42+H41</f>
        <v>0</v>
      </c>
      <c r="I43" s="28">
        <f>+I42+I41</f>
        <v>11600</v>
      </c>
    </row>
    <row r="44" spans="1:9" x14ac:dyDescent="0.2">
      <c r="A44" s="32" t="s">
        <v>50</v>
      </c>
      <c r="B44" s="28" t="s">
        <v>129</v>
      </c>
      <c r="C44" s="28">
        <f>C43*(D28/E28)</f>
        <v>2220</v>
      </c>
      <c r="D44" s="28">
        <f>D43*(D28/E28)</f>
        <v>1244</v>
      </c>
      <c r="E44" s="28">
        <f>+E43</f>
        <v>2940</v>
      </c>
      <c r="F44" s="28"/>
      <c r="G44" s="28"/>
      <c r="H44" s="28"/>
      <c r="I44" s="31">
        <f>SUM(C44:H44)</f>
        <v>6404</v>
      </c>
    </row>
    <row r="45" spans="1:9" x14ac:dyDescent="0.2">
      <c r="B45" s="28" t="s">
        <v>128</v>
      </c>
      <c r="C45" s="28">
        <f>C43*(C28/E28)</f>
        <v>3330</v>
      </c>
      <c r="D45" s="28">
        <f>D43*(C28/E28)</f>
        <v>1866</v>
      </c>
      <c r="E45" s="28">
        <v>0</v>
      </c>
      <c r="F45" s="28"/>
      <c r="G45" s="28"/>
      <c r="H45" s="28"/>
      <c r="I45" s="31">
        <f>SUM(C45:H45)</f>
        <v>5196</v>
      </c>
    </row>
    <row r="46" spans="1:9" x14ac:dyDescent="0.2">
      <c r="B46" s="30" t="s">
        <v>91</v>
      </c>
      <c r="C46" s="30">
        <f>SUM(C44:C45)</f>
        <v>5550</v>
      </c>
      <c r="D46" s="30">
        <f>+D45+D44</f>
        <v>3110</v>
      </c>
      <c r="E46" s="30">
        <f>+E45+E44</f>
        <v>2940</v>
      </c>
      <c r="F46" s="28"/>
      <c r="G46" s="28"/>
      <c r="H46" s="28"/>
      <c r="I46" s="28">
        <f>+I45+I44</f>
        <v>11600</v>
      </c>
    </row>
    <row r="48" spans="1:9" x14ac:dyDescent="0.2">
      <c r="A48" s="2" t="s">
        <v>52</v>
      </c>
      <c r="C48" s="5" t="s">
        <v>129</v>
      </c>
      <c r="D48" s="5" t="s">
        <v>128</v>
      </c>
      <c r="E48" s="7" t="s">
        <v>91</v>
      </c>
    </row>
    <row r="49" spans="2:5" x14ac:dyDescent="0.2">
      <c r="B49" s="1" t="s">
        <v>127</v>
      </c>
      <c r="C49" s="28"/>
      <c r="D49" s="28"/>
      <c r="E49" s="28"/>
    </row>
    <row r="50" spans="2:5" x14ac:dyDescent="0.2">
      <c r="B50" s="28" t="s">
        <v>126</v>
      </c>
      <c r="C50" s="29">
        <v>8352</v>
      </c>
      <c r="D50" s="29">
        <v>5568</v>
      </c>
      <c r="E50" s="29">
        <f>SUM(C50:D50)</f>
        <v>13920</v>
      </c>
    </row>
    <row r="51" spans="2:5" x14ac:dyDescent="0.2">
      <c r="B51" s="28" t="s">
        <v>125</v>
      </c>
      <c r="C51" s="29">
        <v>6048</v>
      </c>
      <c r="D51" s="29">
        <v>4032</v>
      </c>
      <c r="E51" s="29">
        <f>SUM(C51:D51)</f>
        <v>10080</v>
      </c>
    </row>
    <row r="52" spans="2:5" x14ac:dyDescent="0.2">
      <c r="B52" s="1" t="s">
        <v>100</v>
      </c>
      <c r="C52" s="28">
        <f>I45</f>
        <v>5196</v>
      </c>
      <c r="D52" s="28">
        <f>I44</f>
        <v>6404</v>
      </c>
      <c r="E52" s="29">
        <f>SUM(C52:D52)</f>
        <v>11600</v>
      </c>
    </row>
    <row r="53" spans="2:5" x14ac:dyDescent="0.2">
      <c r="B53" s="1" t="s">
        <v>95</v>
      </c>
      <c r="C53" s="28">
        <f>SUM(C50:C52)</f>
        <v>19596</v>
      </c>
      <c r="D53" s="28">
        <f>SUM(D50:D52)</f>
        <v>16004</v>
      </c>
      <c r="E53" s="28">
        <f>SUM(E50:E52)</f>
        <v>35600</v>
      </c>
    </row>
    <row r="54" spans="2:5" x14ac:dyDescent="0.2">
      <c r="B54" s="1" t="s">
        <v>94</v>
      </c>
      <c r="C54" s="28">
        <f>C53/C27</f>
        <v>1.633</v>
      </c>
      <c r="D54" s="28">
        <f>D53/D27</f>
        <v>4.0010000000000003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2"/>
  <sheetViews>
    <sheetView showGridLines="0" tabSelected="1" topLeftCell="A51" zoomScale="125" zoomScaleNormal="125" zoomScalePageLayoutView="125" workbookViewId="0">
      <selection activeCell="C52" sqref="C52"/>
    </sheetView>
  </sheetViews>
  <sheetFormatPr baseColWidth="10" defaultRowHeight="16" x14ac:dyDescent="0.2"/>
  <cols>
    <col min="1" max="1" width="10.83203125" style="27"/>
    <col min="2" max="2" width="27.33203125" style="27" customWidth="1"/>
    <col min="3" max="3" width="14.6640625" style="27" bestFit="1" customWidth="1"/>
    <col min="4" max="4" width="13.33203125" style="27" bestFit="1" customWidth="1"/>
    <col min="5" max="5" width="13.6640625" style="27" bestFit="1" customWidth="1"/>
    <col min="6" max="6" width="15.83203125" style="27" bestFit="1" customWidth="1"/>
    <col min="7" max="16384" width="10.83203125" style="27"/>
  </cols>
  <sheetData>
    <row r="3" spans="2:7" x14ac:dyDescent="0.2">
      <c r="B3" s="28"/>
      <c r="C3" s="5" t="s">
        <v>154</v>
      </c>
      <c r="D3" s="5" t="s">
        <v>155</v>
      </c>
    </row>
    <row r="4" spans="2:7" x14ac:dyDescent="0.2">
      <c r="B4" s="1" t="s">
        <v>144</v>
      </c>
      <c r="C4" s="35">
        <v>448160</v>
      </c>
      <c r="D4" s="35">
        <v>146935.79999999999</v>
      </c>
    </row>
    <row r="5" spans="2:7" x14ac:dyDescent="0.2">
      <c r="B5" s="1" t="s">
        <v>102</v>
      </c>
      <c r="C5" s="28">
        <v>87800</v>
      </c>
      <c r="D5" s="28">
        <v>50400</v>
      </c>
    </row>
    <row r="7" spans="2:7" x14ac:dyDescent="0.2">
      <c r="B7" s="42" t="s">
        <v>100</v>
      </c>
      <c r="C7" s="43"/>
    </row>
    <row r="8" spans="2:7" x14ac:dyDescent="0.2">
      <c r="B8" s="28" t="s">
        <v>156</v>
      </c>
      <c r="C8" s="28">
        <v>8500</v>
      </c>
    </row>
    <row r="9" spans="2:7" x14ac:dyDescent="0.2">
      <c r="B9" s="28" t="s">
        <v>157</v>
      </c>
      <c r="C9" s="28">
        <v>5200</v>
      </c>
    </row>
    <row r="10" spans="2:7" x14ac:dyDescent="0.2">
      <c r="B10" s="28" t="s">
        <v>158</v>
      </c>
      <c r="C10" s="28">
        <v>4720</v>
      </c>
    </row>
    <row r="11" spans="2:7" x14ac:dyDescent="0.2">
      <c r="B11" s="28" t="s">
        <v>159</v>
      </c>
      <c r="C11" s="28">
        <v>7300</v>
      </c>
    </row>
    <row r="12" spans="2:7" x14ac:dyDescent="0.2">
      <c r="B12" s="28" t="s">
        <v>160</v>
      </c>
      <c r="C12" s="28">
        <v>6600</v>
      </c>
    </row>
    <row r="13" spans="2:7" x14ac:dyDescent="0.2">
      <c r="B13" s="1" t="s">
        <v>91</v>
      </c>
      <c r="C13" s="28">
        <f>SUM(C8:C12)</f>
        <v>32320</v>
      </c>
    </row>
    <row r="15" spans="2:7" x14ac:dyDescent="0.2">
      <c r="B15" s="9"/>
      <c r="C15" s="5" t="s">
        <v>161</v>
      </c>
      <c r="D15" s="5" t="s">
        <v>162</v>
      </c>
      <c r="E15" s="5" t="s">
        <v>163</v>
      </c>
      <c r="F15" s="5" t="s">
        <v>164</v>
      </c>
      <c r="G15" s="5" t="s">
        <v>91</v>
      </c>
    </row>
    <row r="16" spans="2:7" x14ac:dyDescent="0.2">
      <c r="B16" s="28" t="s">
        <v>119</v>
      </c>
      <c r="C16" s="35">
        <v>1100</v>
      </c>
      <c r="D16" s="35">
        <v>955</v>
      </c>
      <c r="E16" s="35">
        <v>170</v>
      </c>
      <c r="F16" s="35">
        <v>275</v>
      </c>
      <c r="G16" s="35">
        <f>SUM(C16:F16)</f>
        <v>2500</v>
      </c>
    </row>
    <row r="17" spans="2:7" x14ac:dyDescent="0.2">
      <c r="B17" s="28" t="s">
        <v>165</v>
      </c>
      <c r="C17" s="35">
        <v>17000</v>
      </c>
      <c r="D17" s="35">
        <v>14280</v>
      </c>
      <c r="E17" s="35">
        <v>1700</v>
      </c>
      <c r="F17" s="35">
        <v>1020</v>
      </c>
      <c r="G17" s="35">
        <f t="shared" ref="G17:G18" si="0">SUM(C17:F17)</f>
        <v>34000</v>
      </c>
    </row>
    <row r="18" spans="2:7" x14ac:dyDescent="0.2">
      <c r="B18" s="28" t="s">
        <v>166</v>
      </c>
      <c r="C18" s="35">
        <v>24000</v>
      </c>
      <c r="D18" s="35">
        <v>12000</v>
      </c>
      <c r="E18" s="35">
        <v>2000</v>
      </c>
      <c r="F18" s="35">
        <v>2000</v>
      </c>
      <c r="G18" s="35">
        <f t="shared" si="0"/>
        <v>40000</v>
      </c>
    </row>
    <row r="20" spans="2:7" x14ac:dyDescent="0.2">
      <c r="B20" s="1" t="s">
        <v>167</v>
      </c>
      <c r="C20" s="28">
        <f>C17/$G$17</f>
        <v>0.5</v>
      </c>
      <c r="D20" s="28">
        <f t="shared" ref="D20:F20" si="1">D17/$G$17</f>
        <v>0.42</v>
      </c>
      <c r="E20" s="28">
        <f t="shared" si="1"/>
        <v>0.05</v>
      </c>
      <c r="F20" s="28">
        <f t="shared" si="1"/>
        <v>0.03</v>
      </c>
    </row>
    <row r="21" spans="2:7" x14ac:dyDescent="0.2">
      <c r="B21" s="1" t="s">
        <v>168</v>
      </c>
      <c r="C21" s="28">
        <f>C18/$G$18</f>
        <v>0.6</v>
      </c>
      <c r="D21" s="28">
        <f t="shared" ref="D21:F21" si="2">D18/$G$18</f>
        <v>0.3</v>
      </c>
      <c r="E21" s="28">
        <f t="shared" si="2"/>
        <v>0.05</v>
      </c>
      <c r="F21" s="28">
        <f t="shared" si="2"/>
        <v>0.05</v>
      </c>
    </row>
    <row r="22" spans="2:7" x14ac:dyDescent="0.2">
      <c r="B22" s="14"/>
      <c r="C22" s="44"/>
      <c r="D22" s="44"/>
      <c r="E22" s="44"/>
      <c r="F22" s="44"/>
    </row>
    <row r="23" spans="2:7" x14ac:dyDescent="0.2">
      <c r="B23" s="1" t="s">
        <v>169</v>
      </c>
      <c r="C23" s="28">
        <f>C4/SUM(C4:D4)</f>
        <v>0.75308883040344088</v>
      </c>
      <c r="D23" s="28">
        <f>D4/SUM(C4:D4)</f>
        <v>0.24691116959655904</v>
      </c>
    </row>
    <row r="24" spans="2:7" x14ac:dyDescent="0.2">
      <c r="B24" s="1" t="s">
        <v>170</v>
      </c>
      <c r="C24" s="28">
        <f>C5/SUM(C5:D5)</f>
        <v>0.63531114327062232</v>
      </c>
      <c r="D24" s="28">
        <f>D5/SUM(C5:D5)</f>
        <v>0.36468885672937773</v>
      </c>
    </row>
    <row r="25" spans="2:7" x14ac:dyDescent="0.2">
      <c r="B25" s="14"/>
      <c r="C25" s="44"/>
      <c r="D25" s="44"/>
    </row>
    <row r="26" spans="2:7" x14ac:dyDescent="0.2">
      <c r="B26" s="9" t="s">
        <v>171</v>
      </c>
      <c r="C26" s="9" t="s">
        <v>153</v>
      </c>
    </row>
    <row r="27" spans="2:7" x14ac:dyDescent="0.2">
      <c r="B27" s="28" t="s">
        <v>161</v>
      </c>
      <c r="C27" s="28">
        <v>12</v>
      </c>
    </row>
    <row r="28" spans="2:7" x14ac:dyDescent="0.2">
      <c r="B28" s="28" t="s">
        <v>172</v>
      </c>
      <c r="C28" s="28">
        <v>12</v>
      </c>
    </row>
    <row r="29" spans="2:7" x14ac:dyDescent="0.2">
      <c r="B29" s="28" t="s">
        <v>163</v>
      </c>
      <c r="C29" s="28">
        <v>6</v>
      </c>
    </row>
    <row r="31" spans="2:7" x14ac:dyDescent="0.2">
      <c r="B31" s="45" t="s">
        <v>171</v>
      </c>
      <c r="C31" s="45" t="s">
        <v>153</v>
      </c>
      <c r="D31" s="45" t="s">
        <v>149</v>
      </c>
    </row>
    <row r="32" spans="2:7" x14ac:dyDescent="0.2">
      <c r="B32" s="35" t="s">
        <v>161</v>
      </c>
      <c r="C32" s="35">
        <v>12</v>
      </c>
      <c r="D32" s="28">
        <f>+C32/$C$35</f>
        <v>0.4</v>
      </c>
    </row>
    <row r="33" spans="2:7" x14ac:dyDescent="0.2">
      <c r="B33" s="35" t="s">
        <v>172</v>
      </c>
      <c r="C33" s="35">
        <v>12</v>
      </c>
      <c r="D33" s="28">
        <f>+C33/$C$35</f>
        <v>0.4</v>
      </c>
    </row>
    <row r="34" spans="2:7" x14ac:dyDescent="0.2">
      <c r="B34" s="35" t="s">
        <v>163</v>
      </c>
      <c r="C34" s="35">
        <v>6</v>
      </c>
      <c r="D34" s="28">
        <f>+C34/$C$35</f>
        <v>0.2</v>
      </c>
    </row>
    <row r="35" spans="2:7" x14ac:dyDescent="0.2">
      <c r="B35" s="9" t="s">
        <v>91</v>
      </c>
      <c r="C35" s="46">
        <f>SUM(C32:C34)</f>
        <v>30</v>
      </c>
    </row>
    <row r="38" spans="2:7" x14ac:dyDescent="0.2">
      <c r="B38" s="9" t="s">
        <v>173</v>
      </c>
      <c r="C38" s="5" t="s">
        <v>174</v>
      </c>
      <c r="D38" s="5" t="s">
        <v>175</v>
      </c>
      <c r="E38" s="5" t="s">
        <v>138</v>
      </c>
      <c r="F38" s="5" t="s">
        <v>176</v>
      </c>
      <c r="G38" s="5" t="s">
        <v>91</v>
      </c>
    </row>
    <row r="39" spans="2:7" x14ac:dyDescent="0.2">
      <c r="B39" s="1" t="s">
        <v>99</v>
      </c>
      <c r="C39" s="1">
        <f>(C16/$G$16)*$C$8</f>
        <v>3740</v>
      </c>
      <c r="D39" s="1">
        <f>(D16/$G$16)*$C$8</f>
        <v>3247</v>
      </c>
      <c r="E39" s="1">
        <f>(E16/$G$16)*$C$8</f>
        <v>578</v>
      </c>
      <c r="F39" s="1">
        <f>(F16/$G$16)*$C$8</f>
        <v>935</v>
      </c>
      <c r="G39" s="28">
        <f>SUM(C39:F39)</f>
        <v>8500</v>
      </c>
    </row>
    <row r="40" spans="2:7" x14ac:dyDescent="0.2">
      <c r="B40" s="28" t="s">
        <v>157</v>
      </c>
      <c r="C40" s="28">
        <f>$C$9*C21</f>
        <v>3120</v>
      </c>
      <c r="D40" s="28">
        <f>$C$9*D21</f>
        <v>1560</v>
      </c>
      <c r="E40" s="28">
        <f>$C$9*E21</f>
        <v>260</v>
      </c>
      <c r="F40" s="28">
        <f>$C$9*F21</f>
        <v>260</v>
      </c>
      <c r="G40" s="28">
        <f t="shared" ref="G40:G43" si="3">SUM(C40:F40)</f>
        <v>5200</v>
      </c>
    </row>
    <row r="41" spans="2:7" x14ac:dyDescent="0.2">
      <c r="B41" s="28" t="s">
        <v>158</v>
      </c>
      <c r="C41" s="28">
        <f>$C$10*C21</f>
        <v>2832</v>
      </c>
      <c r="D41" s="28">
        <f>$C$10*D21</f>
        <v>1416</v>
      </c>
      <c r="E41" s="28">
        <f>$C$10*E21</f>
        <v>236</v>
      </c>
      <c r="F41" s="28">
        <f>$C$10*F21</f>
        <v>236</v>
      </c>
      <c r="G41" s="28">
        <f t="shared" si="3"/>
        <v>4720</v>
      </c>
    </row>
    <row r="42" spans="2:7" x14ac:dyDescent="0.2">
      <c r="B42" s="28" t="s">
        <v>159</v>
      </c>
      <c r="C42" s="28">
        <f>$C$11*C20</f>
        <v>3650</v>
      </c>
      <c r="D42" s="28">
        <f t="shared" ref="D42:F42" si="4">$C$11*D20</f>
        <v>3066</v>
      </c>
      <c r="E42" s="28">
        <f t="shared" si="4"/>
        <v>365</v>
      </c>
      <c r="F42" s="28">
        <f t="shared" si="4"/>
        <v>219</v>
      </c>
      <c r="G42" s="28">
        <f t="shared" si="3"/>
        <v>7300</v>
      </c>
    </row>
    <row r="43" spans="2:7" x14ac:dyDescent="0.2">
      <c r="B43" s="28" t="s">
        <v>160</v>
      </c>
      <c r="C43" s="28">
        <f>$C$12*C21</f>
        <v>3960</v>
      </c>
      <c r="D43" s="28">
        <f>$C$12*D21</f>
        <v>1980</v>
      </c>
      <c r="E43" s="28">
        <f>$C$12*E21</f>
        <v>330</v>
      </c>
      <c r="F43" s="28">
        <f>$C$12*F21</f>
        <v>330</v>
      </c>
      <c r="G43" s="28">
        <f t="shared" si="3"/>
        <v>6600</v>
      </c>
    </row>
    <row r="44" spans="2:7" x14ac:dyDescent="0.2">
      <c r="B44" s="1" t="s">
        <v>91</v>
      </c>
      <c r="C44" s="28">
        <f>SUM(C39:C43)</f>
        <v>17302</v>
      </c>
      <c r="D44" s="28">
        <f t="shared" ref="D44:G44" si="5">SUM(D39:D43)</f>
        <v>11269</v>
      </c>
      <c r="E44" s="28">
        <f t="shared" si="5"/>
        <v>1769</v>
      </c>
      <c r="F44" s="28">
        <f t="shared" si="5"/>
        <v>1980</v>
      </c>
      <c r="G44" s="28">
        <f t="shared" si="5"/>
        <v>32320</v>
      </c>
    </row>
    <row r="45" spans="2:7" x14ac:dyDescent="0.2">
      <c r="B45" s="1" t="s">
        <v>177</v>
      </c>
      <c r="C45" s="28">
        <f>F44*D32</f>
        <v>792</v>
      </c>
      <c r="D45" s="28">
        <f>F44*D33</f>
        <v>792</v>
      </c>
      <c r="E45" s="28">
        <f>F44*D34</f>
        <v>396</v>
      </c>
      <c r="F45" s="28">
        <f>-SUM(C45:E45)</f>
        <v>-1980</v>
      </c>
      <c r="G45" s="28">
        <f>SUM(C45:F45)</f>
        <v>0</v>
      </c>
    </row>
    <row r="46" spans="2:7" x14ac:dyDescent="0.2">
      <c r="B46" s="28" t="s">
        <v>178</v>
      </c>
      <c r="C46" s="28">
        <f>+C45+C44</f>
        <v>18094</v>
      </c>
      <c r="D46" s="28">
        <f t="shared" ref="D46:G46" si="6">+D45+D44</f>
        <v>12061</v>
      </c>
      <c r="E46" s="28">
        <f t="shared" si="6"/>
        <v>2165</v>
      </c>
      <c r="F46" s="28">
        <f t="shared" si="6"/>
        <v>0</v>
      </c>
      <c r="G46" s="28">
        <f t="shared" si="6"/>
        <v>32320</v>
      </c>
    </row>
    <row r="47" spans="2:7" x14ac:dyDescent="0.2">
      <c r="B47" s="1" t="s">
        <v>179</v>
      </c>
      <c r="C47" s="28">
        <f>+E46-D47</f>
        <v>1732</v>
      </c>
      <c r="D47" s="28">
        <f>E46/5</f>
        <v>433</v>
      </c>
      <c r="E47" s="28">
        <f>-SUM(C47:D47)</f>
        <v>-2165</v>
      </c>
      <c r="F47" s="28">
        <v>0</v>
      </c>
      <c r="G47" s="28">
        <f>SUM(C47:F47)</f>
        <v>0</v>
      </c>
    </row>
    <row r="48" spans="2:7" x14ac:dyDescent="0.2">
      <c r="B48" s="28" t="s">
        <v>145</v>
      </c>
      <c r="C48" s="28">
        <f>+C47+C46</f>
        <v>19826</v>
      </c>
      <c r="D48" s="28">
        <f t="shared" ref="D48:G48" si="7">+D47+D46</f>
        <v>12494</v>
      </c>
      <c r="E48" s="28">
        <f t="shared" si="7"/>
        <v>0</v>
      </c>
      <c r="F48" s="28">
        <f t="shared" si="7"/>
        <v>0</v>
      </c>
      <c r="G48" s="28">
        <f t="shared" si="7"/>
        <v>32320</v>
      </c>
    </row>
    <row r="51" spans="2:7" x14ac:dyDescent="0.2">
      <c r="B51" s="42" t="s">
        <v>180</v>
      </c>
      <c r="C51" s="47"/>
      <c r="D51" s="47"/>
      <c r="E51" s="47"/>
      <c r="F51" s="47"/>
      <c r="G51" s="43"/>
    </row>
    <row r="52" spans="2:7" x14ac:dyDescent="0.2">
      <c r="B52" s="28" t="s">
        <v>154</v>
      </c>
      <c r="C52" s="28">
        <f>C48*C23</f>
        <v>14930.739151578618</v>
      </c>
      <c r="D52" s="28">
        <f>D48*C23</f>
        <v>9409.0918470605902</v>
      </c>
      <c r="E52" s="28"/>
      <c r="F52" s="28"/>
      <c r="G52" s="28">
        <f>SUM(C52:F52)</f>
        <v>24339.830998639209</v>
      </c>
    </row>
    <row r="53" spans="2:7" x14ac:dyDescent="0.2">
      <c r="B53" s="28" t="s">
        <v>155</v>
      </c>
      <c r="C53" s="28">
        <f>C48*D23</f>
        <v>4895.2608484213797</v>
      </c>
      <c r="D53" s="28">
        <f>D48*D23</f>
        <v>3084.9081529394084</v>
      </c>
      <c r="E53" s="28"/>
      <c r="F53" s="28"/>
      <c r="G53" s="28">
        <f>SUM(C53:F53)</f>
        <v>7980.1690013607877</v>
      </c>
    </row>
    <row r="54" spans="2:7" x14ac:dyDescent="0.2">
      <c r="B54" s="28" t="s">
        <v>181</v>
      </c>
      <c r="C54" s="28">
        <f>+C53+C52</f>
        <v>19826</v>
      </c>
      <c r="D54" s="28">
        <f>+D53+D52</f>
        <v>12493.999999999998</v>
      </c>
      <c r="E54" s="28"/>
      <c r="F54" s="28"/>
      <c r="G54" s="28">
        <f>+G53+G52</f>
        <v>32319.999999999996</v>
      </c>
    </row>
    <row r="56" spans="2:7" x14ac:dyDescent="0.2">
      <c r="C56" s="7" t="s">
        <v>154</v>
      </c>
      <c r="D56" s="7" t="s">
        <v>155</v>
      </c>
      <c r="E56" s="7" t="s">
        <v>91</v>
      </c>
    </row>
    <row r="57" spans="2:7" x14ac:dyDescent="0.2">
      <c r="B57" s="1" t="s">
        <v>127</v>
      </c>
      <c r="C57" s="29">
        <f>C5</f>
        <v>87800</v>
      </c>
      <c r="D57" s="29">
        <f>D5</f>
        <v>50400</v>
      </c>
      <c r="E57" s="29">
        <f>SUM(C57:D57)</f>
        <v>138200</v>
      </c>
    </row>
    <row r="58" spans="2:7" x14ac:dyDescent="0.2">
      <c r="B58" s="1" t="s">
        <v>100</v>
      </c>
      <c r="C58" s="28">
        <f>G52</f>
        <v>24339.830998639209</v>
      </c>
      <c r="D58" s="28">
        <f>G53</f>
        <v>7980.1690013607877</v>
      </c>
      <c r="E58" s="29">
        <f>SUM(C58:D58)</f>
        <v>32319.999999999996</v>
      </c>
    </row>
    <row r="59" spans="2:7" x14ac:dyDescent="0.2">
      <c r="B59" s="1" t="s">
        <v>95</v>
      </c>
      <c r="C59" s="28">
        <f>SUM(C57:C58)</f>
        <v>112139.83099863921</v>
      </c>
      <c r="D59" s="28">
        <f>SUM(D57:D58)</f>
        <v>58380.169001360788</v>
      </c>
      <c r="E59" s="28">
        <f>SUM(E57:E58)</f>
        <v>170520</v>
      </c>
    </row>
    <row r="60" spans="2:7" x14ac:dyDescent="0.2">
      <c r="B60" s="1" t="s">
        <v>94</v>
      </c>
      <c r="C60" s="28">
        <f>C59/C4</f>
        <v>0.25022275749428602</v>
      </c>
      <c r="D60" s="28">
        <f>D59/D4</f>
        <v>0.39731752916144869</v>
      </c>
    </row>
    <row r="63" spans="2:7" x14ac:dyDescent="0.2">
      <c r="B63" s="42" t="s">
        <v>182</v>
      </c>
      <c r="C63" s="47"/>
      <c r="D63" s="47"/>
      <c r="E63" s="47"/>
      <c r="F63" s="47"/>
      <c r="G63" s="43"/>
    </row>
    <row r="64" spans="2:7" x14ac:dyDescent="0.2">
      <c r="B64" s="28" t="s">
        <v>154</v>
      </c>
      <c r="C64" s="28">
        <f>C48*C24</f>
        <v>12595.678726483358</v>
      </c>
      <c r="D64" s="28">
        <f>D48*C24</f>
        <v>7937.5774240231549</v>
      </c>
      <c r="E64" s="28"/>
      <c r="F64" s="28"/>
      <c r="G64" s="28">
        <f>SUM(C64:F64)</f>
        <v>20533.256150506513</v>
      </c>
    </row>
    <row r="65" spans="2:7" x14ac:dyDescent="0.2">
      <c r="B65" s="28" t="s">
        <v>155</v>
      </c>
      <c r="C65" s="28">
        <f>C48*D24</f>
        <v>7230.3212735166426</v>
      </c>
      <c r="D65" s="28">
        <f>D48*D24</f>
        <v>4556.4225759768451</v>
      </c>
      <c r="E65" s="28"/>
      <c r="F65" s="28"/>
      <c r="G65" s="28">
        <f>SUM(C65:F65)</f>
        <v>11786.743849493487</v>
      </c>
    </row>
    <row r="66" spans="2:7" x14ac:dyDescent="0.2">
      <c r="B66" s="28" t="s">
        <v>181</v>
      </c>
      <c r="C66" s="28">
        <f>+C65+C64</f>
        <v>19826</v>
      </c>
      <c r="D66" s="28">
        <f>+D65+D64</f>
        <v>12494</v>
      </c>
      <c r="E66" s="28"/>
      <c r="F66" s="28"/>
      <c r="G66" s="28">
        <f>+G65+G64</f>
        <v>32320</v>
      </c>
    </row>
    <row r="68" spans="2:7" x14ac:dyDescent="0.2">
      <c r="C68" s="7" t="s">
        <v>154</v>
      </c>
      <c r="D68" s="7" t="s">
        <v>155</v>
      </c>
      <c r="E68" s="7" t="s">
        <v>91</v>
      </c>
    </row>
    <row r="69" spans="2:7" x14ac:dyDescent="0.2">
      <c r="B69" s="1" t="s">
        <v>127</v>
      </c>
      <c r="C69" s="29">
        <f>C5</f>
        <v>87800</v>
      </c>
      <c r="D69" s="29">
        <f>D5</f>
        <v>50400</v>
      </c>
      <c r="E69" s="29">
        <f>SUM(C69:D69)</f>
        <v>138200</v>
      </c>
    </row>
    <row r="70" spans="2:7" x14ac:dyDescent="0.2">
      <c r="B70" s="1" t="s">
        <v>100</v>
      </c>
      <c r="C70" s="28">
        <f>G64</f>
        <v>20533.256150506513</v>
      </c>
      <c r="D70" s="28">
        <f>G65</f>
        <v>11786.743849493487</v>
      </c>
      <c r="E70" s="29">
        <f>SUM(C70:D70)</f>
        <v>32320</v>
      </c>
    </row>
    <row r="71" spans="2:7" x14ac:dyDescent="0.2">
      <c r="B71" s="1" t="s">
        <v>95</v>
      </c>
      <c r="C71" s="28">
        <f>SUM(C69:C70)</f>
        <v>108333.25615050651</v>
      </c>
      <c r="D71" s="28">
        <f>SUM(D69:D70)</f>
        <v>62186.74384949349</v>
      </c>
      <c r="E71" s="28">
        <f>SUM(E69:E70)</f>
        <v>170520</v>
      </c>
    </row>
    <row r="72" spans="2:7" x14ac:dyDescent="0.2">
      <c r="B72" s="1" t="s">
        <v>94</v>
      </c>
      <c r="C72" s="28">
        <f>C71/C4</f>
        <v>0.24172897213161931</v>
      </c>
      <c r="D72" s="28">
        <f>D71/D4</f>
        <v>0.42322391037101575</v>
      </c>
    </row>
  </sheetData>
  <mergeCells count="3">
    <mergeCell ref="B7:C7"/>
    <mergeCell ref="B51:G51"/>
    <mergeCell ref="B63:G63"/>
  </mergeCells>
  <pageMargins left="0.75" right="0.75" top="1" bottom="1" header="0.5" footer="0.5"/>
  <pageSetup paperSize="9" scale="76" orientation="portrait" horizontalDpi="4294967292" verticalDpi="4294967292"/>
  <rowBreaks count="1" manualBreakCount="1">
    <brk id="4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abs1</vt:lpstr>
      <vt:lpstr>abs2</vt:lpstr>
      <vt:lpstr>depart1</vt:lpstr>
      <vt:lpstr>depart2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2017-08-16T22:08:16Z</dcterms:created>
  <dcterms:modified xsi:type="dcterms:W3CDTF">2017-08-16T22:11:26Z</dcterms:modified>
</cp:coreProperties>
</file>