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700" activeTab="0"/>
  </bookViews>
  <sheets>
    <sheet name="Q1 - A" sheetId="1" r:id="rId1"/>
    <sheet name="Q1 - B" sheetId="2" r:id="rId2"/>
    <sheet name="Q2 - A" sheetId="3" r:id="rId3"/>
    <sheet name="Q2 - B" sheetId="4" r:id="rId4"/>
    <sheet name="Q3 - A" sheetId="5" r:id="rId5"/>
    <sheet name="Q3 - B" sheetId="6" r:id="rId6"/>
    <sheet name="Q4 - A" sheetId="7" r:id="rId7"/>
    <sheet name="Q4 - B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<sst xmlns="http://schemas.openxmlformats.org/spreadsheetml/2006/main" count="352" uniqueCount="105">
  <si>
    <t>TOTAL</t>
  </si>
  <si>
    <t>Custo da MOD</t>
  </si>
  <si>
    <t>Compras de MP</t>
  </si>
  <si>
    <t>Custo da MOI</t>
  </si>
  <si>
    <t>Receita de venda do período</t>
  </si>
  <si>
    <t>Manutenção - equip fábrica</t>
  </si>
  <si>
    <t>Gastos com propaganda</t>
  </si>
  <si>
    <t>Seguro - equipamentos fábrica</t>
  </si>
  <si>
    <t>Salários dos vendedores</t>
  </si>
  <si>
    <t>Aluguel da fábrica</t>
  </si>
  <si>
    <t>Materiais de consumo - fábrica</t>
  </si>
  <si>
    <t>Depreciação - equip escritório</t>
  </si>
  <si>
    <t>Depreciação - equip fábrica</t>
  </si>
  <si>
    <t>ESTOQUES ($)</t>
  </si>
  <si>
    <t>Início do ano</t>
  </si>
  <si>
    <t>Final do ano</t>
  </si>
  <si>
    <t>Matéria-prima</t>
  </si>
  <si>
    <t>Produtos em elaboração</t>
  </si>
  <si>
    <t>Produtos acabados</t>
  </si>
  <si>
    <t>CUSTO DE PRODUÇÃO DO PERÍODO</t>
  </si>
  <si>
    <t>estoque inicial de MP</t>
  </si>
  <si>
    <t>estoque final de MP</t>
  </si>
  <si>
    <t>CUSTO DA MP UTILIZADA</t>
  </si>
  <si>
    <t>DRE</t>
  </si>
  <si>
    <t>(-) cpv</t>
  </si>
  <si>
    <t>(=) LUCRO BRUTO</t>
  </si>
  <si>
    <t>CUSTO DA PRODUÇÃO DO PERÍODO</t>
  </si>
  <si>
    <t>Estoque inicial de produtos em elaboração</t>
  </si>
  <si>
    <t>Estoque final de produtos em elaboração</t>
  </si>
  <si>
    <t>CUSTO DA PRODUÇÃO ACABADA NO PERÍODO</t>
  </si>
  <si>
    <t>Estoque inicial de produtos acabados</t>
  </si>
  <si>
    <t>Estoque final de produtos acabados</t>
  </si>
  <si>
    <t>CPV</t>
  </si>
  <si>
    <t>(=) LAIR</t>
  </si>
  <si>
    <t>Quantidade de madeira (m3)</t>
  </si>
  <si>
    <t>Custo da madeira ($/m3)</t>
  </si>
  <si>
    <t>ICMS recuperável</t>
  </si>
  <si>
    <t>Frete pago</t>
  </si>
  <si>
    <t>m3 de madeira utilizadas na produção de mesas</t>
  </si>
  <si>
    <t>m3 de madeira utilizadas na produção de cadeiras</t>
  </si>
  <si>
    <t>Retalhos - subproduto</t>
  </si>
  <si>
    <t>Serragem - sucata</t>
  </si>
  <si>
    <t>Preço de venda do retalho ($/m3)</t>
  </si>
  <si>
    <t>CONTABILIZAÇÕES</t>
  </si>
  <si>
    <t>DÉBITOS</t>
  </si>
  <si>
    <t>CRÉDITOS</t>
  </si>
  <si>
    <t>Valor devido ao fornecedor</t>
  </si>
  <si>
    <t>Forcenedores a pagar (passivo)</t>
  </si>
  <si>
    <t>Custo do frete</t>
  </si>
  <si>
    <t>Disponibilidades (ativo)</t>
  </si>
  <si>
    <t>ICMS a recuperar</t>
  </si>
  <si>
    <t>ICMS a recuperar (ativo)</t>
  </si>
  <si>
    <t>subprodutos - retalhos</t>
  </si>
  <si>
    <t>Estoque de subprodutos (ativo)</t>
  </si>
  <si>
    <t>Estoque de mesas (ativo)</t>
  </si>
  <si>
    <t>Estoque de cadeiras (ativo)</t>
  </si>
  <si>
    <t>(-) IR</t>
  </si>
  <si>
    <t>IR/CSSL</t>
  </si>
  <si>
    <t>Taxa de ocupação</t>
  </si>
  <si>
    <t>diárias por ano</t>
  </si>
  <si>
    <t>PEF</t>
  </si>
  <si>
    <t>PEE</t>
  </si>
  <si>
    <t>PEC</t>
  </si>
  <si>
    <t>por ano</t>
  </si>
  <si>
    <t>Custo do capital investido</t>
  </si>
  <si>
    <t>Capital investido</t>
  </si>
  <si>
    <t>Depreciações</t>
  </si>
  <si>
    <t>CDF</t>
  </si>
  <si>
    <t>por diária</t>
  </si>
  <si>
    <t>MC BRUTA</t>
  </si>
  <si>
    <t>CDV</t>
  </si>
  <si>
    <t>Preço</t>
  </si>
  <si>
    <t>Capacidade</t>
  </si>
  <si>
    <t>nº de apartamentos</t>
  </si>
  <si>
    <t>por hora</t>
  </si>
  <si>
    <t>horas</t>
  </si>
  <si>
    <t>MOD</t>
  </si>
  <si>
    <t>por kg</t>
  </si>
  <si>
    <t>kg</t>
  </si>
  <si>
    <t>MP</t>
  </si>
  <si>
    <t>CUSTO</t>
  </si>
  <si>
    <t>PREÇO</t>
  </si>
  <si>
    <t>QUANT</t>
  </si>
  <si>
    <t>REALIZADO</t>
  </si>
  <si>
    <t>Cst MOD</t>
  </si>
  <si>
    <t>Cst MP</t>
  </si>
  <si>
    <t>Unidades</t>
  </si>
  <si>
    <t>PADRÃO</t>
  </si>
  <si>
    <t>Taxa de ocupação atual</t>
  </si>
  <si>
    <t>Vendas atuais</t>
  </si>
  <si>
    <t>Lucro operacional atual</t>
  </si>
  <si>
    <t>$ por ano</t>
  </si>
  <si>
    <t>Riqueza gerada</t>
  </si>
  <si>
    <t>Caixa gerado com a operação</t>
  </si>
  <si>
    <t>EFICIÊNCIA</t>
  </si>
  <si>
    <t>MISTA</t>
  </si>
  <si>
    <t>ANÁLISE DAS VARIAÇÕES ($/UNIDADE)</t>
  </si>
  <si>
    <t>DESFAV</t>
  </si>
  <si>
    <t>FAV</t>
  </si>
  <si>
    <t>VARIAÇÕES DE CUSTOS</t>
  </si>
  <si>
    <t>$/UNID</t>
  </si>
  <si>
    <t>$ TOT</t>
  </si>
  <si>
    <t>F/V</t>
  </si>
  <si>
    <t>ANÁLISE DAS VARIAÇÕES ($/1.000 UNIDADES)</t>
  </si>
  <si>
    <t>(=) LUCRO LÍQUIDO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</si>
</sst>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 vertical="center" wrapText="1"/>
    </xf>
    <xf numFmtId="3" fontId="33" fillId="33" borderId="0" xfId="0" applyNumberFormat="1" applyFont="1" applyFill="1" applyAlignment="1">
      <alignment horizontal="center" vertical="center" wrapText="1"/>
    </xf>
    <xf numFmtId="3" fontId="0" fillId="34" borderId="0" xfId="0" applyNumberFormat="1" applyFill="1" applyAlignment="1">
      <alignment horizontal="center" vertical="center" wrapText="1"/>
    </xf>
    <xf numFmtId="3" fontId="0" fillId="35" borderId="0" xfId="0" applyNumberFormat="1" applyFill="1" applyAlignment="1">
      <alignment horizontal="center" vertical="center" wrapText="1"/>
    </xf>
    <xf numFmtId="9" fontId="0" fillId="35" borderId="0" xfId="49" applyFont="1" applyFill="1" applyAlignment="1">
      <alignment horizontal="center" vertical="center" wrapText="1"/>
    </xf>
    <xf numFmtId="3" fontId="0" fillId="33" borderId="0" xfId="0" applyNumberFormat="1" applyFill="1" applyAlignment="1">
      <alignment horizontal="left" vertical="center" wrapText="1"/>
    </xf>
    <xf numFmtId="3" fontId="0" fillId="34" borderId="0" xfId="0" applyNumberFormat="1" applyFill="1" applyAlignment="1">
      <alignment horizontal="left" vertical="center" wrapText="1"/>
    </xf>
    <xf numFmtId="3" fontId="33" fillId="34" borderId="0" xfId="0" applyNumberFormat="1" applyFont="1" applyFill="1" applyAlignment="1">
      <alignment horizontal="center" vertical="center" wrapText="1"/>
    </xf>
    <xf numFmtId="3" fontId="0" fillId="34" borderId="0" xfId="0" applyNumberFormat="1" applyFill="1" applyAlignment="1">
      <alignment vertical="center" wrapText="1"/>
    </xf>
    <xf numFmtId="3" fontId="33" fillId="34" borderId="0" xfId="0" applyNumberFormat="1" applyFont="1" applyFill="1" applyAlignment="1">
      <alignment vertical="center" wrapText="1"/>
    </xf>
    <xf numFmtId="3" fontId="0" fillId="35" borderId="0" xfId="0" applyNumberFormat="1" applyFill="1" applyAlignment="1">
      <alignment horizontal="left" vertical="center" wrapText="1"/>
    </xf>
    <xf numFmtId="3" fontId="33" fillId="35" borderId="0" xfId="0" applyNumberFormat="1" applyFont="1" applyFill="1" applyAlignment="1">
      <alignment horizontal="center" vertical="center" wrapText="1"/>
    </xf>
    <xf numFmtId="3" fontId="33" fillId="34" borderId="0" xfId="0" applyNumberFormat="1" applyFont="1" applyFill="1" applyAlignment="1">
      <alignment horizontal="left" vertical="center" wrapText="1"/>
    </xf>
    <xf numFmtId="3" fontId="33" fillId="35" borderId="0" xfId="0" applyNumberFormat="1" applyFont="1" applyFill="1" applyAlignment="1">
      <alignment horizontal="left" vertical="center" wrapText="1"/>
    </xf>
    <xf numFmtId="3" fontId="0" fillId="35" borderId="0" xfId="0" applyNumberFormat="1" applyFont="1" applyFill="1" applyAlignment="1">
      <alignment horizontal="left" vertical="center" wrapText="1"/>
    </xf>
    <xf numFmtId="164" fontId="0" fillId="35" borderId="0" xfId="0" applyNumberFormat="1" applyFont="1" applyFill="1" applyAlignment="1">
      <alignment horizontal="center" vertical="center" wrapText="1"/>
    </xf>
    <xf numFmtId="3" fontId="0" fillId="36" borderId="0" xfId="0" applyNumberFormat="1" applyFill="1" applyAlignment="1">
      <alignment horizontal="center" vertical="center" wrapText="1"/>
    </xf>
    <xf numFmtId="9" fontId="0" fillId="36" borderId="0" xfId="49" applyFont="1" applyFill="1" applyAlignment="1">
      <alignment horizontal="center" vertical="center" wrapText="1"/>
    </xf>
    <xf numFmtId="3" fontId="33" fillId="34" borderId="0" xfId="0" applyNumberFormat="1" applyFont="1" applyFill="1" applyAlignment="1">
      <alignment horizontal="center" vertical="center" wrapText="1"/>
    </xf>
    <xf numFmtId="3" fontId="0" fillId="33" borderId="0" xfId="0" applyNumberFormat="1" applyFill="1" applyAlignment="1">
      <alignment horizontal="center"/>
    </xf>
    <xf numFmtId="3" fontId="0" fillId="37" borderId="0" xfId="0" applyNumberFormat="1" applyFill="1" applyAlignment="1">
      <alignment horizontal="center"/>
    </xf>
    <xf numFmtId="165" fontId="33" fillId="37" borderId="0" xfId="49" applyNumberFormat="1" applyFont="1" applyFill="1" applyAlignment="1">
      <alignment horizontal="center"/>
    </xf>
    <xf numFmtId="3" fontId="33" fillId="37" borderId="0" xfId="0" applyNumberFormat="1" applyFont="1" applyFill="1" applyAlignment="1">
      <alignment horizontal="center"/>
    </xf>
    <xf numFmtId="3" fontId="33" fillId="37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left"/>
    </xf>
    <xf numFmtId="4" fontId="33" fillId="38" borderId="0" xfId="0" applyNumberFormat="1" applyFont="1" applyFill="1" applyAlignment="1">
      <alignment horizontal="center"/>
    </xf>
    <xf numFmtId="3" fontId="33" fillId="38" borderId="0" xfId="0" applyNumberFormat="1" applyFont="1" applyFill="1" applyAlignment="1">
      <alignment horizontal="center"/>
    </xf>
    <xf numFmtId="4" fontId="0" fillId="37" borderId="0" xfId="0" applyNumberFormat="1" applyFill="1" applyAlignment="1">
      <alignment horizontal="center"/>
    </xf>
    <xf numFmtId="3" fontId="0" fillId="37" borderId="0" xfId="0" applyNumberFormat="1" applyFill="1" applyAlignment="1">
      <alignment horizontal="left"/>
    </xf>
    <xf numFmtId="164" fontId="0" fillId="37" borderId="0" xfId="0" applyNumberFormat="1" applyFill="1" applyAlignment="1">
      <alignment horizontal="right"/>
    </xf>
    <xf numFmtId="3" fontId="0" fillId="39" borderId="0" xfId="0" applyNumberFormat="1" applyFill="1" applyAlignment="1">
      <alignment horizontal="center"/>
    </xf>
    <xf numFmtId="3" fontId="33" fillId="38" borderId="0" xfId="0" applyNumberFormat="1" applyFont="1" applyFill="1" applyAlignment="1">
      <alignment horizontal="right"/>
    </xf>
    <xf numFmtId="4" fontId="33" fillId="38" borderId="0" xfId="0" applyNumberFormat="1" applyFont="1" applyFill="1" applyAlignment="1">
      <alignment horizontal="right"/>
    </xf>
    <xf numFmtId="4" fontId="0" fillId="37" borderId="0" xfId="0" applyNumberFormat="1" applyFill="1" applyAlignment="1">
      <alignment horizontal="right"/>
    </xf>
    <xf numFmtId="3" fontId="33" fillId="38" borderId="0" xfId="0" applyNumberFormat="1" applyFont="1" applyFill="1" applyAlignment="1">
      <alignment horizontal="left"/>
    </xf>
    <xf numFmtId="3" fontId="0" fillId="37" borderId="0" xfId="0" applyNumberFormat="1" applyFill="1" applyAlignment="1">
      <alignment horizontal="right"/>
    </xf>
    <xf numFmtId="4" fontId="33" fillId="37" borderId="0" xfId="0" applyNumberFormat="1" applyFont="1" applyFill="1" applyAlignment="1">
      <alignment horizontal="right"/>
    </xf>
    <xf numFmtId="3" fontId="33" fillId="37" borderId="0" xfId="0" applyNumberFormat="1" applyFont="1" applyFill="1" applyAlignment="1">
      <alignment horizontal="right"/>
    </xf>
    <xf numFmtId="3" fontId="33" fillId="33" borderId="0" xfId="0" applyNumberFormat="1" applyFont="1" applyFill="1" applyAlignment="1">
      <alignment horizontal="center"/>
    </xf>
    <xf numFmtId="4" fontId="33" fillId="33" borderId="0" xfId="0" applyNumberFormat="1" applyFont="1" applyFill="1" applyAlignment="1">
      <alignment horizontal="center"/>
    </xf>
    <xf numFmtId="164" fontId="0" fillId="39" borderId="0" xfId="0" applyNumberFormat="1" applyFill="1" applyAlignment="1">
      <alignment horizontal="right"/>
    </xf>
    <xf numFmtId="3" fontId="33" fillId="34" borderId="0" xfId="0" applyNumberFormat="1" applyFont="1" applyFill="1" applyAlignment="1">
      <alignment horizontal="center" vertical="center" wrapText="1"/>
    </xf>
    <xf numFmtId="3" fontId="33" fillId="38" borderId="0" xfId="0" applyNumberFormat="1" applyFont="1" applyFill="1" applyAlignment="1">
      <alignment horizontal="center"/>
    </xf>
    <xf numFmtId="3" fontId="33" fillId="37" borderId="0" xfId="0" applyNumberFormat="1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1"/>
  <sheetViews>
    <sheetView tabSelected="1" zoomScalePageLayoutView="0" workbookViewId="0" topLeftCell="A28">
      <selection activeCell="H45" sqref="H45"/>
    </sheetView>
  </sheetViews>
  <sheetFormatPr defaultColWidth="9.140625" defaultRowHeight="15"/>
  <cols>
    <col min="1" max="1" width="3.140625" style="1" customWidth="1"/>
    <col min="2" max="2" width="54.00390625" style="1" customWidth="1"/>
    <col min="3" max="4" width="16.7109375" style="1" customWidth="1"/>
    <col min="5" max="16384" width="9.140625" style="1" customWidth="1"/>
  </cols>
  <sheetData>
    <row r="2" spans="2:3" ht="15">
      <c r="B2" s="11" t="s">
        <v>1</v>
      </c>
      <c r="C2" s="4">
        <v>80000</v>
      </c>
    </row>
    <row r="3" spans="2:3" ht="15">
      <c r="B3" s="11" t="s">
        <v>2</v>
      </c>
      <c r="C3" s="4">
        <v>125000</v>
      </c>
    </row>
    <row r="4" spans="2:3" ht="15">
      <c r="B4" s="11" t="s">
        <v>3</v>
      </c>
      <c r="C4" s="4">
        <v>35000</v>
      </c>
    </row>
    <row r="5" spans="2:3" ht="15">
      <c r="B5" s="11" t="s">
        <v>4</v>
      </c>
      <c r="C5" s="4">
        <v>465000</v>
      </c>
    </row>
    <row r="6" spans="2:3" ht="15">
      <c r="B6" s="11" t="s">
        <v>5</v>
      </c>
      <c r="C6" s="4">
        <v>6000</v>
      </c>
    </row>
    <row r="7" spans="2:3" ht="15">
      <c r="B7" s="11" t="s">
        <v>6</v>
      </c>
      <c r="C7" s="4">
        <v>60000</v>
      </c>
    </row>
    <row r="8" spans="2:3" ht="15">
      <c r="B8" s="11" t="s">
        <v>7</v>
      </c>
      <c r="C8" s="4">
        <v>1200</v>
      </c>
    </row>
    <row r="9" spans="2:3" ht="15">
      <c r="B9" s="11" t="s">
        <v>8</v>
      </c>
      <c r="C9" s="4">
        <v>43700</v>
      </c>
    </row>
    <row r="10" spans="2:3" ht="15">
      <c r="B10" s="11" t="s">
        <v>9</v>
      </c>
      <c r="C10" s="4">
        <v>23000</v>
      </c>
    </row>
    <row r="11" spans="2:3" ht="15">
      <c r="B11" s="11" t="s">
        <v>10</v>
      </c>
      <c r="C11" s="4">
        <v>5000</v>
      </c>
    </row>
    <row r="12" spans="2:3" ht="15">
      <c r="B12" s="11" t="s">
        <v>11</v>
      </c>
      <c r="C12" s="4">
        <v>4350</v>
      </c>
    </row>
    <row r="13" spans="2:3" ht="15">
      <c r="B13" s="11" t="s">
        <v>12</v>
      </c>
      <c r="C13" s="4">
        <v>20000</v>
      </c>
    </row>
    <row r="14" spans="2:3" ht="15">
      <c r="B14" s="11" t="s">
        <v>57</v>
      </c>
      <c r="C14" s="5">
        <v>0.4</v>
      </c>
    </row>
    <row r="15" ht="15">
      <c r="B15" s="6"/>
    </row>
    <row r="16" spans="2:5" ht="15">
      <c r="B16" s="12" t="s">
        <v>13</v>
      </c>
      <c r="C16" s="12" t="s">
        <v>14</v>
      </c>
      <c r="D16" s="12" t="s">
        <v>15</v>
      </c>
      <c r="E16" s="2"/>
    </row>
    <row r="17" spans="2:4" ht="15">
      <c r="B17" s="11" t="s">
        <v>16</v>
      </c>
      <c r="C17" s="4">
        <v>80000</v>
      </c>
      <c r="D17" s="4">
        <v>25000</v>
      </c>
    </row>
    <row r="18" spans="2:4" ht="15">
      <c r="B18" s="11" t="s">
        <v>17</v>
      </c>
      <c r="C18" s="4">
        <v>15000</v>
      </c>
      <c r="D18" s="4">
        <v>6500</v>
      </c>
    </row>
    <row r="19" spans="2:4" ht="15">
      <c r="B19" s="11" t="s">
        <v>18</v>
      </c>
      <c r="C19" s="4">
        <v>25000</v>
      </c>
      <c r="D19" s="4">
        <v>44000</v>
      </c>
    </row>
    <row r="20" ht="15">
      <c r="B20" s="6"/>
    </row>
    <row r="21" spans="2:3" ht="15">
      <c r="B21" s="44" t="s">
        <v>19</v>
      </c>
      <c r="C21" s="44"/>
    </row>
    <row r="22" spans="2:3" ht="15">
      <c r="B22" s="7" t="s">
        <v>20</v>
      </c>
      <c r="C22" s="3">
        <f>+C17</f>
        <v>80000</v>
      </c>
    </row>
    <row r="23" spans="2:3" ht="15">
      <c r="B23" s="7" t="str">
        <f>+B3</f>
        <v>Compras de MP</v>
      </c>
      <c r="C23" s="3">
        <f>+C3</f>
        <v>125000</v>
      </c>
    </row>
    <row r="24" spans="2:3" ht="15">
      <c r="B24" s="7" t="s">
        <v>21</v>
      </c>
      <c r="C24" s="3">
        <f>-D17</f>
        <v>-25000</v>
      </c>
    </row>
    <row r="25" spans="2:3" ht="15">
      <c r="B25" s="13" t="s">
        <v>22</v>
      </c>
      <c r="C25" s="8">
        <f>SUM(C22:C24)</f>
        <v>180000</v>
      </c>
    </row>
    <row r="26" spans="2:3" ht="15">
      <c r="B26" s="7" t="str">
        <f>+B2</f>
        <v>Custo da MOD</v>
      </c>
      <c r="C26" s="3">
        <f>+C2</f>
        <v>80000</v>
      </c>
    </row>
    <row r="27" spans="2:3" ht="15">
      <c r="B27" s="7" t="str">
        <f>+B4</f>
        <v>Custo da MOI</v>
      </c>
      <c r="C27" s="3">
        <f>+C4</f>
        <v>35000</v>
      </c>
    </row>
    <row r="28" spans="2:3" ht="15">
      <c r="B28" s="7" t="str">
        <f>+B6</f>
        <v>Manutenção - equip fábrica</v>
      </c>
      <c r="C28" s="3">
        <f>+C6</f>
        <v>6000</v>
      </c>
    </row>
    <row r="29" spans="2:3" ht="15">
      <c r="B29" s="7" t="str">
        <f>+B8</f>
        <v>Seguro - equipamentos fábrica</v>
      </c>
      <c r="C29" s="3">
        <f>+C8</f>
        <v>1200</v>
      </c>
    </row>
    <row r="30" spans="2:3" ht="15">
      <c r="B30" s="7" t="str">
        <f>+B10</f>
        <v>Aluguel da fábrica</v>
      </c>
      <c r="C30" s="3">
        <f>+C10</f>
        <v>23000</v>
      </c>
    </row>
    <row r="31" spans="2:3" ht="15">
      <c r="B31" s="7" t="str">
        <f>+B11</f>
        <v>Materiais de consumo - fábrica</v>
      </c>
      <c r="C31" s="3">
        <f>+C11</f>
        <v>5000</v>
      </c>
    </row>
    <row r="32" spans="2:3" ht="15">
      <c r="B32" s="7" t="str">
        <f>+B13</f>
        <v>Depreciação - equip fábrica</v>
      </c>
      <c r="C32" s="3">
        <f>+C13</f>
        <v>20000</v>
      </c>
    </row>
    <row r="33" spans="2:3" ht="15">
      <c r="B33" s="13" t="s">
        <v>26</v>
      </c>
      <c r="C33" s="8">
        <f>SUM(C25:C32)</f>
        <v>350200</v>
      </c>
    </row>
    <row r="34" spans="2:3" ht="15">
      <c r="B34" s="7" t="s">
        <v>27</v>
      </c>
      <c r="C34" s="3">
        <f>+C18</f>
        <v>15000</v>
      </c>
    </row>
    <row r="35" spans="2:3" ht="15">
      <c r="B35" s="7" t="s">
        <v>28</v>
      </c>
      <c r="C35" s="3">
        <f>+-D18</f>
        <v>-6500</v>
      </c>
    </row>
    <row r="36" spans="2:3" ht="15">
      <c r="B36" s="13" t="s">
        <v>29</v>
      </c>
      <c r="C36" s="8">
        <f>SUM(C33:C35)</f>
        <v>358700</v>
      </c>
    </row>
    <row r="37" spans="2:3" ht="15">
      <c r="B37" s="7" t="s">
        <v>30</v>
      </c>
      <c r="C37" s="3">
        <f>+C19</f>
        <v>25000</v>
      </c>
    </row>
    <row r="38" spans="2:3" ht="15">
      <c r="B38" s="7" t="s">
        <v>31</v>
      </c>
      <c r="C38" s="3">
        <f>-D19</f>
        <v>-44000</v>
      </c>
    </row>
    <row r="39" spans="2:3" ht="15">
      <c r="B39" s="13" t="s">
        <v>32</v>
      </c>
      <c r="C39" s="8">
        <f>SUM(C36:C38)</f>
        <v>339700</v>
      </c>
    </row>
    <row r="40" ht="15">
      <c r="B40" s="6"/>
    </row>
    <row r="41" ht="15">
      <c r="B41" s="6"/>
    </row>
    <row r="42" spans="2:3" ht="15">
      <c r="B42" s="44" t="s">
        <v>23</v>
      </c>
      <c r="C42" s="44"/>
    </row>
    <row r="43" spans="2:3" ht="15">
      <c r="B43" s="7" t="str">
        <f>+B5</f>
        <v>Receita de venda do período</v>
      </c>
      <c r="C43" s="3">
        <f>+C5</f>
        <v>465000</v>
      </c>
    </row>
    <row r="44" spans="2:3" ht="15">
      <c r="B44" s="7" t="s">
        <v>24</v>
      </c>
      <c r="C44" s="3">
        <f>-C39</f>
        <v>-339700</v>
      </c>
    </row>
    <row r="45" spans="2:3" ht="15">
      <c r="B45" s="13" t="s">
        <v>25</v>
      </c>
      <c r="C45" s="8">
        <f>SUM(C43:C44)</f>
        <v>125300</v>
      </c>
    </row>
    <row r="46" spans="2:3" ht="15">
      <c r="B46" s="7" t="str">
        <f>+B7</f>
        <v>Gastos com propaganda</v>
      </c>
      <c r="C46" s="3">
        <f>-C7</f>
        <v>-60000</v>
      </c>
    </row>
    <row r="47" spans="2:3" ht="15">
      <c r="B47" s="7" t="str">
        <f>+B9</f>
        <v>Salários dos vendedores</v>
      </c>
      <c r="C47" s="3">
        <f>-C9</f>
        <v>-43700</v>
      </c>
    </row>
    <row r="48" spans="2:3" ht="15">
      <c r="B48" s="7" t="str">
        <f>+B12</f>
        <v>Depreciação - equip escritório</v>
      </c>
      <c r="C48" s="3">
        <f>+-C12</f>
        <v>-4350</v>
      </c>
    </row>
    <row r="49" spans="2:3" ht="15">
      <c r="B49" s="13" t="s">
        <v>33</v>
      </c>
      <c r="C49" s="8">
        <f>SUM(C45:C48)</f>
        <v>17250</v>
      </c>
    </row>
    <row r="50" spans="2:3" ht="15">
      <c r="B50" s="7" t="s">
        <v>56</v>
      </c>
      <c r="C50" s="3">
        <f>-C49*C14</f>
        <v>-6900</v>
      </c>
    </row>
    <row r="51" spans="2:3" ht="15">
      <c r="B51" s="13" t="s">
        <v>104</v>
      </c>
      <c r="C51" s="8">
        <f>+SUM(C49:C50)</f>
        <v>10350</v>
      </c>
    </row>
  </sheetData>
  <sheetProtection/>
  <mergeCells count="2">
    <mergeCell ref="B21:C21"/>
    <mergeCell ref="B42:C42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1"/>
  <sheetViews>
    <sheetView zoomScalePageLayoutView="0" workbookViewId="0" topLeftCell="A29">
      <selection activeCell="B51" sqref="B51"/>
    </sheetView>
  </sheetViews>
  <sheetFormatPr defaultColWidth="9.140625" defaultRowHeight="15"/>
  <cols>
    <col min="1" max="1" width="3.140625" style="1" customWidth="1"/>
    <col min="2" max="2" width="54.00390625" style="1" customWidth="1"/>
    <col min="3" max="4" width="16.7109375" style="1" customWidth="1"/>
    <col min="5" max="16384" width="9.140625" style="1" customWidth="1"/>
  </cols>
  <sheetData>
    <row r="2" spans="2:3" ht="15">
      <c r="B2" s="11" t="s">
        <v>1</v>
      </c>
      <c r="C2" s="4">
        <v>80000</v>
      </c>
    </row>
    <row r="3" spans="2:3" ht="15">
      <c r="B3" s="11" t="s">
        <v>2</v>
      </c>
      <c r="C3" s="17">
        <v>135000</v>
      </c>
    </row>
    <row r="4" spans="2:3" ht="15">
      <c r="B4" s="11" t="s">
        <v>3</v>
      </c>
      <c r="C4" s="4">
        <v>35000</v>
      </c>
    </row>
    <row r="5" spans="2:3" ht="15">
      <c r="B5" s="11" t="s">
        <v>4</v>
      </c>
      <c r="C5" s="17">
        <v>475000</v>
      </c>
    </row>
    <row r="6" spans="2:3" ht="15">
      <c r="B6" s="11" t="s">
        <v>5</v>
      </c>
      <c r="C6" s="4">
        <v>6000</v>
      </c>
    </row>
    <row r="7" spans="2:3" ht="15">
      <c r="B7" s="11" t="s">
        <v>6</v>
      </c>
      <c r="C7" s="4">
        <v>60000</v>
      </c>
    </row>
    <row r="8" spans="2:3" ht="15">
      <c r="B8" s="11" t="s">
        <v>7</v>
      </c>
      <c r="C8" s="17">
        <v>1300</v>
      </c>
    </row>
    <row r="9" spans="2:3" ht="15">
      <c r="B9" s="11" t="s">
        <v>8</v>
      </c>
      <c r="C9" s="4">
        <v>43700</v>
      </c>
    </row>
    <row r="10" spans="2:3" ht="15">
      <c r="B10" s="11" t="s">
        <v>9</v>
      </c>
      <c r="C10" s="4">
        <v>23000</v>
      </c>
    </row>
    <row r="11" spans="2:3" ht="15">
      <c r="B11" s="11" t="s">
        <v>10</v>
      </c>
      <c r="C11" s="4">
        <v>5000</v>
      </c>
    </row>
    <row r="12" spans="2:3" ht="15">
      <c r="B12" s="11" t="s">
        <v>11</v>
      </c>
      <c r="C12" s="17">
        <v>4530</v>
      </c>
    </row>
    <row r="13" spans="2:3" ht="15">
      <c r="B13" s="11" t="s">
        <v>12</v>
      </c>
      <c r="C13" s="4">
        <v>20000</v>
      </c>
    </row>
    <row r="14" spans="2:3" ht="15">
      <c r="B14" s="11" t="s">
        <v>57</v>
      </c>
      <c r="C14" s="18">
        <v>0.3</v>
      </c>
    </row>
    <row r="15" ht="15">
      <c r="B15" s="6"/>
    </row>
    <row r="16" spans="2:5" ht="15">
      <c r="B16" s="12" t="s">
        <v>13</v>
      </c>
      <c r="C16" s="12" t="s">
        <v>14</v>
      </c>
      <c r="D16" s="12" t="s">
        <v>15</v>
      </c>
      <c r="E16" s="2"/>
    </row>
    <row r="17" spans="2:4" ht="15">
      <c r="B17" s="11" t="s">
        <v>16</v>
      </c>
      <c r="C17" s="4">
        <v>80000</v>
      </c>
      <c r="D17" s="4">
        <v>25000</v>
      </c>
    </row>
    <row r="18" spans="2:4" ht="15">
      <c r="B18" s="11" t="s">
        <v>17</v>
      </c>
      <c r="C18" s="4">
        <v>15000</v>
      </c>
      <c r="D18" s="17">
        <v>5600</v>
      </c>
    </row>
    <row r="19" spans="2:4" ht="15">
      <c r="B19" s="11" t="s">
        <v>18</v>
      </c>
      <c r="C19" s="17">
        <v>35000</v>
      </c>
      <c r="D19" s="4">
        <v>44000</v>
      </c>
    </row>
    <row r="20" ht="15">
      <c r="B20" s="6"/>
    </row>
    <row r="21" spans="2:3" ht="15">
      <c r="B21" s="44" t="s">
        <v>19</v>
      </c>
      <c r="C21" s="44"/>
    </row>
    <row r="22" spans="2:3" ht="15">
      <c r="B22" s="7" t="s">
        <v>20</v>
      </c>
      <c r="C22" s="3">
        <f>+C17</f>
        <v>80000</v>
      </c>
    </row>
    <row r="23" spans="2:3" ht="15">
      <c r="B23" s="7" t="str">
        <f>+B3</f>
        <v>Compras de MP</v>
      </c>
      <c r="C23" s="3">
        <f>+C3</f>
        <v>135000</v>
      </c>
    </row>
    <row r="24" spans="2:3" ht="15">
      <c r="B24" s="7" t="s">
        <v>21</v>
      </c>
      <c r="C24" s="3">
        <f>-D17</f>
        <v>-25000</v>
      </c>
    </row>
    <row r="25" spans="2:3" ht="15">
      <c r="B25" s="13" t="s">
        <v>22</v>
      </c>
      <c r="C25" s="8">
        <f>SUM(C22:C24)</f>
        <v>190000</v>
      </c>
    </row>
    <row r="26" spans="2:3" ht="15">
      <c r="B26" s="7" t="str">
        <f>+B2</f>
        <v>Custo da MOD</v>
      </c>
      <c r="C26" s="3">
        <f>+C2</f>
        <v>80000</v>
      </c>
    </row>
    <row r="27" spans="2:3" ht="15">
      <c r="B27" s="7" t="str">
        <f>+B4</f>
        <v>Custo da MOI</v>
      </c>
      <c r="C27" s="3">
        <f>+C4</f>
        <v>35000</v>
      </c>
    </row>
    <row r="28" spans="2:3" ht="15">
      <c r="B28" s="7" t="str">
        <f>+B6</f>
        <v>Manutenção - equip fábrica</v>
      </c>
      <c r="C28" s="3">
        <f>+C6</f>
        <v>6000</v>
      </c>
    </row>
    <row r="29" spans="2:3" ht="15">
      <c r="B29" s="7" t="str">
        <f>+B8</f>
        <v>Seguro - equipamentos fábrica</v>
      </c>
      <c r="C29" s="3">
        <f>+C8</f>
        <v>1300</v>
      </c>
    </row>
    <row r="30" spans="2:3" ht="15">
      <c r="B30" s="7" t="str">
        <f>+B10</f>
        <v>Aluguel da fábrica</v>
      </c>
      <c r="C30" s="3">
        <f>+C10</f>
        <v>23000</v>
      </c>
    </row>
    <row r="31" spans="2:3" ht="15">
      <c r="B31" s="7" t="str">
        <f>+B11</f>
        <v>Materiais de consumo - fábrica</v>
      </c>
      <c r="C31" s="3">
        <f>+C11</f>
        <v>5000</v>
      </c>
    </row>
    <row r="32" spans="2:3" ht="15">
      <c r="B32" s="7" t="str">
        <f>+B13</f>
        <v>Depreciação - equip fábrica</v>
      </c>
      <c r="C32" s="3">
        <f>+C13</f>
        <v>20000</v>
      </c>
    </row>
    <row r="33" spans="2:3" ht="15">
      <c r="B33" s="13" t="s">
        <v>26</v>
      </c>
      <c r="C33" s="8">
        <f>SUM(C25:C32)</f>
        <v>360300</v>
      </c>
    </row>
    <row r="34" spans="2:3" ht="15">
      <c r="B34" s="7" t="s">
        <v>27</v>
      </c>
      <c r="C34" s="3">
        <f>+C18</f>
        <v>15000</v>
      </c>
    </row>
    <row r="35" spans="2:3" ht="15">
      <c r="B35" s="7" t="s">
        <v>28</v>
      </c>
      <c r="C35" s="3">
        <f>+-D18</f>
        <v>-5600</v>
      </c>
    </row>
    <row r="36" spans="2:3" ht="15">
      <c r="B36" s="13" t="s">
        <v>29</v>
      </c>
      <c r="C36" s="8">
        <f>SUM(C33:C35)</f>
        <v>369700</v>
      </c>
    </row>
    <row r="37" spans="2:3" ht="15">
      <c r="B37" s="7" t="s">
        <v>30</v>
      </c>
      <c r="C37" s="3">
        <f>+C19</f>
        <v>35000</v>
      </c>
    </row>
    <row r="38" spans="2:3" ht="15">
      <c r="B38" s="7" t="s">
        <v>31</v>
      </c>
      <c r="C38" s="3">
        <f>-D19</f>
        <v>-44000</v>
      </c>
    </row>
    <row r="39" spans="2:3" ht="15">
      <c r="B39" s="13" t="s">
        <v>32</v>
      </c>
      <c r="C39" s="8">
        <f>SUM(C36:C38)</f>
        <v>360700</v>
      </c>
    </row>
    <row r="40" ht="15">
      <c r="B40" s="6"/>
    </row>
    <row r="41" ht="15">
      <c r="B41" s="6"/>
    </row>
    <row r="42" spans="2:3" ht="15">
      <c r="B42" s="44" t="s">
        <v>23</v>
      </c>
      <c r="C42" s="44"/>
    </row>
    <row r="43" spans="2:3" ht="15">
      <c r="B43" s="7" t="str">
        <f>+B5</f>
        <v>Receita de venda do período</v>
      </c>
      <c r="C43" s="3">
        <f>+C5</f>
        <v>475000</v>
      </c>
    </row>
    <row r="44" spans="2:3" ht="15">
      <c r="B44" s="7" t="s">
        <v>24</v>
      </c>
      <c r="C44" s="3">
        <f>-C39</f>
        <v>-360700</v>
      </c>
    </row>
    <row r="45" spans="2:3" ht="15">
      <c r="B45" s="13" t="s">
        <v>25</v>
      </c>
      <c r="C45" s="8">
        <f>SUM(C43:C44)</f>
        <v>114300</v>
      </c>
    </row>
    <row r="46" spans="2:3" ht="15">
      <c r="B46" s="7" t="str">
        <f>+B7</f>
        <v>Gastos com propaganda</v>
      </c>
      <c r="C46" s="3">
        <f>-C7</f>
        <v>-60000</v>
      </c>
    </row>
    <row r="47" spans="2:3" ht="15">
      <c r="B47" s="7" t="str">
        <f>+B9</f>
        <v>Salários dos vendedores</v>
      </c>
      <c r="C47" s="3">
        <f>-C9</f>
        <v>-43700</v>
      </c>
    </row>
    <row r="48" spans="2:3" ht="15">
      <c r="B48" s="7" t="str">
        <f>+B12</f>
        <v>Depreciação - equip escritório</v>
      </c>
      <c r="C48" s="3">
        <f>-C12</f>
        <v>-4530</v>
      </c>
    </row>
    <row r="49" spans="2:3" ht="15">
      <c r="B49" s="13" t="s">
        <v>33</v>
      </c>
      <c r="C49" s="8">
        <f>SUM(C45:C48)</f>
        <v>6070</v>
      </c>
    </row>
    <row r="50" spans="2:3" ht="15">
      <c r="B50" s="7" t="s">
        <v>56</v>
      </c>
      <c r="C50" s="3">
        <f>-C49*C14</f>
        <v>-1821</v>
      </c>
    </row>
    <row r="51" spans="2:3" ht="15">
      <c r="B51" s="13" t="s">
        <v>104</v>
      </c>
      <c r="C51" s="19">
        <f>+SUM(C49:C50)</f>
        <v>4249</v>
      </c>
    </row>
  </sheetData>
  <sheetProtection/>
  <mergeCells count="2">
    <mergeCell ref="B21:C21"/>
    <mergeCell ref="B42:C4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3"/>
  <sheetViews>
    <sheetView zoomScalePageLayoutView="0" workbookViewId="0" topLeftCell="A10">
      <selection activeCell="C33" sqref="C33"/>
    </sheetView>
  </sheetViews>
  <sheetFormatPr defaultColWidth="9.140625" defaultRowHeight="15"/>
  <cols>
    <col min="1" max="1" width="3.140625" style="1" customWidth="1"/>
    <col min="2" max="2" width="49.57421875" style="1" customWidth="1"/>
    <col min="3" max="3" width="9.140625" style="1" customWidth="1"/>
    <col min="4" max="4" width="13.28125" style="1" customWidth="1"/>
    <col min="5" max="16384" width="9.140625" style="1" customWidth="1"/>
  </cols>
  <sheetData>
    <row r="2" spans="2:3" ht="15">
      <c r="B2" s="11" t="s">
        <v>34</v>
      </c>
      <c r="C2" s="4">
        <v>120</v>
      </c>
    </row>
    <row r="3" spans="2:3" ht="15">
      <c r="B3" s="11" t="s">
        <v>35</v>
      </c>
      <c r="C3" s="4">
        <v>80</v>
      </c>
    </row>
    <row r="4" spans="2:3" ht="15">
      <c r="B4" s="11" t="s">
        <v>36</v>
      </c>
      <c r="C4" s="5">
        <v>0.2</v>
      </c>
    </row>
    <row r="5" spans="2:3" ht="15">
      <c r="B5" s="11" t="s">
        <v>37</v>
      </c>
      <c r="C5" s="4">
        <v>1200</v>
      </c>
    </row>
    <row r="6" spans="2:3" ht="15">
      <c r="B6" s="11" t="s">
        <v>38</v>
      </c>
      <c r="C6" s="4">
        <v>70</v>
      </c>
    </row>
    <row r="7" spans="2:3" ht="15">
      <c r="B7" s="11" t="s">
        <v>39</v>
      </c>
      <c r="C7" s="4">
        <v>30</v>
      </c>
    </row>
    <row r="8" spans="2:3" ht="15">
      <c r="B8" s="11" t="s">
        <v>40</v>
      </c>
      <c r="C8" s="4">
        <v>15</v>
      </c>
    </row>
    <row r="9" spans="2:3" ht="15">
      <c r="B9" s="11" t="s">
        <v>41</v>
      </c>
      <c r="C9" s="4">
        <v>5</v>
      </c>
    </row>
    <row r="10" spans="2:3" ht="15">
      <c r="B10" s="14" t="s">
        <v>0</v>
      </c>
      <c r="C10" s="12">
        <f>+SUM(C6:C9)</f>
        <v>120</v>
      </c>
    </row>
    <row r="11" spans="2:3" s="2" customFormat="1" ht="15">
      <c r="B11" s="15" t="s">
        <v>42</v>
      </c>
      <c r="C11" s="16">
        <v>12</v>
      </c>
    </row>
    <row r="12" ht="15">
      <c r="B12" s="6"/>
    </row>
    <row r="13" spans="2:3" ht="15">
      <c r="B13" s="13" t="s">
        <v>22</v>
      </c>
      <c r="C13" s="3"/>
    </row>
    <row r="14" spans="2:3" ht="15">
      <c r="B14" s="7" t="s">
        <v>46</v>
      </c>
      <c r="C14" s="3">
        <f>+C2*C3</f>
        <v>9600</v>
      </c>
    </row>
    <row r="15" spans="2:3" ht="15">
      <c r="B15" s="7" t="s">
        <v>48</v>
      </c>
      <c r="C15" s="3">
        <f>+C5</f>
        <v>1200</v>
      </c>
    </row>
    <row r="16" spans="2:3" ht="15">
      <c r="B16" s="7" t="s">
        <v>50</v>
      </c>
      <c r="C16" s="3">
        <f>-C14*C4</f>
        <v>-1920</v>
      </c>
    </row>
    <row r="17" spans="2:3" ht="15">
      <c r="B17" s="7" t="s">
        <v>52</v>
      </c>
      <c r="C17" s="3">
        <f>-C8*C11</f>
        <v>-180</v>
      </c>
    </row>
    <row r="18" spans="2:3" ht="15">
      <c r="B18" s="13" t="s">
        <v>22</v>
      </c>
      <c r="C18" s="8">
        <f>SUM(C14:C17)</f>
        <v>8700</v>
      </c>
    </row>
    <row r="19" ht="15">
      <c r="B19" s="6"/>
    </row>
    <row r="20" ht="15">
      <c r="B20" s="6"/>
    </row>
    <row r="21" ht="15">
      <c r="B21" s="6"/>
    </row>
    <row r="22" spans="2:4" ht="15">
      <c r="B22" s="8" t="s">
        <v>43</v>
      </c>
      <c r="C22" s="8" t="s">
        <v>44</v>
      </c>
      <c r="D22" s="8" t="s">
        <v>45</v>
      </c>
    </row>
    <row r="23" spans="2:4" ht="15">
      <c r="B23" s="9" t="s">
        <v>47</v>
      </c>
      <c r="C23" s="3"/>
      <c r="D23" s="3">
        <f>+C14</f>
        <v>9600</v>
      </c>
    </row>
    <row r="24" spans="2:4" ht="15">
      <c r="B24" s="9" t="s">
        <v>49</v>
      </c>
      <c r="C24" s="3"/>
      <c r="D24" s="3">
        <f>+C15</f>
        <v>1200</v>
      </c>
    </row>
    <row r="25" spans="2:4" ht="15">
      <c r="B25" s="9" t="s">
        <v>51</v>
      </c>
      <c r="C25" s="3">
        <f>-C16</f>
        <v>1920</v>
      </c>
      <c r="D25" s="3"/>
    </row>
    <row r="26" spans="2:4" ht="15">
      <c r="B26" s="9" t="s">
        <v>53</v>
      </c>
      <c r="C26" s="3">
        <f>-C17</f>
        <v>180</v>
      </c>
      <c r="D26" s="3"/>
    </row>
    <row r="27" spans="2:4" ht="15">
      <c r="B27" s="9" t="s">
        <v>54</v>
      </c>
      <c r="C27" s="3">
        <f>+$C$18/SUM($C$6:$C$7)*C6</f>
        <v>6090</v>
      </c>
      <c r="D27" s="3"/>
    </row>
    <row r="28" spans="2:4" ht="15">
      <c r="B28" s="9" t="s">
        <v>55</v>
      </c>
      <c r="C28" s="3">
        <f>+$C$18/SUM($C$6:$C$7)*C7</f>
        <v>2610</v>
      </c>
      <c r="D28" s="3"/>
    </row>
    <row r="29" spans="2:4" ht="15">
      <c r="B29" s="10" t="s">
        <v>0</v>
      </c>
      <c r="C29" s="8">
        <f>SUM(C23:C28)</f>
        <v>10800</v>
      </c>
      <c r="D29" s="8">
        <f>SUM(D23:D28)</f>
        <v>10800</v>
      </c>
    </row>
    <row r="30" ht="15">
      <c r="B30" s="6"/>
    </row>
    <row r="31" ht="15">
      <c r="B31" s="6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  <row r="45" ht="15">
      <c r="B45" s="6"/>
    </row>
    <row r="46" ht="15">
      <c r="B46" s="6"/>
    </row>
    <row r="47" ht="15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ht="15">
      <c r="B53" s="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53"/>
  <sheetViews>
    <sheetView zoomScalePageLayoutView="0" workbookViewId="0" topLeftCell="A7">
      <selection activeCell="C31" sqref="C31"/>
    </sheetView>
  </sheetViews>
  <sheetFormatPr defaultColWidth="9.140625" defaultRowHeight="15"/>
  <cols>
    <col min="1" max="1" width="3.140625" style="1" customWidth="1"/>
    <col min="2" max="2" width="49.57421875" style="1" customWidth="1"/>
    <col min="3" max="3" width="9.140625" style="1" customWidth="1"/>
    <col min="4" max="4" width="13.28125" style="1" customWidth="1"/>
    <col min="5" max="16384" width="9.140625" style="1" customWidth="1"/>
  </cols>
  <sheetData>
    <row r="2" spans="2:3" ht="15">
      <c r="B2" s="11" t="s">
        <v>34</v>
      </c>
      <c r="C2" s="4">
        <v>120</v>
      </c>
    </row>
    <row r="3" spans="2:3" ht="15">
      <c r="B3" s="11" t="s">
        <v>35</v>
      </c>
      <c r="C3" s="4">
        <v>80</v>
      </c>
    </row>
    <row r="4" spans="2:3" ht="15">
      <c r="B4" s="11" t="s">
        <v>36</v>
      </c>
      <c r="C4" s="18">
        <v>0.3</v>
      </c>
    </row>
    <row r="5" spans="2:3" ht="15">
      <c r="B5" s="11" t="s">
        <v>37</v>
      </c>
      <c r="C5" s="4">
        <v>1200</v>
      </c>
    </row>
    <row r="6" spans="2:3" ht="15">
      <c r="B6" s="11" t="s">
        <v>38</v>
      </c>
      <c r="C6" s="17">
        <v>60</v>
      </c>
    </row>
    <row r="7" spans="2:3" ht="15">
      <c r="B7" s="11" t="s">
        <v>39</v>
      </c>
      <c r="C7" s="17">
        <v>40</v>
      </c>
    </row>
    <row r="8" spans="2:3" ht="15">
      <c r="B8" s="11" t="s">
        <v>40</v>
      </c>
      <c r="C8" s="17">
        <v>10</v>
      </c>
    </row>
    <row r="9" spans="2:3" ht="15">
      <c r="B9" s="11" t="s">
        <v>41</v>
      </c>
      <c r="C9" s="17">
        <v>10</v>
      </c>
    </row>
    <row r="10" spans="2:3" ht="15">
      <c r="B10" s="14" t="s">
        <v>0</v>
      </c>
      <c r="C10" s="12">
        <f>+SUM(C6:C9)</f>
        <v>120</v>
      </c>
    </row>
    <row r="11" spans="2:3" s="2" customFormat="1" ht="15">
      <c r="B11" s="15" t="s">
        <v>42</v>
      </c>
      <c r="C11" s="16">
        <v>12</v>
      </c>
    </row>
    <row r="12" ht="15">
      <c r="B12" s="6"/>
    </row>
    <row r="13" spans="2:3" ht="15">
      <c r="B13" s="13" t="s">
        <v>22</v>
      </c>
      <c r="C13" s="3"/>
    </row>
    <row r="14" spans="2:3" ht="15">
      <c r="B14" s="7" t="s">
        <v>46</v>
      </c>
      <c r="C14" s="3">
        <f>+C2*C3</f>
        <v>9600</v>
      </c>
    </row>
    <row r="15" spans="2:3" ht="15">
      <c r="B15" s="7" t="s">
        <v>48</v>
      </c>
      <c r="C15" s="3">
        <f>+C5</f>
        <v>1200</v>
      </c>
    </row>
    <row r="16" spans="2:3" ht="15">
      <c r="B16" s="7" t="s">
        <v>50</v>
      </c>
      <c r="C16" s="3">
        <f>-C14*C4</f>
        <v>-2880</v>
      </c>
    </row>
    <row r="17" spans="2:3" ht="15">
      <c r="B17" s="7" t="s">
        <v>52</v>
      </c>
      <c r="C17" s="3">
        <f>-C8*C11</f>
        <v>-120</v>
      </c>
    </row>
    <row r="18" spans="2:3" ht="15">
      <c r="B18" s="13" t="s">
        <v>22</v>
      </c>
      <c r="C18" s="8">
        <f>SUM(C14:C17)</f>
        <v>7800</v>
      </c>
    </row>
    <row r="19" ht="15">
      <c r="B19" s="6"/>
    </row>
    <row r="20" ht="15">
      <c r="B20" s="6"/>
    </row>
    <row r="21" ht="15">
      <c r="B21" s="6"/>
    </row>
    <row r="22" spans="2:4" ht="15">
      <c r="B22" s="8" t="s">
        <v>43</v>
      </c>
      <c r="C22" s="8" t="s">
        <v>44</v>
      </c>
      <c r="D22" s="8" t="s">
        <v>45</v>
      </c>
    </row>
    <row r="23" spans="2:4" ht="15">
      <c r="B23" s="9" t="s">
        <v>47</v>
      </c>
      <c r="C23" s="3"/>
      <c r="D23" s="3">
        <f>+C14</f>
        <v>9600</v>
      </c>
    </row>
    <row r="24" spans="2:4" ht="15">
      <c r="B24" s="9" t="s">
        <v>49</v>
      </c>
      <c r="C24" s="3"/>
      <c r="D24" s="3">
        <f>+C15</f>
        <v>1200</v>
      </c>
    </row>
    <row r="25" spans="2:4" ht="15">
      <c r="B25" s="9" t="s">
        <v>51</v>
      </c>
      <c r="C25" s="3">
        <f>-C16</f>
        <v>2880</v>
      </c>
      <c r="D25" s="3"/>
    </row>
    <row r="26" spans="2:4" ht="15">
      <c r="B26" s="9" t="s">
        <v>53</v>
      </c>
      <c r="C26" s="3">
        <f>-C17</f>
        <v>120</v>
      </c>
      <c r="D26" s="3"/>
    </row>
    <row r="27" spans="2:4" ht="15">
      <c r="B27" s="9" t="s">
        <v>54</v>
      </c>
      <c r="C27" s="3">
        <f>+$C$18/SUM($C$6:$C$7)*C6</f>
        <v>4680</v>
      </c>
      <c r="D27" s="3"/>
    </row>
    <row r="28" spans="2:4" ht="15">
      <c r="B28" s="9" t="s">
        <v>55</v>
      </c>
      <c r="C28" s="3">
        <f>+$C$18/SUM($C$6:$C$7)*C7</f>
        <v>3120</v>
      </c>
      <c r="D28" s="3"/>
    </row>
    <row r="29" spans="2:4" ht="15">
      <c r="B29" s="10" t="s">
        <v>0</v>
      </c>
      <c r="C29" s="8">
        <f>SUM(C23:C28)</f>
        <v>10800</v>
      </c>
      <c r="D29" s="8">
        <f>SUM(D23:D28)</f>
        <v>10800</v>
      </c>
    </row>
    <row r="30" ht="15">
      <c r="B30" s="6"/>
    </row>
    <row r="31" ht="15">
      <c r="B31" s="6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  <row r="45" ht="15">
      <c r="B45" s="6"/>
    </row>
    <row r="46" ht="15">
      <c r="B46" s="6"/>
    </row>
    <row r="47" ht="15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ht="15">
      <c r="B53" s="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3.421875" style="20" customWidth="1"/>
    <col min="2" max="2" width="29.140625" style="20" customWidth="1"/>
    <col min="3" max="3" width="10.140625" style="20" bestFit="1" customWidth="1"/>
    <col min="4" max="4" width="15.8515625" style="20" customWidth="1"/>
    <col min="5" max="16384" width="9.140625" style="20" customWidth="1"/>
  </cols>
  <sheetData>
    <row r="2" spans="2:3" ht="15">
      <c r="B2" s="20" t="s">
        <v>73</v>
      </c>
      <c r="C2" s="20">
        <v>100</v>
      </c>
    </row>
    <row r="3" spans="2:4" ht="15">
      <c r="B3" s="20" t="s">
        <v>72</v>
      </c>
      <c r="C3" s="20">
        <f>365*C2</f>
        <v>36500</v>
      </c>
      <c r="D3" s="27" t="s">
        <v>59</v>
      </c>
    </row>
    <row r="6" spans="2:4" ht="15">
      <c r="B6" s="21" t="s">
        <v>71</v>
      </c>
      <c r="C6" s="26">
        <v>150</v>
      </c>
      <c r="D6" s="21" t="s">
        <v>68</v>
      </c>
    </row>
    <row r="7" spans="2:4" ht="15">
      <c r="B7" s="21" t="s">
        <v>70</v>
      </c>
      <c r="C7" s="26">
        <v>30</v>
      </c>
      <c r="D7" s="21" t="s">
        <v>68</v>
      </c>
    </row>
    <row r="8" spans="2:4" ht="15">
      <c r="B8" s="21" t="s">
        <v>69</v>
      </c>
      <c r="C8" s="26">
        <f>+C6-C7</f>
        <v>120</v>
      </c>
      <c r="D8" s="21" t="s">
        <v>68</v>
      </c>
    </row>
    <row r="9" ht="15">
      <c r="C9" s="25"/>
    </row>
    <row r="10" spans="2:6" ht="15">
      <c r="B10" s="21" t="s">
        <v>67</v>
      </c>
      <c r="C10" s="21">
        <f>720000*2.5</f>
        <v>1800000</v>
      </c>
      <c r="D10" s="21" t="s">
        <v>63</v>
      </c>
      <c r="F10" s="20">
        <f>+C10/12</f>
        <v>150000</v>
      </c>
    </row>
    <row r="11" spans="2:6" ht="15">
      <c r="B11" s="21" t="s">
        <v>66</v>
      </c>
      <c r="C11" s="21">
        <f>96000*2</f>
        <v>192000</v>
      </c>
      <c r="D11" s="21" t="s">
        <v>63</v>
      </c>
      <c r="F11" s="20">
        <f>+C11/12</f>
        <v>16000</v>
      </c>
    </row>
    <row r="13" spans="2:4" ht="15">
      <c r="B13" s="21" t="s">
        <v>65</v>
      </c>
      <c r="C13" s="21">
        <v>2400000</v>
      </c>
      <c r="D13" s="21"/>
    </row>
    <row r="14" spans="2:4" ht="15">
      <c r="B14" s="21" t="s">
        <v>64</v>
      </c>
      <c r="C14" s="21">
        <f>+C13*15%</f>
        <v>360000</v>
      </c>
      <c r="D14" s="21" t="s">
        <v>63</v>
      </c>
    </row>
    <row r="16" spans="2:4" ht="15">
      <c r="B16" s="23" t="s">
        <v>62</v>
      </c>
      <c r="C16" s="23">
        <f>+C10/C8</f>
        <v>15000</v>
      </c>
      <c r="D16" s="24" t="s">
        <v>59</v>
      </c>
    </row>
    <row r="17" spans="2:4" ht="15">
      <c r="B17" s="23" t="s">
        <v>58</v>
      </c>
      <c r="C17" s="22">
        <f>+C16/$C$3</f>
        <v>0.410958904109589</v>
      </c>
      <c r="D17" s="21"/>
    </row>
    <row r="19" spans="2:4" ht="15">
      <c r="B19" s="23" t="s">
        <v>61</v>
      </c>
      <c r="C19" s="23">
        <f>+C14/C8+C16</f>
        <v>18000</v>
      </c>
      <c r="D19" s="24" t="s">
        <v>59</v>
      </c>
    </row>
    <row r="20" spans="2:4" ht="15">
      <c r="B20" s="23" t="s">
        <v>58</v>
      </c>
      <c r="C20" s="22">
        <f>+C19/$C$3</f>
        <v>0.4931506849315068</v>
      </c>
      <c r="D20" s="21"/>
    </row>
    <row r="22" spans="2:4" ht="15">
      <c r="B22" s="23" t="s">
        <v>60</v>
      </c>
      <c r="C22" s="23">
        <f>+(C10-C11)/C8</f>
        <v>13400</v>
      </c>
      <c r="D22" s="24" t="s">
        <v>59</v>
      </c>
    </row>
    <row r="23" spans="2:4" ht="15">
      <c r="B23" s="23" t="s">
        <v>58</v>
      </c>
      <c r="C23" s="22">
        <f>+C22/$C$3</f>
        <v>0.36712328767123287</v>
      </c>
      <c r="D23" s="21"/>
    </row>
    <row r="25" spans="2:4" ht="15">
      <c r="B25" s="23" t="s">
        <v>88</v>
      </c>
      <c r="C25" s="22">
        <v>0.6</v>
      </c>
      <c r="D25" s="23"/>
    </row>
    <row r="26" spans="2:4" ht="15">
      <c r="B26" s="23" t="s">
        <v>89</v>
      </c>
      <c r="C26" s="23">
        <f>+C25*C3</f>
        <v>21900</v>
      </c>
      <c r="D26" s="24" t="s">
        <v>59</v>
      </c>
    </row>
    <row r="27" spans="2:4" ht="15">
      <c r="B27" s="23" t="s">
        <v>90</v>
      </c>
      <c r="C27" s="23">
        <f>+(C26-C16)*C8</f>
        <v>828000</v>
      </c>
      <c r="D27" s="24" t="s">
        <v>91</v>
      </c>
    </row>
    <row r="28" spans="2:4" ht="15">
      <c r="B28" s="23" t="s">
        <v>92</v>
      </c>
      <c r="C28" s="23">
        <f>+(C26-C19)*C8</f>
        <v>468000</v>
      </c>
      <c r="D28" s="24" t="s">
        <v>91</v>
      </c>
    </row>
    <row r="29" spans="2:4" ht="15">
      <c r="B29" s="23" t="s">
        <v>93</v>
      </c>
      <c r="C29" s="23">
        <f>+(C26-C22)*C8</f>
        <v>1020000</v>
      </c>
      <c r="D29" s="24" t="s">
        <v>91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3.421875" style="20" customWidth="1"/>
    <col min="2" max="2" width="29.140625" style="20" customWidth="1"/>
    <col min="3" max="3" width="10.140625" style="20" bestFit="1" customWidth="1"/>
    <col min="4" max="4" width="15.8515625" style="20" customWidth="1"/>
    <col min="5" max="16384" width="9.140625" style="20" customWidth="1"/>
  </cols>
  <sheetData>
    <row r="2" spans="2:3" ht="15">
      <c r="B2" s="20" t="s">
        <v>73</v>
      </c>
      <c r="C2" s="20">
        <v>100</v>
      </c>
    </row>
    <row r="3" spans="2:4" ht="15">
      <c r="B3" s="20" t="s">
        <v>72</v>
      </c>
      <c r="C3" s="20">
        <f>365*C2</f>
        <v>36500</v>
      </c>
      <c r="D3" s="27" t="s">
        <v>59</v>
      </c>
    </row>
    <row r="6" spans="2:4" ht="15">
      <c r="B6" s="21" t="s">
        <v>71</v>
      </c>
      <c r="C6" s="26">
        <v>150</v>
      </c>
      <c r="D6" s="21" t="s">
        <v>68</v>
      </c>
    </row>
    <row r="7" spans="2:4" ht="15">
      <c r="B7" s="21" t="s">
        <v>70</v>
      </c>
      <c r="C7" s="26">
        <v>30</v>
      </c>
      <c r="D7" s="21" t="s">
        <v>68</v>
      </c>
    </row>
    <row r="8" spans="2:4" ht="15">
      <c r="B8" s="21" t="s">
        <v>69</v>
      </c>
      <c r="C8" s="26">
        <f>+C6-C7</f>
        <v>120</v>
      </c>
      <c r="D8" s="21" t="s">
        <v>68</v>
      </c>
    </row>
    <row r="9" ht="15">
      <c r="C9" s="25"/>
    </row>
    <row r="10" spans="2:6" ht="15">
      <c r="B10" s="21" t="s">
        <v>67</v>
      </c>
      <c r="C10" s="33">
        <f>720000*2.4</f>
        <v>1728000</v>
      </c>
      <c r="D10" s="21" t="s">
        <v>63</v>
      </c>
      <c r="F10" s="20">
        <f>+C10/12</f>
        <v>144000</v>
      </c>
    </row>
    <row r="11" spans="2:6" ht="15">
      <c r="B11" s="21" t="s">
        <v>66</v>
      </c>
      <c r="C11" s="33">
        <f>96000*2.5</f>
        <v>240000</v>
      </c>
      <c r="D11" s="21" t="s">
        <v>63</v>
      </c>
      <c r="F11" s="20">
        <f>+C11/12</f>
        <v>20000</v>
      </c>
    </row>
    <row r="13" spans="2:4" ht="15">
      <c r="B13" s="21" t="s">
        <v>65</v>
      </c>
      <c r="C13" s="21">
        <v>2400000</v>
      </c>
      <c r="D13" s="21"/>
    </row>
    <row r="14" spans="2:4" ht="15">
      <c r="B14" s="21" t="s">
        <v>64</v>
      </c>
      <c r="C14" s="33">
        <f>+C13*18%</f>
        <v>432000</v>
      </c>
      <c r="D14" s="21" t="s">
        <v>63</v>
      </c>
    </row>
    <row r="16" spans="2:4" ht="15">
      <c r="B16" s="23" t="s">
        <v>62</v>
      </c>
      <c r="C16" s="23">
        <f>+C10/C8</f>
        <v>14400</v>
      </c>
      <c r="D16" s="24" t="s">
        <v>59</v>
      </c>
    </row>
    <row r="17" spans="2:4" ht="15">
      <c r="B17" s="23" t="s">
        <v>58</v>
      </c>
      <c r="C17" s="22">
        <f>+C16/$C$3</f>
        <v>0.39452054794520547</v>
      </c>
      <c r="D17" s="21"/>
    </row>
    <row r="19" spans="2:4" ht="15">
      <c r="B19" s="23" t="s">
        <v>61</v>
      </c>
      <c r="C19" s="23">
        <f>+C14/C8+C16</f>
        <v>18000</v>
      </c>
      <c r="D19" s="24" t="s">
        <v>59</v>
      </c>
    </row>
    <row r="20" spans="2:4" ht="15">
      <c r="B20" s="23" t="s">
        <v>58</v>
      </c>
      <c r="C20" s="22">
        <f>+C19/$C$3</f>
        <v>0.4931506849315068</v>
      </c>
      <c r="D20" s="21"/>
    </row>
    <row r="22" spans="2:4" ht="15">
      <c r="B22" s="23" t="s">
        <v>60</v>
      </c>
      <c r="C22" s="23">
        <f>+(C10-C11)/C8</f>
        <v>12400</v>
      </c>
      <c r="D22" s="24" t="s">
        <v>59</v>
      </c>
    </row>
    <row r="23" spans="2:4" ht="15">
      <c r="B23" s="23" t="s">
        <v>58</v>
      </c>
      <c r="C23" s="22">
        <f>+C22/$C$3</f>
        <v>0.33972602739726027</v>
      </c>
      <c r="D23" s="21"/>
    </row>
    <row r="25" spans="2:4" ht="15">
      <c r="B25" s="23" t="s">
        <v>88</v>
      </c>
      <c r="C25" s="22">
        <v>0.6</v>
      </c>
      <c r="D25" s="23"/>
    </row>
    <row r="26" spans="2:4" ht="15">
      <c r="B26" s="23" t="s">
        <v>89</v>
      </c>
      <c r="C26" s="23">
        <f>+C25*C3</f>
        <v>21900</v>
      </c>
      <c r="D26" s="24" t="s">
        <v>59</v>
      </c>
    </row>
    <row r="27" spans="2:4" ht="15">
      <c r="B27" s="23" t="s">
        <v>90</v>
      </c>
      <c r="C27" s="23">
        <f>+(C26-C16)*C8</f>
        <v>900000</v>
      </c>
      <c r="D27" s="24" t="s">
        <v>91</v>
      </c>
    </row>
    <row r="28" spans="2:4" ht="15">
      <c r="B28" s="23" t="s">
        <v>92</v>
      </c>
      <c r="C28" s="23">
        <f>+(C26-C19)*C8</f>
        <v>468000</v>
      </c>
      <c r="D28" s="24" t="s">
        <v>91</v>
      </c>
    </row>
    <row r="29" spans="2:4" ht="15">
      <c r="B29" s="23" t="s">
        <v>93</v>
      </c>
      <c r="C29" s="23">
        <f>+(C26-C22)*C8</f>
        <v>1140000</v>
      </c>
      <c r="D29" s="24" t="s">
        <v>91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32"/>
  <sheetViews>
    <sheetView zoomScalePageLayoutView="0" workbookViewId="0" topLeftCell="A19">
      <selection activeCell="C5" sqref="C5"/>
    </sheetView>
  </sheetViews>
  <sheetFormatPr defaultColWidth="9.140625" defaultRowHeight="15"/>
  <cols>
    <col min="1" max="1" width="3.421875" style="20" customWidth="1"/>
    <col min="2" max="16384" width="9.140625" style="20" customWidth="1"/>
  </cols>
  <sheetData>
    <row r="2" spans="2:7" ht="15">
      <c r="B2" s="45" t="s">
        <v>87</v>
      </c>
      <c r="C2" s="45"/>
      <c r="D2" s="45"/>
      <c r="E2" s="45"/>
      <c r="F2" s="45"/>
      <c r="G2" s="45"/>
    </row>
    <row r="3" spans="2:7" ht="15">
      <c r="B3" s="23"/>
      <c r="C3" s="46" t="s">
        <v>82</v>
      </c>
      <c r="D3" s="46"/>
      <c r="E3" s="46" t="s">
        <v>81</v>
      </c>
      <c r="F3" s="46"/>
      <c r="G3" s="23" t="s">
        <v>80</v>
      </c>
    </row>
    <row r="4" spans="2:7" ht="15">
      <c r="B4" s="21" t="s">
        <v>79</v>
      </c>
      <c r="C4" s="32">
        <v>5</v>
      </c>
      <c r="D4" s="31" t="s">
        <v>78</v>
      </c>
      <c r="E4" s="32">
        <v>6</v>
      </c>
      <c r="F4" s="31" t="s">
        <v>77</v>
      </c>
      <c r="G4" s="30">
        <f>+C4*E4</f>
        <v>30</v>
      </c>
    </row>
    <row r="5" spans="2:7" ht="15">
      <c r="B5" s="21" t="s">
        <v>76</v>
      </c>
      <c r="C5" s="32">
        <v>4.5</v>
      </c>
      <c r="D5" s="31" t="s">
        <v>75</v>
      </c>
      <c r="E5" s="32">
        <v>5.5</v>
      </c>
      <c r="F5" s="31" t="s">
        <v>74</v>
      </c>
      <c r="G5" s="30">
        <f>+C5*E5</f>
        <v>24.75</v>
      </c>
    </row>
    <row r="6" spans="2:7" ht="15">
      <c r="B6" s="29" t="s">
        <v>0</v>
      </c>
      <c r="C6" s="29"/>
      <c r="D6" s="29"/>
      <c r="E6" s="29"/>
      <c r="F6" s="29"/>
      <c r="G6" s="28">
        <f>SUM(G4:G5)</f>
        <v>54.75</v>
      </c>
    </row>
    <row r="8" spans="2:4" ht="15">
      <c r="B8" s="45" t="s">
        <v>83</v>
      </c>
      <c r="C8" s="45"/>
      <c r="D8" s="45"/>
    </row>
    <row r="9" spans="2:4" ht="15">
      <c r="B9" s="21" t="s">
        <v>86</v>
      </c>
      <c r="C9" s="21">
        <v>1000</v>
      </c>
      <c r="D9" s="21"/>
    </row>
    <row r="10" spans="2:4" ht="15">
      <c r="B10" s="21" t="s">
        <v>79</v>
      </c>
      <c r="C10" s="21">
        <f>+C9*5.5</f>
        <v>5500</v>
      </c>
      <c r="D10" s="31" t="s">
        <v>78</v>
      </c>
    </row>
    <row r="11" spans="2:4" ht="15">
      <c r="B11" s="21" t="s">
        <v>85</v>
      </c>
      <c r="C11" s="21">
        <f>+C10*6.5</f>
        <v>35750</v>
      </c>
      <c r="D11" s="21"/>
    </row>
    <row r="12" spans="2:4" ht="15">
      <c r="B12" s="21" t="s">
        <v>76</v>
      </c>
      <c r="C12" s="21">
        <v>5000</v>
      </c>
      <c r="D12" s="31" t="s">
        <v>78</v>
      </c>
    </row>
    <row r="13" spans="2:4" ht="15">
      <c r="B13" s="21" t="s">
        <v>84</v>
      </c>
      <c r="C13" s="21">
        <v>23000</v>
      </c>
      <c r="D13" s="21"/>
    </row>
    <row r="15" ht="15">
      <c r="D15" s="27"/>
    </row>
    <row r="16" spans="2:7" ht="15">
      <c r="B16" s="45" t="s">
        <v>83</v>
      </c>
      <c r="C16" s="45"/>
      <c r="D16" s="45"/>
      <c r="E16" s="45"/>
      <c r="F16" s="45"/>
      <c r="G16" s="45"/>
    </row>
    <row r="17" spans="2:7" ht="15">
      <c r="B17" s="23"/>
      <c r="C17" s="46" t="s">
        <v>82</v>
      </c>
      <c r="D17" s="46"/>
      <c r="E17" s="46" t="s">
        <v>81</v>
      </c>
      <c r="F17" s="46"/>
      <c r="G17" s="23" t="s">
        <v>80</v>
      </c>
    </row>
    <row r="18" spans="2:7" ht="15">
      <c r="B18" s="21" t="s">
        <v>79</v>
      </c>
      <c r="C18" s="32">
        <f>+C10/$C$9</f>
        <v>5.5</v>
      </c>
      <c r="D18" s="31" t="s">
        <v>78</v>
      </c>
      <c r="E18" s="32">
        <f>+C11/C10</f>
        <v>6.5</v>
      </c>
      <c r="F18" s="31" t="s">
        <v>77</v>
      </c>
      <c r="G18" s="30">
        <f>+C18*E18</f>
        <v>35.75</v>
      </c>
    </row>
    <row r="19" spans="2:7" ht="15">
      <c r="B19" s="21" t="s">
        <v>76</v>
      </c>
      <c r="C19" s="32">
        <f>+C12/$C$9</f>
        <v>5</v>
      </c>
      <c r="D19" s="31" t="s">
        <v>75</v>
      </c>
      <c r="E19" s="32">
        <f>+C13/C12</f>
        <v>4.6</v>
      </c>
      <c r="F19" s="31" t="s">
        <v>74</v>
      </c>
      <c r="G19" s="30">
        <f>+C19*E19</f>
        <v>23</v>
      </c>
    </row>
    <row r="20" spans="2:7" ht="15">
      <c r="B20" s="29" t="s">
        <v>0</v>
      </c>
      <c r="C20" s="29"/>
      <c r="D20" s="29"/>
      <c r="E20" s="29"/>
      <c r="F20" s="29"/>
      <c r="G20" s="28">
        <f>SUM(G18:G19)</f>
        <v>58.75</v>
      </c>
    </row>
    <row r="21" spans="2:7" ht="15">
      <c r="B21" s="41"/>
      <c r="C21" s="41"/>
      <c r="D21" s="41"/>
      <c r="E21" s="41"/>
      <c r="F21" s="41"/>
      <c r="G21" s="42"/>
    </row>
    <row r="22" spans="2:5" ht="15">
      <c r="B22" s="45" t="s">
        <v>99</v>
      </c>
      <c r="C22" s="45"/>
      <c r="D22" s="45"/>
      <c r="E22" s="45"/>
    </row>
    <row r="23" spans="2:5" ht="15">
      <c r="B23" s="29"/>
      <c r="C23" s="29" t="s">
        <v>100</v>
      </c>
      <c r="D23" s="29" t="s">
        <v>101</v>
      </c>
      <c r="E23" s="29" t="s">
        <v>102</v>
      </c>
    </row>
    <row r="24" spans="2:5" ht="15">
      <c r="B24" s="21" t="s">
        <v>79</v>
      </c>
      <c r="C24" s="36">
        <f>+G18-G4</f>
        <v>5.75</v>
      </c>
      <c r="D24" s="38">
        <f>+C24*1000</f>
        <v>5750</v>
      </c>
      <c r="E24" s="31" t="s">
        <v>97</v>
      </c>
    </row>
    <row r="25" spans="2:5" ht="15">
      <c r="B25" s="21" t="s">
        <v>76</v>
      </c>
      <c r="C25" s="36">
        <f>+G5-G19</f>
        <v>1.75</v>
      </c>
      <c r="D25" s="38">
        <f>+C25*1000</f>
        <v>1750</v>
      </c>
      <c r="E25" s="31" t="s">
        <v>98</v>
      </c>
    </row>
    <row r="26" spans="2:5" ht="15">
      <c r="B26" s="23" t="s">
        <v>0</v>
      </c>
      <c r="C26" s="39">
        <f>+C24-C25</f>
        <v>4</v>
      </c>
      <c r="D26" s="40">
        <f>+D24-D25</f>
        <v>4000</v>
      </c>
      <c r="E26" s="24" t="s">
        <v>97</v>
      </c>
    </row>
    <row r="28" spans="2:20" ht="15">
      <c r="B28" s="45" t="s">
        <v>96</v>
      </c>
      <c r="C28" s="45"/>
      <c r="D28" s="45"/>
      <c r="E28" s="45"/>
      <c r="F28" s="45"/>
      <c r="G28" s="45"/>
      <c r="H28" s="45"/>
      <c r="I28" s="45"/>
      <c r="J28" s="45"/>
      <c r="L28" s="45" t="s">
        <v>103</v>
      </c>
      <c r="M28" s="45"/>
      <c r="N28" s="45"/>
      <c r="O28" s="45"/>
      <c r="P28" s="45"/>
      <c r="Q28" s="45"/>
      <c r="R28" s="45"/>
      <c r="S28" s="45"/>
      <c r="T28" s="45"/>
    </row>
    <row r="29" spans="2:20" ht="15">
      <c r="B29" s="23"/>
      <c r="C29" s="46" t="s">
        <v>94</v>
      </c>
      <c r="D29" s="46"/>
      <c r="E29" s="46" t="s">
        <v>81</v>
      </c>
      <c r="F29" s="46"/>
      <c r="G29" s="46" t="s">
        <v>95</v>
      </c>
      <c r="H29" s="46"/>
      <c r="I29" s="46" t="s">
        <v>0</v>
      </c>
      <c r="J29" s="46"/>
      <c r="L29" s="23"/>
      <c r="M29" s="46" t="s">
        <v>94</v>
      </c>
      <c r="N29" s="46"/>
      <c r="O29" s="46" t="s">
        <v>81</v>
      </c>
      <c r="P29" s="46"/>
      <c r="Q29" s="46" t="s">
        <v>95</v>
      </c>
      <c r="R29" s="46"/>
      <c r="S29" s="46" t="s">
        <v>0</v>
      </c>
      <c r="T29" s="46"/>
    </row>
    <row r="30" spans="2:20" ht="15">
      <c r="B30" s="21" t="s">
        <v>79</v>
      </c>
      <c r="C30" s="36">
        <f>+(C18-C4)*E4</f>
        <v>3</v>
      </c>
      <c r="D30" s="31" t="s">
        <v>97</v>
      </c>
      <c r="E30" s="36">
        <f>+(E18-E4)*C4</f>
        <v>2.5</v>
      </c>
      <c r="F30" s="31" t="s">
        <v>97</v>
      </c>
      <c r="G30" s="36">
        <f>+(C18-C4)*(E18-E4)</f>
        <v>0.25</v>
      </c>
      <c r="H30" s="31" t="s">
        <v>97</v>
      </c>
      <c r="I30" s="36">
        <f>+C30+E30+G30</f>
        <v>5.75</v>
      </c>
      <c r="J30" s="31" t="s">
        <v>97</v>
      </c>
      <c r="L30" s="21" t="s">
        <v>79</v>
      </c>
      <c r="M30" s="38">
        <f>+C30*1000</f>
        <v>3000</v>
      </c>
      <c r="N30" s="31" t="s">
        <v>97</v>
      </c>
      <c r="O30" s="38">
        <f>+E30*1000</f>
        <v>2500</v>
      </c>
      <c r="P30" s="31" t="s">
        <v>97</v>
      </c>
      <c r="Q30" s="38">
        <f>+G30*1000</f>
        <v>250</v>
      </c>
      <c r="R30" s="31" t="s">
        <v>97</v>
      </c>
      <c r="S30" s="38">
        <f>+I30*1000</f>
        <v>5750</v>
      </c>
      <c r="T30" s="31" t="s">
        <v>97</v>
      </c>
    </row>
    <row r="31" spans="2:20" ht="15">
      <c r="B31" s="21" t="s">
        <v>76</v>
      </c>
      <c r="C31" s="36">
        <f>+(C19-C5)*E5</f>
        <v>2.75</v>
      </c>
      <c r="D31" s="31" t="s">
        <v>97</v>
      </c>
      <c r="E31" s="36">
        <f>+(-E19+E5)*C5</f>
        <v>4.050000000000002</v>
      </c>
      <c r="F31" s="31" t="s">
        <v>98</v>
      </c>
      <c r="G31" s="36">
        <f>+(C19-C5)*(-E19+E5)</f>
        <v>0.4500000000000002</v>
      </c>
      <c r="H31" s="31" t="s">
        <v>98</v>
      </c>
      <c r="I31" s="36">
        <f>+G31+E31-C31</f>
        <v>1.7500000000000018</v>
      </c>
      <c r="J31" s="31" t="s">
        <v>98</v>
      </c>
      <c r="L31" s="21" t="s">
        <v>76</v>
      </c>
      <c r="M31" s="38">
        <f aca="true" t="shared" si="0" ref="M31:S31">+C31*1000</f>
        <v>2750</v>
      </c>
      <c r="N31" s="31" t="s">
        <v>97</v>
      </c>
      <c r="O31" s="38">
        <f t="shared" si="0"/>
        <v>4050.000000000002</v>
      </c>
      <c r="P31" s="31" t="s">
        <v>98</v>
      </c>
      <c r="Q31" s="38">
        <f t="shared" si="0"/>
        <v>450.00000000000017</v>
      </c>
      <c r="R31" s="31" t="s">
        <v>98</v>
      </c>
      <c r="S31" s="38">
        <f t="shared" si="0"/>
        <v>1750.0000000000018</v>
      </c>
      <c r="T31" s="31" t="s">
        <v>98</v>
      </c>
    </row>
    <row r="32" spans="2:20" ht="15">
      <c r="B32" s="29" t="s">
        <v>0</v>
      </c>
      <c r="C32" s="35">
        <f>SUM(C30:C31)</f>
        <v>5.75</v>
      </c>
      <c r="D32" s="29" t="s">
        <v>97</v>
      </c>
      <c r="E32" s="35">
        <f>+E31-E30</f>
        <v>1.5500000000000016</v>
      </c>
      <c r="F32" s="37" t="s">
        <v>98</v>
      </c>
      <c r="G32" s="35">
        <f>+G31-G30</f>
        <v>0.20000000000000018</v>
      </c>
      <c r="H32" s="37" t="s">
        <v>98</v>
      </c>
      <c r="I32" s="35">
        <f>+I30-I31</f>
        <v>3.9999999999999982</v>
      </c>
      <c r="J32" s="37" t="s">
        <v>97</v>
      </c>
      <c r="L32" s="29" t="s">
        <v>0</v>
      </c>
      <c r="M32" s="34">
        <f>SUM(M30:M31)</f>
        <v>5750</v>
      </c>
      <c r="N32" s="29" t="s">
        <v>97</v>
      </c>
      <c r="O32" s="34">
        <f>+O31-O30</f>
        <v>1550.0000000000018</v>
      </c>
      <c r="P32" s="37" t="s">
        <v>98</v>
      </c>
      <c r="Q32" s="34">
        <f>+Q31-Q30</f>
        <v>200.00000000000017</v>
      </c>
      <c r="R32" s="37" t="s">
        <v>98</v>
      </c>
      <c r="S32" s="34">
        <f>+S30-S31</f>
        <v>3999.999999999998</v>
      </c>
      <c r="T32" s="37" t="s">
        <v>97</v>
      </c>
    </row>
  </sheetData>
  <sheetProtection/>
  <mergeCells count="18">
    <mergeCell ref="L28:T28"/>
    <mergeCell ref="M29:N29"/>
    <mergeCell ref="O29:P29"/>
    <mergeCell ref="Q29:R29"/>
    <mergeCell ref="S29:T29"/>
    <mergeCell ref="C29:D29"/>
    <mergeCell ref="E29:F29"/>
    <mergeCell ref="G29:H29"/>
    <mergeCell ref="I29:J29"/>
    <mergeCell ref="B28:J28"/>
    <mergeCell ref="B22:E22"/>
    <mergeCell ref="C3:D3"/>
    <mergeCell ref="E3:F3"/>
    <mergeCell ref="B2:G2"/>
    <mergeCell ref="B16:G16"/>
    <mergeCell ref="C17:D17"/>
    <mergeCell ref="E17:F17"/>
    <mergeCell ref="B8:D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32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.421875" style="20" customWidth="1"/>
    <col min="2" max="16384" width="9.140625" style="20" customWidth="1"/>
  </cols>
  <sheetData>
    <row r="2" spans="2:7" ht="15">
      <c r="B2" s="45" t="s">
        <v>87</v>
      </c>
      <c r="C2" s="45"/>
      <c r="D2" s="45"/>
      <c r="E2" s="45"/>
      <c r="F2" s="45"/>
      <c r="G2" s="45"/>
    </row>
    <row r="3" spans="2:7" ht="15">
      <c r="B3" s="23"/>
      <c r="C3" s="46" t="s">
        <v>82</v>
      </c>
      <c r="D3" s="46"/>
      <c r="E3" s="46" t="s">
        <v>81</v>
      </c>
      <c r="F3" s="46"/>
      <c r="G3" s="23" t="s">
        <v>80</v>
      </c>
    </row>
    <row r="4" spans="2:7" ht="15">
      <c r="B4" s="21" t="s">
        <v>79</v>
      </c>
      <c r="C4" s="32">
        <v>5</v>
      </c>
      <c r="D4" s="31" t="s">
        <v>78</v>
      </c>
      <c r="E4" s="32">
        <v>6</v>
      </c>
      <c r="F4" s="31" t="s">
        <v>77</v>
      </c>
      <c r="G4" s="30">
        <f>+C4*E4</f>
        <v>30</v>
      </c>
    </row>
    <row r="5" spans="2:7" ht="15">
      <c r="B5" s="21" t="s">
        <v>76</v>
      </c>
      <c r="C5" s="43">
        <v>4.3</v>
      </c>
      <c r="D5" s="31" t="s">
        <v>75</v>
      </c>
      <c r="E5" s="32">
        <v>5.5</v>
      </c>
      <c r="F5" s="31" t="s">
        <v>74</v>
      </c>
      <c r="G5" s="30">
        <f>+C5*E5</f>
        <v>23.65</v>
      </c>
    </row>
    <row r="6" spans="2:7" ht="15">
      <c r="B6" s="29" t="s">
        <v>0</v>
      </c>
      <c r="C6" s="29"/>
      <c r="D6" s="29"/>
      <c r="E6" s="29"/>
      <c r="F6" s="29"/>
      <c r="G6" s="28">
        <f>SUM(G4:G5)</f>
        <v>53.65</v>
      </c>
    </row>
    <row r="8" spans="2:4" ht="15">
      <c r="B8" s="45" t="s">
        <v>83</v>
      </c>
      <c r="C8" s="45"/>
      <c r="D8" s="45"/>
    </row>
    <row r="9" spans="2:4" ht="15">
      <c r="B9" s="21" t="s">
        <v>86</v>
      </c>
      <c r="C9" s="21">
        <v>1000</v>
      </c>
      <c r="D9" s="21"/>
    </row>
    <row r="10" spans="2:4" ht="15">
      <c r="B10" s="21" t="s">
        <v>79</v>
      </c>
      <c r="C10" s="33">
        <f>+C9*5.7</f>
        <v>5700</v>
      </c>
      <c r="D10" s="31" t="s">
        <v>78</v>
      </c>
    </row>
    <row r="11" spans="2:4" ht="15">
      <c r="B11" s="21" t="s">
        <v>85</v>
      </c>
      <c r="C11" s="21">
        <f>+C10*6.5</f>
        <v>37050</v>
      </c>
      <c r="D11" s="21"/>
    </row>
    <row r="12" spans="2:4" ht="15">
      <c r="B12" s="21" t="s">
        <v>76</v>
      </c>
      <c r="C12" s="21">
        <v>5000</v>
      </c>
      <c r="D12" s="31" t="s">
        <v>78</v>
      </c>
    </row>
    <row r="13" spans="2:4" ht="15">
      <c r="B13" s="21" t="s">
        <v>84</v>
      </c>
      <c r="C13" s="21">
        <v>23000</v>
      </c>
      <c r="D13" s="21"/>
    </row>
    <row r="15" ht="15">
      <c r="D15" s="27"/>
    </row>
    <row r="16" spans="2:7" ht="15">
      <c r="B16" s="45" t="s">
        <v>83</v>
      </c>
      <c r="C16" s="45"/>
      <c r="D16" s="45"/>
      <c r="E16" s="45"/>
      <c r="F16" s="45"/>
      <c r="G16" s="45"/>
    </row>
    <row r="17" spans="2:7" ht="15">
      <c r="B17" s="23"/>
      <c r="C17" s="46" t="s">
        <v>82</v>
      </c>
      <c r="D17" s="46"/>
      <c r="E17" s="46" t="s">
        <v>81</v>
      </c>
      <c r="F17" s="46"/>
      <c r="G17" s="23" t="s">
        <v>80</v>
      </c>
    </row>
    <row r="18" spans="2:7" ht="15">
      <c r="B18" s="21" t="s">
        <v>79</v>
      </c>
      <c r="C18" s="32">
        <f>+C10/$C$9</f>
        <v>5.7</v>
      </c>
      <c r="D18" s="31" t="s">
        <v>78</v>
      </c>
      <c r="E18" s="32">
        <f>+C11/C10</f>
        <v>6.5</v>
      </c>
      <c r="F18" s="31" t="s">
        <v>77</v>
      </c>
      <c r="G18" s="30">
        <f>+C18*E18</f>
        <v>37.050000000000004</v>
      </c>
    </row>
    <row r="19" spans="2:7" ht="15">
      <c r="B19" s="21" t="s">
        <v>76</v>
      </c>
      <c r="C19" s="32">
        <f>+C12/$C$9</f>
        <v>5</v>
      </c>
      <c r="D19" s="31" t="s">
        <v>75</v>
      </c>
      <c r="E19" s="32">
        <f>+C13/C12</f>
        <v>4.6</v>
      </c>
      <c r="F19" s="31" t="s">
        <v>74</v>
      </c>
      <c r="G19" s="30">
        <f>+C19*E19</f>
        <v>23</v>
      </c>
    </row>
    <row r="20" spans="2:7" ht="15">
      <c r="B20" s="29" t="s">
        <v>0</v>
      </c>
      <c r="C20" s="29"/>
      <c r="D20" s="29"/>
      <c r="E20" s="29"/>
      <c r="F20" s="29"/>
      <c r="G20" s="28">
        <f>SUM(G18:G19)</f>
        <v>60.050000000000004</v>
      </c>
    </row>
    <row r="21" spans="2:7" ht="15">
      <c r="B21" s="41"/>
      <c r="C21" s="41"/>
      <c r="D21" s="41"/>
      <c r="E21" s="41"/>
      <c r="F21" s="41"/>
      <c r="G21" s="42"/>
    </row>
    <row r="22" spans="2:5" ht="15">
      <c r="B22" s="45" t="s">
        <v>99</v>
      </c>
      <c r="C22" s="45"/>
      <c r="D22" s="45"/>
      <c r="E22" s="45"/>
    </row>
    <row r="23" spans="2:5" ht="15">
      <c r="B23" s="29"/>
      <c r="C23" s="29" t="s">
        <v>100</v>
      </c>
      <c r="D23" s="29" t="s">
        <v>101</v>
      </c>
      <c r="E23" s="29" t="s">
        <v>102</v>
      </c>
    </row>
    <row r="24" spans="2:5" ht="15">
      <c r="B24" s="21" t="s">
        <v>79</v>
      </c>
      <c r="C24" s="36">
        <f>+G18-G4</f>
        <v>7.050000000000004</v>
      </c>
      <c r="D24" s="38">
        <f>+C24*1000</f>
        <v>7050.000000000005</v>
      </c>
      <c r="E24" s="31" t="s">
        <v>97</v>
      </c>
    </row>
    <row r="25" spans="2:5" ht="15">
      <c r="B25" s="21" t="s">
        <v>76</v>
      </c>
      <c r="C25" s="36">
        <f>+G5-G19</f>
        <v>0.6499999999999986</v>
      </c>
      <c r="D25" s="38">
        <f>+C25*1000</f>
        <v>649.9999999999986</v>
      </c>
      <c r="E25" s="31" t="s">
        <v>98</v>
      </c>
    </row>
    <row r="26" spans="2:5" ht="15">
      <c r="B26" s="23" t="s">
        <v>0</v>
      </c>
      <c r="C26" s="39">
        <f>+C24-C25</f>
        <v>6.400000000000006</v>
      </c>
      <c r="D26" s="40">
        <f>+D24-D25</f>
        <v>6400.0000000000055</v>
      </c>
      <c r="E26" s="24" t="s">
        <v>97</v>
      </c>
    </row>
    <row r="28" spans="2:20" ht="15">
      <c r="B28" s="45" t="s">
        <v>96</v>
      </c>
      <c r="C28" s="45"/>
      <c r="D28" s="45"/>
      <c r="E28" s="45"/>
      <c r="F28" s="45"/>
      <c r="G28" s="45"/>
      <c r="H28" s="45"/>
      <c r="I28" s="45"/>
      <c r="J28" s="45"/>
      <c r="L28" s="45" t="s">
        <v>103</v>
      </c>
      <c r="M28" s="45"/>
      <c r="N28" s="45"/>
      <c r="O28" s="45"/>
      <c r="P28" s="45"/>
      <c r="Q28" s="45"/>
      <c r="R28" s="45"/>
      <c r="S28" s="45"/>
      <c r="T28" s="45"/>
    </row>
    <row r="29" spans="2:20" ht="15">
      <c r="B29" s="23"/>
      <c r="C29" s="46" t="s">
        <v>94</v>
      </c>
      <c r="D29" s="46"/>
      <c r="E29" s="46" t="s">
        <v>81</v>
      </c>
      <c r="F29" s="46"/>
      <c r="G29" s="46" t="s">
        <v>95</v>
      </c>
      <c r="H29" s="46"/>
      <c r="I29" s="46" t="s">
        <v>0</v>
      </c>
      <c r="J29" s="46"/>
      <c r="L29" s="23"/>
      <c r="M29" s="46" t="s">
        <v>94</v>
      </c>
      <c r="N29" s="46"/>
      <c r="O29" s="46" t="s">
        <v>81</v>
      </c>
      <c r="P29" s="46"/>
      <c r="Q29" s="46" t="s">
        <v>95</v>
      </c>
      <c r="R29" s="46"/>
      <c r="S29" s="46" t="s">
        <v>0</v>
      </c>
      <c r="T29" s="46"/>
    </row>
    <row r="30" spans="2:20" ht="15">
      <c r="B30" s="21" t="s">
        <v>79</v>
      </c>
      <c r="C30" s="36">
        <f>+(C18-C4)*E4</f>
        <v>4.200000000000001</v>
      </c>
      <c r="D30" s="31" t="s">
        <v>97</v>
      </c>
      <c r="E30" s="36">
        <f>+(E18-E4)*C4</f>
        <v>2.5</v>
      </c>
      <c r="F30" s="31" t="s">
        <v>97</v>
      </c>
      <c r="G30" s="36">
        <f>+(C18-C4)*(E18-E4)</f>
        <v>0.3500000000000001</v>
      </c>
      <c r="H30" s="31" t="s">
        <v>97</v>
      </c>
      <c r="I30" s="36">
        <f>+C30+E30+G30</f>
        <v>7.050000000000001</v>
      </c>
      <c r="J30" s="31" t="s">
        <v>97</v>
      </c>
      <c r="L30" s="21" t="s">
        <v>79</v>
      </c>
      <c r="M30" s="38">
        <f>+C30*1000</f>
        <v>4200.000000000001</v>
      </c>
      <c r="N30" s="31" t="s">
        <v>97</v>
      </c>
      <c r="O30" s="38">
        <f>+E30*1000</f>
        <v>2500</v>
      </c>
      <c r="P30" s="31" t="s">
        <v>97</v>
      </c>
      <c r="Q30" s="38">
        <f>+G30*1000</f>
        <v>350.0000000000001</v>
      </c>
      <c r="R30" s="31" t="s">
        <v>97</v>
      </c>
      <c r="S30" s="38">
        <f>+I30*1000</f>
        <v>7050.000000000001</v>
      </c>
      <c r="T30" s="31" t="s">
        <v>97</v>
      </c>
    </row>
    <row r="31" spans="2:20" ht="15">
      <c r="B31" s="21" t="s">
        <v>76</v>
      </c>
      <c r="C31" s="36">
        <f>+(C19-C5)*E5</f>
        <v>3.850000000000001</v>
      </c>
      <c r="D31" s="31" t="s">
        <v>97</v>
      </c>
      <c r="E31" s="36">
        <f>+(-E19+E5)*C5</f>
        <v>3.8700000000000014</v>
      </c>
      <c r="F31" s="31" t="s">
        <v>98</v>
      </c>
      <c r="G31" s="36">
        <f>+(C19-C5)*(-E19+E5)</f>
        <v>0.6300000000000004</v>
      </c>
      <c r="H31" s="31" t="s">
        <v>98</v>
      </c>
      <c r="I31" s="36">
        <f>+G31+E31-C31</f>
        <v>0.6500000000000008</v>
      </c>
      <c r="J31" s="31" t="s">
        <v>98</v>
      </c>
      <c r="L31" s="21" t="s">
        <v>76</v>
      </c>
      <c r="M31" s="38">
        <f aca="true" t="shared" si="0" ref="M31:S31">+C31*1000</f>
        <v>3850.000000000001</v>
      </c>
      <c r="N31" s="31" t="s">
        <v>97</v>
      </c>
      <c r="O31" s="38">
        <f t="shared" si="0"/>
        <v>3870.0000000000014</v>
      </c>
      <c r="P31" s="31" t="s">
        <v>98</v>
      </c>
      <c r="Q31" s="38">
        <f t="shared" si="0"/>
        <v>630.0000000000005</v>
      </c>
      <c r="R31" s="31" t="s">
        <v>98</v>
      </c>
      <c r="S31" s="38">
        <f t="shared" si="0"/>
        <v>650.0000000000008</v>
      </c>
      <c r="T31" s="31" t="s">
        <v>98</v>
      </c>
    </row>
    <row r="32" spans="2:20" ht="15">
      <c r="B32" s="29" t="s">
        <v>0</v>
      </c>
      <c r="C32" s="35">
        <f>SUM(C30:C31)</f>
        <v>8.050000000000002</v>
      </c>
      <c r="D32" s="29" t="s">
        <v>97</v>
      </c>
      <c r="E32" s="35">
        <f>+E31-E30</f>
        <v>1.3700000000000014</v>
      </c>
      <c r="F32" s="37" t="s">
        <v>98</v>
      </c>
      <c r="G32" s="35">
        <f>+G31-G30</f>
        <v>0.28000000000000036</v>
      </c>
      <c r="H32" s="37" t="s">
        <v>98</v>
      </c>
      <c r="I32" s="35">
        <f>+I30-I31</f>
        <v>6.4</v>
      </c>
      <c r="J32" s="37" t="s">
        <v>97</v>
      </c>
      <c r="L32" s="29" t="s">
        <v>0</v>
      </c>
      <c r="M32" s="34">
        <f>SUM(M30:M31)</f>
        <v>8050.000000000002</v>
      </c>
      <c r="N32" s="29" t="s">
        <v>97</v>
      </c>
      <c r="O32" s="34">
        <f>+O31-O30</f>
        <v>1370.0000000000014</v>
      </c>
      <c r="P32" s="37" t="s">
        <v>98</v>
      </c>
      <c r="Q32" s="34">
        <f>+Q31-Q30</f>
        <v>280.00000000000034</v>
      </c>
      <c r="R32" s="37" t="s">
        <v>98</v>
      </c>
      <c r="S32" s="34">
        <f>+S30-S31</f>
        <v>6400</v>
      </c>
      <c r="T32" s="37" t="s">
        <v>97</v>
      </c>
    </row>
  </sheetData>
  <sheetProtection/>
  <mergeCells count="18">
    <mergeCell ref="S29:T29"/>
    <mergeCell ref="B22:E22"/>
    <mergeCell ref="B28:J28"/>
    <mergeCell ref="L28:T28"/>
    <mergeCell ref="C29:D29"/>
    <mergeCell ref="E29:F29"/>
    <mergeCell ref="G29:H29"/>
    <mergeCell ref="I29:J29"/>
    <mergeCell ref="M29:N29"/>
    <mergeCell ref="O29:P29"/>
    <mergeCell ref="Q29:R29"/>
    <mergeCell ref="C17:D17"/>
    <mergeCell ref="E17:F17"/>
    <mergeCell ref="B2:G2"/>
    <mergeCell ref="C3:D3"/>
    <mergeCell ref="E3:F3"/>
    <mergeCell ref="B8:D8"/>
    <mergeCell ref="B16:G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</dc:creator>
  <cp:keywords/>
  <dc:description/>
  <cp:lastModifiedBy>leticia nascimento</cp:lastModifiedBy>
  <dcterms:created xsi:type="dcterms:W3CDTF">2013-05-07T14:34:56Z</dcterms:created>
  <dcterms:modified xsi:type="dcterms:W3CDTF">2015-06-29T19:45:47Z</dcterms:modified>
  <cp:category/>
  <cp:version/>
  <cp:contentType/>
  <cp:contentStatus/>
</cp:coreProperties>
</file>