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4" activeTab="26"/>
  </bookViews>
  <sheets>
    <sheet name="Exemplo venda livros - Laisla" sheetId="1" r:id="rId1"/>
    <sheet name="Exemplo depreciação" sheetId="2" r:id="rId2"/>
    <sheet name="Cia GB" sheetId="3" r:id="rId3"/>
    <sheet name="Cia Aniel" sheetId="4" r:id="rId4"/>
    <sheet name="Cia Porto Eucalipto" sheetId="5" r:id="rId5"/>
    <sheet name="Dobra e Fecha" sheetId="6" r:id="rId6"/>
    <sheet name="Exemplo Construtora" sheetId="7" r:id="rId7"/>
    <sheet name="Exemplo Construtora (2)" sheetId="8" r:id="rId8"/>
    <sheet name="Cia Parma" sheetId="9" r:id="rId9"/>
    <sheet name="Exemplo cst MP" sheetId="10" r:id="rId10"/>
    <sheet name="Cia Reggio" sheetId="11" r:id="rId11"/>
    <sheet name="11.2 - Reggio" sheetId="12" r:id="rId12"/>
    <sheet name="11.3 - São Cristóvão" sheetId="13" r:id="rId13"/>
    <sheet name="CPC 17 - II (proporc custo)" sheetId="14" r:id="rId14"/>
    <sheet name="CPC 17 - II (proporc horas)" sheetId="15" r:id="rId15"/>
    <sheet name="CPC 17 - II - comparação" sheetId="16" r:id="rId16"/>
    <sheet name="12.2 - Asfáltica" sheetId="17" r:id="rId17"/>
    <sheet name="Cia MM" sheetId="18" r:id="rId18"/>
    <sheet name="13.2 - Carbexa" sheetId="19" r:id="rId19"/>
    <sheet name="Cap 14 - ex proposto" sheetId="20" r:id="rId20"/>
    <sheet name="Cap 15 - Tudolimpo" sheetId="21" r:id="rId21"/>
    <sheet name="Tulipa" sheetId="22" r:id="rId22"/>
    <sheet name="Arte em Estilo" sheetId="23" r:id="rId23"/>
    <sheet name="Exemplo Disk Pizza" sheetId="24" r:id="rId24"/>
    <sheet name="King Kong - sem IR" sheetId="25" r:id="rId25"/>
    <sheet name="King Kong - com IR" sheetId="26" r:id="rId26"/>
    <sheet name="Confecções Andrade" sheetId="27" r:id="rId27"/>
    <sheet name="Plan2" sheetId="28" r:id="rId28"/>
    <sheet name="Plan3" sheetId="29" r:id="rId29"/>
  </sheets>
  <definedNames/>
  <calcPr fullCalcOnLoad="1"/>
</workbook>
</file>

<file path=xl/comments1.xml><?xml version="1.0" encoding="utf-8"?>
<comments xmlns="http://schemas.openxmlformats.org/spreadsheetml/2006/main">
  <authors>
    <author>Roni Cleber Bonizio</author>
  </authors>
  <commentList>
    <comment ref="B4" authorId="0">
      <text>
        <r>
          <rPr>
            <sz val="8"/>
            <rFont val="Tahoma"/>
            <family val="2"/>
          </rPr>
          <t>5 vezes sem entrada</t>
        </r>
      </text>
    </comment>
  </commentList>
</comments>
</file>

<file path=xl/comments14.xml><?xml version="1.0" encoding="utf-8"?>
<comments xmlns="http://schemas.openxmlformats.org/spreadsheetml/2006/main">
  <authors>
    <author>Roni Cleber Bonizio</author>
  </authors>
  <commentList>
    <comment ref="B19" authorId="0">
      <text>
        <r>
          <rPr>
            <sz val="12"/>
            <rFont val="Tahoma"/>
            <family val="2"/>
          </rPr>
          <t>Reconhecimento do lucro proporcionalmente aos custos incorridos em relação ao total</t>
        </r>
      </text>
    </comment>
  </commentList>
</comments>
</file>

<file path=xl/comments15.xml><?xml version="1.0" encoding="utf-8"?>
<comments xmlns="http://schemas.openxmlformats.org/spreadsheetml/2006/main">
  <authors>
    <author>Roni Cleber Bonizio</author>
  </authors>
  <commentList>
    <comment ref="B19" authorId="0">
      <text>
        <r>
          <rPr>
            <sz val="12"/>
            <rFont val="Tahoma"/>
            <family val="2"/>
          </rPr>
          <t>Reconhecimento do lucro proporcionalmente às horas trabalhadas em relação ao total de horas previstas</t>
        </r>
      </text>
    </comment>
  </commentList>
</comments>
</file>

<file path=xl/comments16.xml><?xml version="1.0" encoding="utf-8"?>
<comments xmlns="http://schemas.openxmlformats.org/spreadsheetml/2006/main">
  <authors>
    <author>Roni Cleber Bonizio</author>
  </authors>
  <commentList>
    <comment ref="B9" authorId="0">
      <text>
        <r>
          <rPr>
            <sz val="12"/>
            <rFont val="Tahoma"/>
            <family val="2"/>
          </rPr>
          <t>Reconhecimento do lucro proporcionalmente às horas trabalhadas em relação ao total de horas previstas</t>
        </r>
      </text>
    </comment>
    <comment ref="B3" authorId="0">
      <text>
        <r>
          <rPr>
            <sz val="12"/>
            <rFont val="Tahoma"/>
            <family val="2"/>
          </rPr>
          <t>Reconhecimento do lucro proporcionalmente aos custos incorridos em relação ao total</t>
        </r>
      </text>
    </comment>
  </commentList>
</comments>
</file>

<file path=xl/comments18.xml><?xml version="1.0" encoding="utf-8"?>
<comments xmlns="http://schemas.openxmlformats.org/spreadsheetml/2006/main">
  <authors>
    <author>Roni Cleber Bonizio</author>
  </authors>
  <commentList>
    <comment ref="B26" authorId="0">
      <text>
        <r>
          <rPr>
            <sz val="8"/>
            <rFont val="Tahoma"/>
            <family val="2"/>
          </rPr>
          <t>Reserva para manutenção da capacidade física do negócio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E8" authorId="0">
      <text>
        <r>
          <rPr>
            <b/>
            <sz val="8"/>
            <rFont val="Tahoma"/>
            <family val="2"/>
          </rPr>
          <t>Antes da venda</t>
        </r>
      </text>
    </comment>
  </commentList>
</comments>
</file>

<file path=xl/comments21.xml><?xml version="1.0" encoding="utf-8"?>
<comments xmlns="http://schemas.openxmlformats.org/spreadsheetml/2006/main">
  <authors>
    <author>Roni Cleber Bonizio</author>
  </authors>
  <commentList>
    <comment ref="B13" authorId="0">
      <text>
        <r>
          <rPr>
            <b/>
            <sz val="8"/>
            <rFont val="Tahoma"/>
            <family val="2"/>
          </rPr>
          <t>Rateio com base nas horas de produção</t>
        </r>
      </text>
    </comment>
    <comment ref="B22" authorId="0">
      <text>
        <r>
          <rPr>
            <b/>
            <sz val="8"/>
            <rFont val="Tahoma"/>
            <family val="2"/>
          </rPr>
          <t>Rateio com base na quatidade de produtos produzidos</t>
        </r>
      </text>
    </comment>
  </commentList>
</comments>
</file>

<file path=xl/comments24.xml><?xml version="1.0" encoding="utf-8"?>
<comments xmlns="http://schemas.openxmlformats.org/spreadsheetml/2006/main">
  <authors>
    <author>Roni Cleber Bonizio</author>
  </authors>
  <commentList>
    <comment ref="C18" authorId="0">
      <text>
        <r>
          <rPr>
            <b/>
            <sz val="8"/>
            <rFont val="Tahoma"/>
            <family val="2"/>
          </rPr>
          <t xml:space="preserve">Juros 
</t>
        </r>
        <r>
          <rPr>
            <sz val="8"/>
            <rFont val="Tahoma"/>
            <family val="2"/>
          </rPr>
          <t>Custo explícito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Custo de oportunidade
</t>
        </r>
        <r>
          <rPr>
            <sz val="8"/>
            <rFont val="Tahoma"/>
            <family val="2"/>
          </rPr>
          <t>Custo implícito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PONTO DE EQUILÍBRIO CONTÁBIL
</t>
        </r>
        <r>
          <rPr>
            <sz val="8"/>
            <rFont val="Tahoma"/>
            <family val="2"/>
          </rPr>
          <t xml:space="preserve">Quantidade de pizzas que a empresa deve produzir e vender mensalmente para que seu lucro operacional seja igual a zero
Se vender mais, lucro operacional de $20,0 por pizza a mais
Se vender menos, prejuízo operacional de $20,0 por pizza a menos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PONTO DE EQUILÍBRIO ECONÔMICO
</t>
        </r>
        <r>
          <rPr>
            <sz val="8"/>
            <rFont val="Tahoma"/>
            <family val="2"/>
          </rPr>
          <t xml:space="preserve">Quantidade de pizzas que a empresa deve produzir e vender mensalmente para que seu lucro operacional seja igual ao custo total do capital investido. EVA = 0
Se vender mais, geração de riqueza de $20,0 por pizza a mais
Se vender menos, destruição de riqueza de $20,0 por pizza a menos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PONTO DE EQUILÍBRIO FINANCEIRO 1
</t>
        </r>
        <r>
          <rPr>
            <sz val="8"/>
            <rFont val="Tahoma"/>
            <family val="2"/>
          </rPr>
          <t xml:space="preserve">Quantidade de pizzas que a empresa deve produzir e vender mensalmente para que seu fluxo de caixa operacional seja igual a zero.
Se vender mais, geração de caixa operacional de $20,0 por pizza a mais
Se vender menos, consumo de caixa operacional de $20,0 por pizza a menos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PARCELA DA DÍVIDA
</t>
        </r>
        <r>
          <rPr>
            <sz val="8"/>
            <rFont val="Tahoma"/>
            <family val="2"/>
          </rPr>
          <t>Valor a ser desembolsado mensalmente para pagamento da dívida com terceiros
Inclui juros (custo do capital de terceiros) e amortização do principal</t>
        </r>
      </text>
    </comment>
    <comment ref="C30" authorId="0">
      <text>
        <r>
          <rPr>
            <b/>
            <sz val="8"/>
            <rFont val="Tahoma"/>
            <family val="2"/>
          </rPr>
          <t xml:space="preserve">PONTO DE EQUILÍBRIO FINANCEIRO 2
</t>
        </r>
        <r>
          <rPr>
            <sz val="8"/>
            <rFont val="Tahoma"/>
            <family val="2"/>
          </rPr>
          <t xml:space="preserve">Quantidade de pizzas que a empresa deve produzir e vender mensalmente para que seu fluxo de caixa líquido seja igual a zero.
Se vender mais, geração de caixa líquido de $20,0 por pizza a mais
Se vender menos, consumo de caixa líquido de $20,0 por pizza a menos
</t>
        </r>
      </text>
    </comment>
  </commentList>
</comments>
</file>

<file path=xl/comments25.xml><?xml version="1.0" encoding="utf-8"?>
<comments xmlns="http://schemas.openxmlformats.org/spreadsheetml/2006/main">
  <authors>
    <author>Roni Cleber Bonizio</author>
  </authors>
  <commentList>
    <comment ref="B14" authorId="0">
      <text>
        <r>
          <rPr>
            <b/>
            <sz val="8"/>
            <rFont val="Tahoma"/>
            <family val="2"/>
          </rPr>
          <t>Incluídas nos custos e despesas fixos</t>
        </r>
      </text>
    </comment>
    <comment ref="B27" authorId="0">
      <text>
        <r>
          <rPr>
            <b/>
            <sz val="8"/>
            <rFont val="Tahoma"/>
            <family val="2"/>
          </rPr>
          <t>Decorrentes das decisões operacionais</t>
        </r>
      </text>
    </comment>
    <comment ref="B29" authorId="0">
      <text>
        <r>
          <rPr>
            <b/>
            <sz val="8"/>
            <rFont val="Tahoma"/>
            <family val="2"/>
          </rPr>
          <t>Decorrentes das deciões de financiamento</t>
        </r>
      </text>
    </comment>
  </commentList>
</comments>
</file>

<file path=xl/comments26.xml><?xml version="1.0" encoding="utf-8"?>
<comments xmlns="http://schemas.openxmlformats.org/spreadsheetml/2006/main">
  <authors>
    <author>Roni Cleber Bonizio</author>
  </authors>
  <commentList>
    <comment ref="B16" authorId="0">
      <text>
        <r>
          <rPr>
            <b/>
            <sz val="8"/>
            <rFont val="Tahoma"/>
            <family val="2"/>
          </rPr>
          <t>Incluídas nos custos e despesas fixos</t>
        </r>
      </text>
    </comment>
    <comment ref="B29" authorId="0">
      <text>
        <r>
          <rPr>
            <b/>
            <sz val="8"/>
            <rFont val="Tahoma"/>
            <family val="2"/>
          </rPr>
          <t>Decorrentes das decisões operacionais</t>
        </r>
      </text>
    </comment>
    <comment ref="B33" authorId="0">
      <text>
        <r>
          <rPr>
            <b/>
            <sz val="8"/>
            <rFont val="Tahoma"/>
            <family val="2"/>
          </rPr>
          <t>Decorrentes das deciões de financiamento</t>
        </r>
      </text>
    </comment>
  </commentList>
</comments>
</file>

<file path=xl/comments7.xml><?xml version="1.0" encoding="utf-8"?>
<comments xmlns="http://schemas.openxmlformats.org/spreadsheetml/2006/main">
  <authors>
    <author>Roni Cleber Bonizio</author>
  </authors>
  <commentList>
    <comment ref="B11" authorId="0">
      <text>
        <r>
          <rPr>
            <sz val="8"/>
            <rFont val="Tahoma"/>
            <family val="2"/>
          </rPr>
          <t>Reconhecimento da receita (e do lucro) quando da transferência dos riscos e benefícios para o cliente</t>
        </r>
      </text>
    </comment>
  </commentList>
</comments>
</file>

<file path=xl/comments8.xml><?xml version="1.0" encoding="utf-8"?>
<comments xmlns="http://schemas.openxmlformats.org/spreadsheetml/2006/main">
  <authors>
    <author>Roni Cleber Bonizio</author>
  </authors>
  <commentList>
    <comment ref="B13" authorId="0">
      <text>
        <r>
          <rPr>
            <sz val="8"/>
            <rFont val="Tahoma"/>
            <family val="2"/>
          </rPr>
          <t xml:space="preserve">Reconhecimento da receita (e do lucro) na medida da evolução da obra (% do custo incorrido)
</t>
        </r>
      </text>
    </comment>
  </commentList>
</comments>
</file>

<file path=xl/comments9.xml><?xml version="1.0" encoding="utf-8"?>
<comments xmlns="http://schemas.openxmlformats.org/spreadsheetml/2006/main">
  <authors>
    <author>Roni Cleber Bonizio</author>
  </authors>
  <commentList>
    <comment ref="B4" authorId="0">
      <text>
        <r>
          <rPr>
            <b/>
            <sz val="8"/>
            <rFont val="Tahoma"/>
            <family val="2"/>
          </rPr>
          <t xml:space="preserve">Alocação dos custos indiretos com base no custo da MP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Alocação dos custos indiretos com base no custo da MP
</t>
        </r>
      </text>
    </comment>
  </commentList>
</comments>
</file>

<file path=xl/sharedStrings.xml><?xml version="1.0" encoding="utf-8"?>
<sst xmlns="http://schemas.openxmlformats.org/spreadsheetml/2006/main" count="1001" uniqueCount="497">
  <si>
    <t>ABR</t>
  </si>
  <si>
    <t>MAI</t>
  </si>
  <si>
    <t>JUN</t>
  </si>
  <si>
    <t>Compra de livros a vista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</si>
  <si>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</si>
  <si>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</si>
  <si>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</si>
  <si>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</si>
  <si>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</si>
  <si>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</si>
  <si>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</si>
  <si>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Receita de vendas</t>
  </si>
  <si>
    <t>(-) CMV</t>
  </si>
  <si>
    <t>(=) Lucro bruto</t>
  </si>
  <si>
    <r>
      <t xml:space="preserve">Venda de </t>
    </r>
    <r>
      <rPr>
        <b/>
        <u val="single"/>
        <sz val="11"/>
        <color indexed="8"/>
        <rFont val="Calibri"/>
        <family val="2"/>
      </rPr>
      <t>todos</t>
    </r>
    <r>
      <rPr>
        <sz val="11"/>
        <color theme="1"/>
        <rFont val="Calibri"/>
        <family val="2"/>
      </rPr>
      <t xml:space="preserve"> os livros</t>
    </r>
  </si>
  <si>
    <t>(=) LUCRO OPERACION</t>
  </si>
  <si>
    <t>BALANÇOS PATRIMONIAIS</t>
  </si>
  <si>
    <t>ATIVO</t>
  </si>
  <si>
    <t>TOTAL DO ATIVO</t>
  </si>
  <si>
    <t>PASSIVO + PL</t>
  </si>
  <si>
    <t>TOTAL DO PASSIVO + PL</t>
  </si>
  <si>
    <t>Caixa</t>
  </si>
  <si>
    <t>Contas a receber</t>
  </si>
  <si>
    <t>Capital social</t>
  </si>
  <si>
    <t>Lucros acumulados</t>
  </si>
  <si>
    <t>Aspecto econômico (DESEMPENHO)</t>
  </si>
  <si>
    <t>Aspecto financeiro (FÔLEGO)</t>
  </si>
  <si>
    <t>01/01/X1 - compra caminhão a vista</t>
  </si>
  <si>
    <t>Vida útil (anos)</t>
  </si>
  <si>
    <t>Valor residual</t>
  </si>
  <si>
    <t>Depreciação anual</t>
  </si>
  <si>
    <t>31/12/X3 - venda do caminhão a vista</t>
  </si>
  <si>
    <t>31/12/X1</t>
  </si>
  <si>
    <t>31/12/X2</t>
  </si>
  <si>
    <t>31/12/X3</t>
  </si>
  <si>
    <t>Veículos</t>
  </si>
  <si>
    <t>(-) Depreciação acumulada</t>
  </si>
  <si>
    <t>LÍQUIDO</t>
  </si>
  <si>
    <t>ano x1</t>
  </si>
  <si>
    <t>ano x2</t>
  </si>
  <si>
    <t>ano x3</t>
  </si>
  <si>
    <t>TOTAL</t>
  </si>
  <si>
    <t>Despesa depreciação</t>
  </si>
  <si>
    <t>Prejuízo na venda do caminhão</t>
  </si>
  <si>
    <t>CAIXA</t>
  </si>
  <si>
    <t>Compra do caminhão</t>
  </si>
  <si>
    <t>Venda do caminhão</t>
  </si>
  <si>
    <t>SABÃO EM PÓ</t>
  </si>
  <si>
    <t>SABÃO LÍQUIDO</t>
  </si>
  <si>
    <t>DADOS FÍSICOS</t>
  </si>
  <si>
    <t>Produção (unidades)</t>
  </si>
  <si>
    <t>caixas</t>
  </si>
  <si>
    <t>frascos</t>
  </si>
  <si>
    <t>Matéria prima (kg)</t>
  </si>
  <si>
    <t>kg</t>
  </si>
  <si>
    <t>Mão de obra direta</t>
  </si>
  <si>
    <t>horas</t>
  </si>
  <si>
    <t>CUSTOS INDIRETOS</t>
  </si>
  <si>
    <t>Supervisão da produção</t>
  </si>
  <si>
    <t>Depreciação equipam produção</t>
  </si>
  <si>
    <t>Aluguel galpão industrial</t>
  </si>
  <si>
    <t>Seguro equipam produção</t>
  </si>
  <si>
    <t>Energia elétrica produção</t>
  </si>
  <si>
    <t>$ unit</t>
  </si>
  <si>
    <t>$ tot</t>
  </si>
  <si>
    <t>Matéria prima</t>
  </si>
  <si>
    <t>Custos indiretos</t>
  </si>
  <si>
    <t>APROPRIAÇÃO DOS CUSTOS AOS PRODUTOS</t>
  </si>
  <si>
    <t>Depreciação equipam especial</t>
  </si>
  <si>
    <t>Estoque inicial</t>
  </si>
  <si>
    <t>(+) Compras do período</t>
  </si>
  <si>
    <t>(-) Estoque final de MP</t>
  </si>
  <si>
    <t>(=) CUSTO DA MP UTILIZADA NA PROD</t>
  </si>
  <si>
    <t>ESTOQUE DE MATÉRIA PRIMA - $</t>
  </si>
  <si>
    <t>CUSTO DA PRODUÇÃO DO PERÍODO - $</t>
  </si>
  <si>
    <t>(=) CUSTO DA PRODUÇ DO PERÍODO</t>
  </si>
  <si>
    <t>ESTOQUE DE PRODUTOS EM ELABORAÇÃO - $</t>
  </si>
  <si>
    <t>Estoque inicial de produtos em elaboração</t>
  </si>
  <si>
    <t>(+) Custo de produção do período</t>
  </si>
  <si>
    <t>(-) Estoque final de produtos em elaboração</t>
  </si>
  <si>
    <t>(=) CUSTO DA PRODUÇÃO ACABADA NO PERÍODO</t>
  </si>
  <si>
    <t>ESTOQUE DE PRODUTOS ACABADOS - $</t>
  </si>
  <si>
    <t>Estoque inicial de produtos acabados</t>
  </si>
  <si>
    <t>(+) Custo da produção acabada no período</t>
  </si>
  <si>
    <t>(=) Produtos disponíveis para a venda</t>
  </si>
  <si>
    <t>(-) CPV</t>
  </si>
  <si>
    <t>(=) Estoque final de produtos acabados</t>
  </si>
  <si>
    <t>BALANCETE DE VERIFICAÇÃO EM 31/12/X1</t>
  </si>
  <si>
    <t>DÉBITOS</t>
  </si>
  <si>
    <t>CRÉDITOS</t>
  </si>
  <si>
    <t>Disponibilidades</t>
  </si>
  <si>
    <t>Estoque de MP</t>
  </si>
  <si>
    <t>Equipam de prod</t>
  </si>
  <si>
    <t>Deprec acumul - equipam prod</t>
  </si>
  <si>
    <t>Deprec acumul - veículos</t>
  </si>
  <si>
    <t>Empréstimos a pagar</t>
  </si>
  <si>
    <t>MP consumida</t>
  </si>
  <si>
    <t>MOD</t>
  </si>
  <si>
    <t>Energia elétrica</t>
  </si>
  <si>
    <t>Aluguel galpão fábrica</t>
  </si>
  <si>
    <t>Lubrificantes consum fáb</t>
  </si>
  <si>
    <t>Manutenção equipam fábrica</t>
  </si>
  <si>
    <t>Supervisão almoxarifado</t>
  </si>
  <si>
    <t>Deprec equipam produç</t>
  </si>
  <si>
    <t>Seguro equipam fábr</t>
  </si>
  <si>
    <t>Despesas financeiras</t>
  </si>
  <si>
    <t>Receita de venda</t>
  </si>
  <si>
    <t>X</t>
  </si>
  <si>
    <t>Y</t>
  </si>
  <si>
    <t>Z</t>
  </si>
  <si>
    <t>Vendas (unidades)</t>
  </si>
  <si>
    <t>Kg de MP por unidade</t>
  </si>
  <si>
    <t>Kg de MP totais</t>
  </si>
  <si>
    <t>Horas de MOD por unidade</t>
  </si>
  <si>
    <t>Horas de MOD totais</t>
  </si>
  <si>
    <t>Horas de máquina por unid</t>
  </si>
  <si>
    <t>Horas de máquina totais</t>
  </si>
  <si>
    <t>Custo unitário</t>
  </si>
  <si>
    <t>CPV</t>
  </si>
  <si>
    <t>Estoque final prod acabados</t>
  </si>
  <si>
    <t>DRE - ANO X1</t>
  </si>
  <si>
    <t>(-) Despesas financeiras</t>
  </si>
  <si>
    <t>Despesas comerc e admin</t>
  </si>
  <si>
    <t>(-) Despesas comerc e adm</t>
  </si>
  <si>
    <t>(=) LAIR</t>
  </si>
  <si>
    <t>(-) IR/CSSLL</t>
  </si>
  <si>
    <t>(=) LUCRO LÍQUIDO</t>
  </si>
  <si>
    <t>BALANÇO PATRIMONIAL EM 31/12/X1</t>
  </si>
  <si>
    <t>Imobilizado</t>
  </si>
  <si>
    <t>(-) Depreciaç acumulad</t>
  </si>
  <si>
    <t>Lucro do exercício</t>
  </si>
  <si>
    <t>Impostos a recolher</t>
  </si>
  <si>
    <t>Estoques de prod acabad</t>
  </si>
  <si>
    <t>Estamp</t>
  </si>
  <si>
    <t>Furaç</t>
  </si>
  <si>
    <t>Montag</t>
  </si>
  <si>
    <t>Almox</t>
  </si>
  <si>
    <t>Manut</t>
  </si>
  <si>
    <t>AGP</t>
  </si>
  <si>
    <t>Materiais indiretos</t>
  </si>
  <si>
    <t>Mão de obra ind</t>
  </si>
  <si>
    <t>Aluguel</t>
  </si>
  <si>
    <t>PRODUÇÃO</t>
  </si>
  <si>
    <t>APOIO</t>
  </si>
  <si>
    <t>Rateio AGP</t>
  </si>
  <si>
    <t>Nº de funcionários</t>
  </si>
  <si>
    <t>Rateio manutenção</t>
  </si>
  <si>
    <t>Nº de horas máquina</t>
  </si>
  <si>
    <t>Rateio do almoxarif</t>
  </si>
  <si>
    <t>Nº de requisições</t>
  </si>
  <si>
    <t>DOBRAD</t>
  </si>
  <si>
    <t>FECHAD</t>
  </si>
  <si>
    <t>CUSTOS TOTAIS DE PRODUÇÃO</t>
  </si>
  <si>
    <t>Materiais</t>
  </si>
  <si>
    <t>CUSTOS DIRETOS</t>
  </si>
  <si>
    <t>Estamparia</t>
  </si>
  <si>
    <t>Furação</t>
  </si>
  <si>
    <t>Montagem</t>
  </si>
  <si>
    <t>Quantidades produzidas (unidades)</t>
  </si>
  <si>
    <t>Custo unitário de produção</t>
  </si>
  <si>
    <t>INÍCIO DAS ATIVIDADES</t>
  </si>
  <si>
    <t>Capital</t>
  </si>
  <si>
    <t>Obra contratada - pavimentação de 100km de rodovia</t>
  </si>
  <si>
    <t>Valores recebidos</t>
  </si>
  <si>
    <t>ANO X1</t>
  </si>
  <si>
    <t>ANO X2</t>
  </si>
  <si>
    <t>ANO X3</t>
  </si>
  <si>
    <t>ANO X4</t>
  </si>
  <si>
    <t>Custos incorridos e pagos</t>
  </si>
  <si>
    <t>DRE</t>
  </si>
  <si>
    <t>(-) Custo da construç</t>
  </si>
  <si>
    <t>(=) Fluxo de caixa</t>
  </si>
  <si>
    <t>BALANÇOS PATROMINIAIS</t>
  </si>
  <si>
    <t>Disponibilidade</t>
  </si>
  <si>
    <t>Estoq - obras em andam</t>
  </si>
  <si>
    <t xml:space="preserve">Capital </t>
  </si>
  <si>
    <t>Resultados acumulados</t>
  </si>
  <si>
    <t>Adiantamento clientes</t>
  </si>
  <si>
    <t>REQUEIJÃO</t>
  </si>
  <si>
    <t>QUEIJO</t>
  </si>
  <si>
    <t>Quantidades (unidades)</t>
  </si>
  <si>
    <t>$ UNIT</t>
  </si>
  <si>
    <t>$ TOT</t>
  </si>
  <si>
    <t>(-) MP</t>
  </si>
  <si>
    <t>(-) MOD</t>
  </si>
  <si>
    <t>Inspecionar MP</t>
  </si>
  <si>
    <t>Armazenas MP</t>
  </si>
  <si>
    <t>Controlar estoques</t>
  </si>
  <si>
    <t>Processar produtos</t>
  </si>
  <si>
    <t>Controlar processo</t>
  </si>
  <si>
    <t>RESULTADO (absorção)</t>
  </si>
  <si>
    <t>(-) Custos indiretos</t>
  </si>
  <si>
    <t>Preço de venda</t>
  </si>
  <si>
    <t>(=) LUCRO BRUTO</t>
  </si>
  <si>
    <t>%</t>
  </si>
  <si>
    <r>
      <t>RESULTADO (</t>
    </r>
    <r>
      <rPr>
        <b/>
        <i/>
        <sz val="11"/>
        <color indexed="8"/>
        <rFont val="Calibri"/>
        <family val="2"/>
      </rPr>
      <t>ABC</t>
    </r>
    <r>
      <rPr>
        <b/>
        <sz val="11"/>
        <color indexed="8"/>
        <rFont val="Calibri"/>
        <family val="2"/>
      </rPr>
      <t>)</t>
    </r>
  </si>
  <si>
    <t>(-) Insp MP</t>
  </si>
  <si>
    <t>(-) Armazenar MP</t>
  </si>
  <si>
    <t>(-) Control estoques</t>
  </si>
  <si>
    <t>(-) Process produtos</t>
  </si>
  <si>
    <t>(-) Control process</t>
  </si>
  <si>
    <t>Compra MP - FOB - (a prazo)</t>
  </si>
  <si>
    <t>Impostos a recuperar</t>
  </si>
  <si>
    <t>CONTAS</t>
  </si>
  <si>
    <t>Custo do frete (a vista)</t>
  </si>
  <si>
    <t>Estoque de matéria prima</t>
  </si>
  <si>
    <t>Impostos a recuperar (ativo)</t>
  </si>
  <si>
    <t>Fornecedor de MP</t>
  </si>
  <si>
    <t>CUSTO DA MP</t>
  </si>
  <si>
    <t>KG</t>
  </si>
  <si>
    <t>MP introduzida na fundição</t>
  </si>
  <si>
    <t>Peças fundidas</t>
  </si>
  <si>
    <t>Subprodutos</t>
  </si>
  <si>
    <t>Kg de produtos finais</t>
  </si>
  <si>
    <t>Custo de aquisição da MP</t>
  </si>
  <si>
    <t>(-) Impostos recuperáveis</t>
  </si>
  <si>
    <t>(=) SOMA</t>
  </si>
  <si>
    <t>(-) Valor de venda dos subprodutos</t>
  </si>
  <si>
    <t>(=) CUSTO DA MP</t>
  </si>
  <si>
    <t>Custo da MP por kg de produto acabado</t>
  </si>
  <si>
    <t>Custo de produção</t>
  </si>
  <si>
    <t>Fornecedores a pagar</t>
  </si>
  <si>
    <t>ICMS a recuperar (ativo)</t>
  </si>
  <si>
    <t>Estoque de subprodutos</t>
  </si>
  <si>
    <t>Custo da MP alocado na produção</t>
  </si>
  <si>
    <t>Jornada semanal (dias)</t>
  </si>
  <si>
    <t>Jornada semanal (horas)</t>
  </si>
  <si>
    <t>Jornada diária (horas)</t>
  </si>
  <si>
    <t>Salário ($/hora)</t>
  </si>
  <si>
    <t>Feriados</t>
  </si>
  <si>
    <t>Faltas justificadas por ano (dias)</t>
  </si>
  <si>
    <t>Feriados no ano (dias)</t>
  </si>
  <si>
    <t>INSS</t>
  </si>
  <si>
    <t>FGTS</t>
  </si>
  <si>
    <t>Terceiros (sistema S)</t>
  </si>
  <si>
    <t>Seguro acidente trabalho</t>
  </si>
  <si>
    <t>Dias à disposição da empresa</t>
  </si>
  <si>
    <t>Dias do ano</t>
  </si>
  <si>
    <t>(-) Repousos semanais</t>
  </si>
  <si>
    <t>(-) Férias</t>
  </si>
  <si>
    <t>(-) Feriados</t>
  </si>
  <si>
    <t>(-) Faltas abonadas</t>
  </si>
  <si>
    <t>(=) DIAS À DISPOSIÇÃO DA EMPRESA</t>
  </si>
  <si>
    <t>Custo anual</t>
  </si>
  <si>
    <t>Salário</t>
  </si>
  <si>
    <t>Repouso semanal remunerado</t>
  </si>
  <si>
    <t>Faltas abonadas</t>
  </si>
  <si>
    <t>13º salário</t>
  </si>
  <si>
    <t>Férias</t>
  </si>
  <si>
    <t>Adicional de férias</t>
  </si>
  <si>
    <t>SOMA</t>
  </si>
  <si>
    <t>(+) Contribuições</t>
  </si>
  <si>
    <t>Contribuições compulsórias</t>
  </si>
  <si>
    <t>(=) CUSTO TOTAL ANUAL</t>
  </si>
  <si>
    <t>Horas à disposição</t>
  </si>
  <si>
    <t>Custo médio por hora</t>
  </si>
  <si>
    <t>CONTA A CRÉDITO</t>
  </si>
  <si>
    <t>Salários a pagar</t>
  </si>
  <si>
    <t>Provisão de 13º</t>
  </si>
  <si>
    <t>Provisão de férias</t>
  </si>
  <si>
    <t>INSS e FGTS  recolher</t>
  </si>
  <si>
    <t>Salário ($/mês)</t>
  </si>
  <si>
    <t>João</t>
  </si>
  <si>
    <t>Maria</t>
  </si>
  <si>
    <t>Contribuições sociais</t>
  </si>
  <si>
    <t>Sistema S (terceiros)</t>
  </si>
  <si>
    <t>JOÃO</t>
  </si>
  <si>
    <t>MARIA</t>
  </si>
  <si>
    <t>meses</t>
  </si>
  <si>
    <t>$</t>
  </si>
  <si>
    <t>a - Salário</t>
  </si>
  <si>
    <t>b - Férias (2/3) descanso</t>
  </si>
  <si>
    <t>c - Abono pecuniário (1/3)</t>
  </si>
  <si>
    <t>d - 13º salário</t>
  </si>
  <si>
    <t>e - Adicional constitucional (1/3 de b)</t>
  </si>
  <si>
    <t>f - Adicional constitucional (1/3 de c)</t>
  </si>
  <si>
    <t>Contribuições - 35% sobre (a+b+d+e)</t>
  </si>
  <si>
    <t>CUSTO TOTAL ANUAL</t>
  </si>
  <si>
    <t>Total de encargos sobre o salário</t>
  </si>
  <si>
    <t>Conta a crédito</t>
  </si>
  <si>
    <t>Provisão 13º</t>
  </si>
  <si>
    <t>Contribuições a pagar</t>
  </si>
  <si>
    <t>ano 1</t>
  </si>
  <si>
    <t>ano 2</t>
  </si>
  <si>
    <t>ano 3</t>
  </si>
  <si>
    <t>ano 4</t>
  </si>
  <si>
    <t>ano 5</t>
  </si>
  <si>
    <t>ano 6</t>
  </si>
  <si>
    <t>Custo previsto da obra</t>
  </si>
  <si>
    <t>Horas previstas</t>
  </si>
  <si>
    <t>Horas realizadas</t>
  </si>
  <si>
    <t>DADOS DO PROBLEMA</t>
  </si>
  <si>
    <t>(-) Custo</t>
  </si>
  <si>
    <t>Custo realizado da obra ($ no ano)</t>
  </si>
  <si>
    <t>Custo realizado da obra (% acumulado)</t>
  </si>
  <si>
    <t>31/12/A1</t>
  </si>
  <si>
    <t>31/12/A2</t>
  </si>
  <si>
    <t>31/12/A3</t>
  </si>
  <si>
    <t>31/12/A4</t>
  </si>
  <si>
    <t>31/12/A5</t>
  </si>
  <si>
    <t>Adiantamento de clientes</t>
  </si>
  <si>
    <t>Horas realizadas da obra (% acumulado)</t>
  </si>
  <si>
    <t>Estoques</t>
  </si>
  <si>
    <t>Custos a realizar</t>
  </si>
  <si>
    <t>X0</t>
  </si>
  <si>
    <t>X1</t>
  </si>
  <si>
    <t>X2</t>
  </si>
  <si>
    <t>X3</t>
  </si>
  <si>
    <t>Entradas</t>
  </si>
  <si>
    <t>(-) Saídas</t>
  </si>
  <si>
    <t>Receita</t>
  </si>
  <si>
    <t>(=) RESULTADO</t>
  </si>
  <si>
    <t>Saldo inicial de cx</t>
  </si>
  <si>
    <t>Saldo final de cx</t>
  </si>
  <si>
    <t>31/12/X0</t>
  </si>
  <si>
    <t>Adiant clientes</t>
  </si>
  <si>
    <t>Lucros acumulad</t>
  </si>
  <si>
    <t>CH</t>
  </si>
  <si>
    <t>(=) RESULT OPERAC</t>
  </si>
  <si>
    <t>$ DE 15/11</t>
  </si>
  <si>
    <t>CHC</t>
  </si>
  <si>
    <t>CR</t>
  </si>
  <si>
    <t>(+) Ganho estocagem</t>
  </si>
  <si>
    <t>$ DE 31/12</t>
  </si>
  <si>
    <t>(-) Perda no cx</t>
  </si>
  <si>
    <t>COMPOSIÇÃO DO RESULTADO</t>
  </si>
  <si>
    <t>$ de 31/12</t>
  </si>
  <si>
    <t>Estocagem de mercadorias</t>
  </si>
  <si>
    <t>Comercialização de mercadorias</t>
  </si>
  <si>
    <t>Gestão do caixa</t>
  </si>
  <si>
    <t>BALANÇO PATRIMONIAL EM 31/12</t>
  </si>
  <si>
    <t>Reserva de lucro</t>
  </si>
  <si>
    <t>Lucro disponível</t>
  </si>
  <si>
    <t>ABRIL</t>
  </si>
  <si>
    <t>Matéria prima colocada na produção</t>
  </si>
  <si>
    <t>Produtos acabados</t>
  </si>
  <si>
    <t>Produtos em elaboração (2/3 de acabam)</t>
  </si>
  <si>
    <t>Equivalente de produção</t>
  </si>
  <si>
    <t>Perdas normais no processo (sucata)</t>
  </si>
  <si>
    <t>CUSTOS DE PRODUÇÃO</t>
  </si>
  <si>
    <t>Custo da MP por kg</t>
  </si>
  <si>
    <t>Custo da MOD por kg</t>
  </si>
  <si>
    <t>Custos indiretos por kg</t>
  </si>
  <si>
    <t>Estoque final de produtos acabados</t>
  </si>
  <si>
    <t>ESTOQUE FINAL DE PRODUTOS EM ELABORAÇÃO</t>
  </si>
  <si>
    <t>MATÉRIA-PRIMA</t>
  </si>
  <si>
    <t>Quantidade - kg</t>
  </si>
  <si>
    <t>Custo da MP</t>
  </si>
  <si>
    <t>Mão de obra</t>
  </si>
  <si>
    <t>Outros custos</t>
  </si>
  <si>
    <t>CO-PRODUTOS</t>
  </si>
  <si>
    <t>Quirera</t>
  </si>
  <si>
    <t>Fubá</t>
  </si>
  <si>
    <t>Germe</t>
  </si>
  <si>
    <t>PRODUÇÃO (KG)</t>
  </si>
  <si>
    <t>VENDA (KG)</t>
  </si>
  <si>
    <t>PREÇO/KG</t>
  </si>
  <si>
    <t>VALOR DA PRODUÇÃO</t>
  </si>
  <si>
    <t>Volume %</t>
  </si>
  <si>
    <t>Valor %</t>
  </si>
  <si>
    <t>ALOCAÇÃO DOS CUSTOS CONJUNTOS COM BASE NO VOLUME</t>
  </si>
  <si>
    <t>MP</t>
  </si>
  <si>
    <t>MO</t>
  </si>
  <si>
    <t>CST/KG</t>
  </si>
  <si>
    <t>ESTOQUE FINAL</t>
  </si>
  <si>
    <t>ALOCAÇÃO DOS CUSTOS CONJUNTOS COM BASE NO VALOR DE MERCADO</t>
  </si>
  <si>
    <t>Rec de vda</t>
  </si>
  <si>
    <t>Lucro bruto</t>
  </si>
  <si>
    <t>ENCERADEIRAS</t>
  </si>
  <si>
    <t>ASPIRADORES</t>
  </si>
  <si>
    <t>Quantidades (und)</t>
  </si>
  <si>
    <t>(-) Mat embalag</t>
  </si>
  <si>
    <t>CUSTOS INDIRETOS (FIXOS)</t>
  </si>
  <si>
    <t>Supervisão</t>
  </si>
  <si>
    <t>Depreciação</t>
  </si>
  <si>
    <t>Outros</t>
  </si>
  <si>
    <t>Tempo de produç (h/unid)</t>
  </si>
  <si>
    <t>Tempo de produç (h tot)</t>
  </si>
  <si>
    <t>RESULTADO (Absorção)</t>
  </si>
  <si>
    <t>RESULTADO (Direto/variável)</t>
  </si>
  <si>
    <t>(=) MC</t>
  </si>
  <si>
    <t>C1</t>
  </si>
  <si>
    <t>C2</t>
  </si>
  <si>
    <t>C3</t>
  </si>
  <si>
    <t>(=) "RESULTADO"</t>
  </si>
  <si>
    <t>Entradas de caixa -identificadas</t>
  </si>
  <si>
    <t>(-) Saídas de caixa - identificadas</t>
  </si>
  <si>
    <t>(-) Saídas de caixa - comuns</t>
  </si>
  <si>
    <t>"RESULTADO" (Absorção)</t>
  </si>
  <si>
    <t>"RESULTADO" (Direto/variável)</t>
  </si>
  <si>
    <t>(=) "MC"</t>
  </si>
  <si>
    <t>Carrinhos de chá</t>
  </si>
  <si>
    <t>Estantes</t>
  </si>
  <si>
    <t>Materiais diretos</t>
  </si>
  <si>
    <t>Comissões de vendas</t>
  </si>
  <si>
    <t>Frete</t>
  </si>
  <si>
    <t>CUSTOS VARIÁVEIS POR UNIDADE</t>
  </si>
  <si>
    <t>Custos fixos</t>
  </si>
  <si>
    <t>Despesas fixas</t>
  </si>
  <si>
    <t>$/SEMANA</t>
  </si>
  <si>
    <t>PROPOSTA 1</t>
  </si>
  <si>
    <t>Quantidade (unidades)</t>
  </si>
  <si>
    <t>Semanas</t>
  </si>
  <si>
    <t>PROPOSTA 2</t>
  </si>
  <si>
    <t>EFEITO NO RESULTADO</t>
  </si>
  <si>
    <t>(-) Custos variáveis</t>
  </si>
  <si>
    <t>(=) MARGEM DE CONTRIBUIÇÃO</t>
  </si>
  <si>
    <t>(=) RESULTADO OPERACIONAL</t>
  </si>
  <si>
    <t>(-) Custos e despesas fixos - seman ociosas</t>
  </si>
  <si>
    <t>(-) Custos e despesas fixos - seman trab</t>
  </si>
  <si>
    <t>$/pizza</t>
  </si>
  <si>
    <t>(-) CDV</t>
  </si>
  <si>
    <t>Capital investido</t>
  </si>
  <si>
    <t>Terceiros</t>
  </si>
  <si>
    <t>Sócios</t>
  </si>
  <si>
    <t>CUSTO DO CAPITAL INVESTIDO ($/mês)</t>
  </si>
  <si>
    <t>CUSTOS E DESPESAS FIXOS ($/MÊS)</t>
  </si>
  <si>
    <t>Desembolsáveis</t>
  </si>
  <si>
    <t>PEC (pizzas/mês)</t>
  </si>
  <si>
    <t>PEE (pizzas/mês)</t>
  </si>
  <si>
    <t>PEF1 (pizzas/mês)</t>
  </si>
  <si>
    <t>PMT da dívida</t>
  </si>
  <si>
    <t>PEF2 (pizzas/mês)</t>
  </si>
  <si>
    <t>Vendas (pizzas/mês)</t>
  </si>
  <si>
    <t>Lucro operacional/mês</t>
  </si>
  <si>
    <t>Riqueza gerada / mês (EVA®)</t>
  </si>
  <si>
    <t>Caixa operacional gerado</t>
  </si>
  <si>
    <t>Caixa líquido gerado</t>
  </si>
  <si>
    <t>$/TON</t>
  </si>
  <si>
    <t>Preço de venda - bruto</t>
  </si>
  <si>
    <t>(-) Impostos sobre venda</t>
  </si>
  <si>
    <t>(=) Preço de venda - líquido</t>
  </si>
  <si>
    <t>(=) Margem de contribuição</t>
  </si>
  <si>
    <t>(-) Comissões sobre venda</t>
  </si>
  <si>
    <t>$/mês</t>
  </si>
  <si>
    <t>Depreciações</t>
  </si>
  <si>
    <t>Custo do capital investido</t>
  </si>
  <si>
    <t>Custos e despesas fixos operacionais</t>
  </si>
  <si>
    <t>$/ton</t>
  </si>
  <si>
    <t>Quantidade (toneladas/mês)</t>
  </si>
  <si>
    <t>DEMONSTRAÇÃO DO RESULTADO - $/MÊS</t>
  </si>
  <si>
    <t>Receita bruta de vendas</t>
  </si>
  <si>
    <t>(-) Receita líquida de venda</t>
  </si>
  <si>
    <t>(-) Custos e despesas fixos operacionais</t>
  </si>
  <si>
    <t>(=) LUCRO OPERACIONAL</t>
  </si>
  <si>
    <t>(-) Custo total do capital investido</t>
  </si>
  <si>
    <t>(=) EVA®</t>
  </si>
  <si>
    <t>LUCRO OPERACIONAL</t>
  </si>
  <si>
    <t>(+) Depreciação</t>
  </si>
  <si>
    <t>(=) FLUXO DE CAIXA OPERACIONAL</t>
  </si>
  <si>
    <t>(-) PMT das dívidas</t>
  </si>
  <si>
    <t>(=) FLUXO DE CAIXA LÍQUIDO</t>
  </si>
  <si>
    <t>Vendas</t>
  </si>
  <si>
    <t>ton/mês</t>
  </si>
  <si>
    <t>Lucro operacional</t>
  </si>
  <si>
    <t>PEC (ton/mês)</t>
  </si>
  <si>
    <t>PEE (ton/mês)</t>
  </si>
  <si>
    <t>PEF1 (ton/mês)</t>
  </si>
  <si>
    <t>PEF2 (ton/mês)</t>
  </si>
  <si>
    <t>PMT - dívida</t>
  </si>
  <si>
    <t>Riqueza gerada</t>
  </si>
  <si>
    <t>Caixa Operacional</t>
  </si>
  <si>
    <t>Caixa Líquido</t>
  </si>
  <si>
    <t>(=) Margem de contribuição bruta</t>
  </si>
  <si>
    <t>(=) Margem de contribuição líquida</t>
  </si>
  <si>
    <t>(=) EBIT (LUCRO OPERACIONAL BRUTO)</t>
  </si>
  <si>
    <t>(-) Custos IR/CSSLL</t>
  </si>
  <si>
    <t>(=) EBIT (LUCRO OPERAC LÍQUIDO)</t>
  </si>
  <si>
    <t>Camisas</t>
  </si>
  <si>
    <t>Blusas</t>
  </si>
  <si>
    <t>Calças</t>
  </si>
  <si>
    <t>Vendas mensais (unidades)</t>
  </si>
  <si>
    <t>Preço unitário</t>
  </si>
  <si>
    <t>Custos e despesas variáveis por unidade</t>
  </si>
  <si>
    <t>Alíquota de IR</t>
  </si>
  <si>
    <t>Custos e despesas fixos por ano</t>
  </si>
  <si>
    <t>Vendas mensais (%)</t>
  </si>
  <si>
    <t>PREÇO MÉDIO DE VENDA</t>
  </si>
  <si>
    <t>$/PEÇA</t>
  </si>
  <si>
    <t>CDV MÉDIOS</t>
  </si>
  <si>
    <t>MC MÉDIA - BRUTA</t>
  </si>
  <si>
    <t>IR/CSSLL</t>
  </si>
  <si>
    <t>MC MÉDIA - LÍQUIDA</t>
  </si>
  <si>
    <t>Custos e despesas fixos por mês</t>
  </si>
  <si>
    <t>PEC</t>
  </si>
  <si>
    <t>PEÇAS</t>
  </si>
  <si>
    <t>(-) CDF</t>
  </si>
  <si>
    <t>(=) EBIT</t>
  </si>
  <si>
    <t>(=) NOPAT</t>
  </si>
  <si>
    <t>Custo do capital investido ($/ano)</t>
  </si>
  <si>
    <t>Custo do capital investido ($/mês)</t>
  </si>
  <si>
    <t>PEE</t>
  </si>
  <si>
    <t>(-) Custo do capital investido</t>
  </si>
  <si>
    <t>Depreciação mensal</t>
  </si>
  <si>
    <t>PEF</t>
  </si>
  <si>
    <t>(=) Caixa operacional</t>
  </si>
  <si>
    <t>VENDAS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</si>
</sst>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  <numFmt numFmtId="165" formatCode="#,##0.0000_);[Red]\(#,##0.0000\)"/>
    <numFmt numFmtId="166" formatCode="#,##0.000_);[Red]\(#,##0.000\)"/>
    <numFmt numFmtId="167" formatCode="0.0%"/>
    <numFmt numFmtId="168" formatCode="#,##0.0_);[Red]\(#,##0.0\)"/>
    <numFmt numFmtId="169" formatCode="#,##0.00000_);[Red]\(#,##0.00000\)"/>
    <numFmt numFmtId="170" formatCode="#,##0.000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name val="Tahoma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0" tint="-0.24997000396251678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9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73">
    <xf numFmtId="0" fontId="0" fillId="0" borderId="0" xfId="0" applyFont="1" applyAlignment="1">
      <alignment/>
    </xf>
    <xf numFmtId="38" fontId="0" fillId="33" borderId="0" xfId="0" applyNumberFormat="1" applyFill="1" applyAlignment="1">
      <alignment horizontal="center" vertical="center" wrapText="1"/>
    </xf>
    <xf numFmtId="38" fontId="0" fillId="33" borderId="0" xfId="0" applyNumberFormat="1" applyFill="1" applyAlignment="1">
      <alignment horizontal="left" vertical="center" wrapText="1"/>
    </xf>
    <xf numFmtId="38" fontId="0" fillId="33" borderId="10" xfId="0" applyNumberForma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0" fillId="33" borderId="13" xfId="0" applyNumberFormat="1" applyFill="1" applyBorder="1" applyAlignment="1">
      <alignment horizontal="left" vertical="center" wrapText="1"/>
    </xf>
    <xf numFmtId="38" fontId="0" fillId="33" borderId="0" xfId="0" applyNumberFormat="1" applyFill="1" applyBorder="1" applyAlignment="1">
      <alignment horizontal="center" vertical="center" wrapText="1"/>
    </xf>
    <xf numFmtId="38" fontId="0" fillId="33" borderId="14" xfId="0" applyNumberFormat="1" applyFill="1" applyBorder="1" applyAlignment="1">
      <alignment horizontal="center" vertical="center" wrapText="1"/>
    </xf>
    <xf numFmtId="38" fontId="0" fillId="33" borderId="15" xfId="0" applyNumberFormat="1" applyFill="1" applyBorder="1" applyAlignment="1">
      <alignment horizontal="left" vertical="center" wrapText="1"/>
    </xf>
    <xf numFmtId="38" fontId="0" fillId="33" borderId="16" xfId="0" applyNumberFormat="1" applyFill="1" applyBorder="1" applyAlignment="1">
      <alignment horizontal="center" vertical="center" wrapText="1"/>
    </xf>
    <xf numFmtId="38" fontId="0" fillId="33" borderId="17" xfId="0" applyNumberFormat="1" applyFill="1" applyBorder="1" applyAlignment="1">
      <alignment horizontal="center" vertical="center" wrapText="1"/>
    </xf>
    <xf numFmtId="38" fontId="49" fillId="33" borderId="10" xfId="0" applyNumberFormat="1" applyFont="1" applyFill="1" applyBorder="1" applyAlignment="1">
      <alignment horizontal="center" vertical="center" wrapText="1"/>
    </xf>
    <xf numFmtId="38" fontId="49" fillId="33" borderId="11" xfId="0" applyNumberFormat="1" applyFont="1" applyFill="1" applyBorder="1" applyAlignment="1">
      <alignment horizontal="center" vertical="center" wrapText="1"/>
    </xf>
    <xf numFmtId="38" fontId="49" fillId="33" borderId="12" xfId="0" applyNumberFormat="1" applyFont="1" applyFill="1" applyBorder="1" applyAlignment="1">
      <alignment horizontal="center" vertical="center" wrapText="1"/>
    </xf>
    <xf numFmtId="38" fontId="49" fillId="33" borderId="15" xfId="0" applyNumberFormat="1" applyFont="1" applyFill="1" applyBorder="1" applyAlignment="1">
      <alignment horizontal="center" vertical="center" wrapText="1"/>
    </xf>
    <xf numFmtId="38" fontId="49" fillId="33" borderId="16" xfId="0" applyNumberFormat="1" applyFont="1" applyFill="1" applyBorder="1" applyAlignment="1">
      <alignment horizontal="center" vertical="center" wrapText="1"/>
    </xf>
    <xf numFmtId="38" fontId="49" fillId="33" borderId="17" xfId="0" applyNumberFormat="1" applyFont="1" applyFill="1" applyBorder="1" applyAlignment="1">
      <alignment horizontal="center" vertical="center" wrapText="1"/>
    </xf>
    <xf numFmtId="38" fontId="50" fillId="33" borderId="10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38" fontId="49" fillId="33" borderId="0" xfId="0" applyNumberFormat="1" applyFont="1" applyFill="1" applyBorder="1" applyAlignment="1">
      <alignment horizontal="center" vertical="center" wrapText="1"/>
    </xf>
    <xf numFmtId="38" fontId="49" fillId="33" borderId="14" xfId="0" applyNumberFormat="1" applyFont="1" applyFill="1" applyBorder="1" applyAlignment="1">
      <alignment horizontal="center" vertical="center" wrapText="1"/>
    </xf>
    <xf numFmtId="38" fontId="50" fillId="33" borderId="16" xfId="0" applyNumberFormat="1" applyFont="1" applyFill="1" applyBorder="1" applyAlignment="1">
      <alignment horizontal="center" vertical="center" wrapText="1"/>
    </xf>
    <xf numFmtId="38" fontId="50" fillId="33" borderId="17" xfId="0" applyNumberFormat="1" applyFont="1" applyFill="1" applyBorder="1" applyAlignment="1">
      <alignment horizontal="center" vertical="center" wrapText="1"/>
    </xf>
    <xf numFmtId="38" fontId="49" fillId="33" borderId="13" xfId="0" applyNumberFormat="1" applyFont="1" applyFill="1" applyBorder="1" applyAlignment="1">
      <alignment horizontal="left" vertical="center" wrapText="1"/>
    </xf>
    <xf numFmtId="38" fontId="50" fillId="33" borderId="15" xfId="0" applyNumberFormat="1" applyFont="1" applyFill="1" applyBorder="1" applyAlignment="1">
      <alignment horizontal="left" vertical="center" wrapText="1"/>
    </xf>
    <xf numFmtId="38" fontId="48" fillId="34" borderId="10" xfId="0" applyNumberFormat="1" applyFont="1" applyFill="1" applyBorder="1" applyAlignment="1">
      <alignment horizontal="center" vertical="center" wrapText="1"/>
    </xf>
    <xf numFmtId="38" fontId="48" fillId="34" borderId="11" xfId="0" applyNumberFormat="1" applyFont="1" applyFill="1" applyBorder="1" applyAlignment="1">
      <alignment horizontal="center" vertical="center" wrapText="1"/>
    </xf>
    <xf numFmtId="38" fontId="48" fillId="34" borderId="12" xfId="0" applyNumberFormat="1" applyFont="1" applyFill="1" applyBorder="1" applyAlignment="1">
      <alignment horizontal="center" vertical="center" wrapText="1"/>
    </xf>
    <xf numFmtId="38" fontId="0" fillId="34" borderId="13" xfId="0" applyNumberFormat="1" applyFill="1" applyBorder="1" applyAlignment="1">
      <alignment horizontal="left" vertical="center" wrapText="1"/>
    </xf>
    <xf numFmtId="38" fontId="0" fillId="34" borderId="0" xfId="0" applyNumberFormat="1" applyFill="1" applyBorder="1" applyAlignment="1">
      <alignment horizontal="center" vertical="center" wrapText="1"/>
    </xf>
    <xf numFmtId="38" fontId="0" fillId="34" borderId="14" xfId="0" applyNumberFormat="1" applyFill="1" applyBorder="1" applyAlignment="1">
      <alignment horizontal="center" vertical="center" wrapText="1"/>
    </xf>
    <xf numFmtId="38" fontId="48" fillId="34" borderId="15" xfId="0" applyNumberFormat="1" applyFont="1" applyFill="1" applyBorder="1" applyAlignment="1">
      <alignment horizontal="left" vertical="center" wrapText="1"/>
    </xf>
    <xf numFmtId="38" fontId="48" fillId="34" borderId="16" xfId="0" applyNumberFormat="1" applyFont="1" applyFill="1" applyBorder="1" applyAlignment="1">
      <alignment horizontal="center" vertical="center" wrapText="1"/>
    </xf>
    <xf numFmtId="38" fontId="48" fillId="34" borderId="17" xfId="0" applyNumberFormat="1" applyFont="1" applyFill="1" applyBorder="1" applyAlignment="1">
      <alignment horizontal="center" vertical="center" wrapText="1"/>
    </xf>
    <xf numFmtId="38" fontId="48" fillId="34" borderId="13" xfId="0" applyNumberFormat="1" applyFont="1" applyFill="1" applyBorder="1" applyAlignment="1">
      <alignment horizontal="left" vertical="center" wrapText="1"/>
    </xf>
    <xf numFmtId="38" fontId="48" fillId="34" borderId="0" xfId="0" applyNumberFormat="1" applyFont="1" applyFill="1" applyBorder="1" applyAlignment="1">
      <alignment horizontal="center" vertical="center" wrapText="1"/>
    </xf>
    <xf numFmtId="38" fontId="48" fillId="34" borderId="14" xfId="0" applyNumberFormat="1" applyFont="1" applyFill="1" applyBorder="1" applyAlignment="1">
      <alignment horizontal="center" vertical="center" wrapText="1"/>
    </xf>
    <xf numFmtId="38" fontId="0" fillId="35" borderId="13" xfId="0" applyNumberFormat="1" applyFill="1" applyBorder="1" applyAlignment="1">
      <alignment horizontal="left" vertical="center" wrapText="1"/>
    </xf>
    <xf numFmtId="38" fontId="0" fillId="35" borderId="0" xfId="0" applyNumberFormat="1" applyFill="1" applyBorder="1" applyAlignment="1">
      <alignment horizontal="center" vertical="center" wrapText="1"/>
    </xf>
    <xf numFmtId="38" fontId="0" fillId="35" borderId="14" xfId="0" applyNumberFormat="1" applyFill="1" applyBorder="1" applyAlignment="1">
      <alignment horizontal="center" vertical="center" wrapText="1"/>
    </xf>
    <xf numFmtId="38" fontId="49" fillId="35" borderId="13" xfId="0" applyNumberFormat="1" applyFont="1" applyFill="1" applyBorder="1" applyAlignment="1">
      <alignment horizontal="left" vertical="center" wrapText="1"/>
    </xf>
    <xf numFmtId="38" fontId="49" fillId="35" borderId="0" xfId="0" applyNumberFormat="1" applyFont="1" applyFill="1" applyBorder="1" applyAlignment="1">
      <alignment horizontal="center" vertical="center" wrapText="1"/>
    </xf>
    <xf numFmtId="38" fontId="49" fillId="35" borderId="14" xfId="0" applyNumberFormat="1" applyFont="1" applyFill="1" applyBorder="1" applyAlignment="1">
      <alignment horizontal="center" vertical="center" wrapText="1"/>
    </xf>
    <xf numFmtId="38" fontId="0" fillId="33" borderId="10" xfId="0" applyNumberFormat="1" applyFill="1" applyBorder="1" applyAlignment="1">
      <alignment horizontal="left" vertical="center" wrapText="1"/>
    </xf>
    <xf numFmtId="38" fontId="0" fillId="33" borderId="12" xfId="0" applyNumberForma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5" xfId="0" applyNumberFormat="1" applyFont="1" applyFill="1" applyBorder="1" applyAlignment="1">
      <alignment horizontal="left" vertical="center" wrapText="1"/>
    </xf>
    <xf numFmtId="38" fontId="48" fillId="33" borderId="16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9" fillId="36" borderId="13" xfId="0" applyNumberFormat="1" applyFont="1" applyFill="1" applyBorder="1" applyAlignment="1">
      <alignment horizontal="left" vertical="center" wrapText="1"/>
    </xf>
    <xf numFmtId="38" fontId="49" fillId="36" borderId="0" xfId="0" applyNumberFormat="1" applyFont="1" applyFill="1" applyBorder="1" applyAlignment="1">
      <alignment horizontal="center" vertical="center" wrapText="1"/>
    </xf>
    <xf numFmtId="38" fontId="49" fillId="36" borderId="0" xfId="0" applyNumberFormat="1" applyFont="1" applyFill="1" applyBorder="1" applyAlignment="1">
      <alignment horizontal="left" vertical="center" wrapText="1"/>
    </xf>
    <xf numFmtId="38" fontId="49" fillId="36" borderId="14" xfId="0" applyNumberFormat="1" applyFont="1" applyFill="1" applyBorder="1" applyAlignment="1">
      <alignment horizontal="center" vertical="center" wrapText="1"/>
    </xf>
    <xf numFmtId="38" fontId="50" fillId="36" borderId="14" xfId="0" applyNumberFormat="1" applyFont="1" applyFill="1" applyBorder="1" applyAlignment="1">
      <alignment horizontal="center" vertical="center" wrapText="1"/>
    </xf>
    <xf numFmtId="38" fontId="49" fillId="36" borderId="15" xfId="0" applyNumberFormat="1" applyFont="1" applyFill="1" applyBorder="1" applyAlignment="1">
      <alignment horizontal="left" vertical="center" wrapText="1"/>
    </xf>
    <xf numFmtId="38" fontId="49" fillId="36" borderId="16" xfId="0" applyNumberFormat="1" applyFont="1" applyFill="1" applyBorder="1" applyAlignment="1">
      <alignment horizontal="center" vertical="center" wrapText="1"/>
    </xf>
    <xf numFmtId="38" fontId="49" fillId="36" borderId="17" xfId="0" applyNumberFormat="1" applyFont="1" applyFill="1" applyBorder="1" applyAlignment="1">
      <alignment horizontal="center" vertical="center" wrapText="1"/>
    </xf>
    <xf numFmtId="38" fontId="48" fillId="33" borderId="0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40" fontId="0" fillId="33" borderId="0" xfId="0" applyNumberFormat="1" applyFill="1" applyBorder="1" applyAlignment="1">
      <alignment horizontal="center" vertical="center" wrapText="1"/>
    </xf>
    <xf numFmtId="40" fontId="48" fillId="33" borderId="16" xfId="0" applyNumberFormat="1" applyFont="1" applyFill="1" applyBorder="1" applyAlignment="1">
      <alignment horizontal="center" vertical="center" wrapText="1"/>
    </xf>
    <xf numFmtId="40" fontId="0" fillId="33" borderId="11" xfId="0" applyNumberFormat="1" applyFill="1" applyBorder="1" applyAlignment="1">
      <alignment horizontal="center" vertical="center" wrapText="1"/>
    </xf>
    <xf numFmtId="38" fontId="0" fillId="33" borderId="11" xfId="0" applyNumberFormat="1" applyFill="1" applyBorder="1" applyAlignment="1">
      <alignment horizontal="center" vertical="center" wrapText="1"/>
    </xf>
    <xf numFmtId="40" fontId="0" fillId="33" borderId="16" xfId="0" applyNumberFormat="1" applyFill="1" applyBorder="1" applyAlignment="1">
      <alignment horizontal="center" vertical="center" wrapText="1"/>
    </xf>
    <xf numFmtId="38" fontId="0" fillId="33" borderId="18" xfId="0" applyNumberFormat="1" applyFill="1" applyBorder="1" applyAlignment="1">
      <alignment horizontal="left" vertical="center" wrapText="1"/>
    </xf>
    <xf numFmtId="40" fontId="0" fillId="33" borderId="19" xfId="0" applyNumberFormat="1" applyFill="1" applyBorder="1" applyAlignment="1">
      <alignment horizontal="center" vertical="center" wrapText="1"/>
    </xf>
    <xf numFmtId="38" fontId="0" fillId="33" borderId="19" xfId="0" applyNumberFormat="1" applyFill="1" applyBorder="1" applyAlignment="1">
      <alignment horizontal="center" vertical="center" wrapText="1"/>
    </xf>
    <xf numFmtId="38" fontId="48" fillId="33" borderId="20" xfId="0" applyNumberFormat="1" applyFont="1" applyFill="1" applyBorder="1" applyAlignment="1">
      <alignment horizontal="center" vertical="center" wrapText="1"/>
    </xf>
    <xf numFmtId="38" fontId="51" fillId="33" borderId="14" xfId="0" applyNumberFormat="1" applyFont="1" applyFill="1" applyBorder="1" applyAlignment="1">
      <alignment horizontal="center" vertical="center" wrapText="1"/>
    </xf>
    <xf numFmtId="38" fontId="48" fillId="33" borderId="0" xfId="0" applyNumberFormat="1" applyFont="1" applyFill="1" applyAlignment="1">
      <alignment horizontal="center" vertical="center" wrapText="1"/>
    </xf>
    <xf numFmtId="38" fontId="0" fillId="37" borderId="10" xfId="0" applyNumberFormat="1" applyFill="1" applyBorder="1" applyAlignment="1">
      <alignment horizontal="left" vertical="center" wrapText="1"/>
    </xf>
    <xf numFmtId="38" fontId="0" fillId="37" borderId="11" xfId="0" applyNumberFormat="1" applyFill="1" applyBorder="1" applyAlignment="1">
      <alignment horizontal="center" vertical="center" wrapText="1"/>
    </xf>
    <xf numFmtId="38" fontId="0" fillId="37" borderId="12" xfId="0" applyNumberFormat="1" applyFill="1" applyBorder="1" applyAlignment="1">
      <alignment horizontal="center" vertical="center" wrapText="1"/>
    </xf>
    <xf numFmtId="38" fontId="0" fillId="37" borderId="13" xfId="0" applyNumberFormat="1" applyFill="1" applyBorder="1" applyAlignment="1">
      <alignment horizontal="left" vertical="center" wrapText="1"/>
    </xf>
    <xf numFmtId="38" fontId="0" fillId="37" borderId="0" xfId="0" applyNumberFormat="1" applyFill="1" applyBorder="1" applyAlignment="1">
      <alignment horizontal="center" vertical="center" wrapText="1"/>
    </xf>
    <xf numFmtId="38" fontId="0" fillId="37" borderId="14" xfId="0" applyNumberFormat="1" applyFill="1" applyBorder="1" applyAlignment="1">
      <alignment horizontal="center" vertical="center" wrapText="1"/>
    </xf>
    <xf numFmtId="38" fontId="0" fillId="37" borderId="15" xfId="0" applyNumberFormat="1" applyFill="1" applyBorder="1" applyAlignment="1">
      <alignment horizontal="left" vertical="center" wrapText="1"/>
    </xf>
    <xf numFmtId="38" fontId="0" fillId="37" borderId="16" xfId="0" applyNumberFormat="1" applyFill="1" applyBorder="1" applyAlignment="1">
      <alignment horizontal="center" vertical="center" wrapText="1"/>
    </xf>
    <xf numFmtId="38" fontId="0" fillId="37" borderId="17" xfId="0" applyNumberFormat="1" applyFill="1" applyBorder="1" applyAlignment="1">
      <alignment horizontal="center" vertical="center" wrapText="1"/>
    </xf>
    <xf numFmtId="40" fontId="49" fillId="36" borderId="0" xfId="0" applyNumberFormat="1" applyFont="1" applyFill="1" applyBorder="1" applyAlignment="1">
      <alignment horizontal="center" vertical="center" wrapText="1"/>
    </xf>
    <xf numFmtId="40" fontId="50" fillId="36" borderId="14" xfId="0" applyNumberFormat="1" applyFont="1" applyFill="1" applyBorder="1" applyAlignment="1">
      <alignment horizontal="center" vertical="center" wrapText="1"/>
    </xf>
    <xf numFmtId="38" fontId="50" fillId="36" borderId="17" xfId="0" applyNumberFormat="1" applyFont="1" applyFill="1" applyBorder="1" applyAlignment="1">
      <alignment horizontal="center" vertical="center" wrapText="1"/>
    </xf>
    <xf numFmtId="165" fontId="0" fillId="33" borderId="0" xfId="0" applyNumberFormat="1" applyFill="1" applyBorder="1" applyAlignment="1">
      <alignment horizontal="center" vertical="center" wrapText="1"/>
    </xf>
    <xf numFmtId="38" fontId="48" fillId="33" borderId="18" xfId="0" applyNumberFormat="1" applyFont="1" applyFill="1" applyBorder="1" applyAlignment="1">
      <alignment horizontal="left" vertical="center" wrapText="1"/>
    </xf>
    <xf numFmtId="38" fontId="48" fillId="33" borderId="19" xfId="0" applyNumberFormat="1" applyFont="1" applyFill="1" applyBorder="1" applyAlignment="1">
      <alignment horizontal="center" vertical="center" wrapText="1"/>
    </xf>
    <xf numFmtId="38" fontId="48" fillId="33" borderId="13" xfId="0" applyNumberFormat="1" applyFont="1" applyFill="1" applyBorder="1" applyAlignment="1">
      <alignment horizontal="left" vertical="center" wrapText="1"/>
    </xf>
    <xf numFmtId="38" fontId="48" fillId="33" borderId="10" xfId="0" applyNumberFormat="1" applyFont="1" applyFill="1" applyBorder="1" applyAlignment="1">
      <alignment horizontal="left" vertical="center" wrapText="1"/>
    </xf>
    <xf numFmtId="38" fontId="0" fillId="33" borderId="13" xfId="0" applyNumberFormat="1" applyFont="1" applyFill="1" applyBorder="1" applyAlignment="1">
      <alignment horizontal="left" vertical="center" wrapText="1"/>
    </xf>
    <xf numFmtId="38" fontId="0" fillId="33" borderId="14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8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0" fillId="33" borderId="13" xfId="0" applyNumberFormat="1" applyFill="1" applyBorder="1" applyAlignment="1">
      <alignment horizontal="center" vertical="center" wrapText="1"/>
    </xf>
    <xf numFmtId="38" fontId="48" fillId="33" borderId="15" xfId="0" applyNumberFormat="1" applyFont="1" applyFill="1" applyBorder="1" applyAlignment="1">
      <alignment horizontal="center" vertical="center" wrapText="1"/>
    </xf>
    <xf numFmtId="38" fontId="49" fillId="33" borderId="0" xfId="0" applyNumberFormat="1" applyFont="1" applyFill="1" applyAlignment="1">
      <alignment horizontal="center" vertical="center" wrapText="1"/>
    </xf>
    <xf numFmtId="38" fontId="49" fillId="36" borderId="0" xfId="0" applyNumberFormat="1" applyFont="1" applyFill="1" applyAlignment="1">
      <alignment horizontal="left" vertical="center" wrapText="1"/>
    </xf>
    <xf numFmtId="38" fontId="49" fillId="36" borderId="0" xfId="0" applyNumberFormat="1" applyFont="1" applyFill="1" applyAlignment="1">
      <alignment horizontal="center" vertical="center" wrapText="1"/>
    </xf>
    <xf numFmtId="38" fontId="50" fillId="36" borderId="0" xfId="0" applyNumberFormat="1" applyFont="1" applyFill="1" applyAlignment="1">
      <alignment horizontal="center" vertical="center" wrapText="1"/>
    </xf>
    <xf numFmtId="38" fontId="48" fillId="33" borderId="13" xfId="0" applyNumberFormat="1" applyFont="1" applyFill="1" applyBorder="1" applyAlignment="1">
      <alignment horizontal="center" vertical="center" wrapText="1"/>
    </xf>
    <xf numFmtId="38" fontId="48" fillId="33" borderId="21" xfId="0" applyNumberFormat="1" applyFont="1" applyFill="1" applyBorder="1" applyAlignment="1">
      <alignment horizontal="center" vertical="center" wrapText="1"/>
    </xf>
    <xf numFmtId="38" fontId="48" fillId="33" borderId="22" xfId="0" applyNumberFormat="1" applyFont="1" applyFill="1" applyBorder="1" applyAlignment="1">
      <alignment horizontal="center" vertical="center" wrapText="1"/>
    </xf>
    <xf numFmtId="38" fontId="48" fillId="33" borderId="23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9" fillId="36" borderId="15" xfId="0" applyNumberFormat="1" applyFont="1" applyFill="1" applyBorder="1" applyAlignment="1">
      <alignment horizontal="center" vertical="center" wrapText="1"/>
    </xf>
    <xf numFmtId="38" fontId="0" fillId="33" borderId="15" xfId="0" applyNumberFormat="1" applyFill="1" applyBorder="1" applyAlignment="1">
      <alignment horizontal="center" vertical="center" wrapText="1"/>
    </xf>
    <xf numFmtId="166" fontId="0" fillId="33" borderId="16" xfId="0" applyNumberFormat="1" applyFill="1" applyBorder="1" applyAlignment="1">
      <alignment horizontal="center" vertical="center" wrapText="1"/>
    </xf>
    <xf numFmtId="166" fontId="0" fillId="33" borderId="17" xfId="0" applyNumberFormat="1" applyFill="1" applyBorder="1" applyAlignment="1">
      <alignment horizontal="center" vertical="center" wrapText="1"/>
    </xf>
    <xf numFmtId="38" fontId="48" fillId="33" borderId="22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48" fillId="33" borderId="13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9" fillId="33" borderId="0" xfId="0" applyNumberFormat="1" applyFont="1" applyFill="1" applyBorder="1" applyAlignment="1">
      <alignment horizontal="left" vertical="center" wrapText="1"/>
    </xf>
    <xf numFmtId="38" fontId="48" fillId="37" borderId="14" xfId="0" applyNumberFormat="1" applyFont="1" applyFill="1" applyBorder="1" applyAlignment="1">
      <alignment horizontal="center" vertical="center" wrapText="1"/>
    </xf>
    <xf numFmtId="167" fontId="0" fillId="37" borderId="16" xfId="49" applyNumberFormat="1" applyFont="1" applyFill="1" applyBorder="1" applyAlignment="1">
      <alignment horizontal="center" vertical="center" wrapText="1"/>
    </xf>
    <xf numFmtId="9" fontId="48" fillId="37" borderId="17" xfId="49" applyFont="1" applyFill="1" applyBorder="1" applyAlignment="1">
      <alignment horizontal="center" vertical="center" wrapText="1"/>
    </xf>
    <xf numFmtId="38" fontId="49" fillId="33" borderId="10" xfId="0" applyNumberFormat="1" applyFont="1" applyFill="1" applyBorder="1" applyAlignment="1">
      <alignment horizontal="left" vertical="center" wrapText="1"/>
    </xf>
    <xf numFmtId="38" fontId="49" fillId="33" borderId="15" xfId="0" applyNumberFormat="1" applyFont="1" applyFill="1" applyBorder="1" applyAlignment="1">
      <alignment horizontal="left" vertical="center" wrapText="1"/>
    </xf>
    <xf numFmtId="38" fontId="48" fillId="37" borderId="12" xfId="0" applyNumberFormat="1" applyFon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48" fillId="33" borderId="18" xfId="0" applyNumberFormat="1" applyFont="1" applyFill="1" applyBorder="1" applyAlignment="1">
      <alignment horizontal="center" vertical="center" wrapText="1"/>
    </xf>
    <xf numFmtId="38" fontId="48" fillId="33" borderId="19" xfId="0" applyNumberFormat="1" applyFont="1" applyFill="1" applyBorder="1" applyAlignment="1">
      <alignment horizontal="center" vertical="center" wrapText="1"/>
    </xf>
    <xf numFmtId="38" fontId="48" fillId="33" borderId="20" xfId="0" applyNumberFormat="1" applyFont="1" applyFill="1" applyBorder="1" applyAlignment="1">
      <alignment horizontal="center" vertical="center" wrapText="1"/>
    </xf>
    <xf numFmtId="168" fontId="0" fillId="33" borderId="0" xfId="0" applyNumberFormat="1" applyFill="1" applyAlignment="1">
      <alignment horizontal="center" vertical="center" wrapText="1"/>
    </xf>
    <xf numFmtId="38" fontId="0" fillId="33" borderId="18" xfId="0" applyNumberFormat="1" applyFill="1" applyBorder="1" applyAlignment="1">
      <alignment horizontal="center" vertical="center" wrapText="1"/>
    </xf>
    <xf numFmtId="38" fontId="0" fillId="33" borderId="20" xfId="0" applyNumberFormat="1" applyFill="1" applyBorder="1" applyAlignment="1">
      <alignment horizontal="center" vertical="center" wrapText="1"/>
    </xf>
    <xf numFmtId="168" fontId="0" fillId="33" borderId="13" xfId="0" applyNumberFormat="1" applyFill="1" applyBorder="1" applyAlignment="1">
      <alignment horizontal="center" vertical="center" wrapText="1"/>
    </xf>
    <xf numFmtId="9" fontId="0" fillId="33" borderId="14" xfId="49" applyFont="1" applyFill="1" applyBorder="1" applyAlignment="1">
      <alignment horizontal="center" vertical="center" wrapText="1"/>
    </xf>
    <xf numFmtId="168" fontId="36" fillId="38" borderId="15" xfId="0" applyNumberFormat="1" applyFont="1" applyFill="1" applyBorder="1" applyAlignment="1">
      <alignment horizontal="center" vertical="center" wrapText="1"/>
    </xf>
    <xf numFmtId="38" fontId="36" fillId="38" borderId="16" xfId="0" applyNumberFormat="1" applyFont="1" applyFill="1" applyBorder="1" applyAlignment="1">
      <alignment horizontal="center" vertical="center" wrapText="1"/>
    </xf>
    <xf numFmtId="9" fontId="36" fillId="38" borderId="17" xfId="49" applyFont="1" applyFill="1" applyBorder="1" applyAlignment="1">
      <alignment horizontal="center" vertical="center" wrapText="1"/>
    </xf>
    <xf numFmtId="38" fontId="50" fillId="39" borderId="21" xfId="0" applyNumberFormat="1" applyFont="1" applyFill="1" applyBorder="1" applyAlignment="1">
      <alignment horizontal="center" vertical="center" wrapText="1"/>
    </xf>
    <xf numFmtId="38" fontId="36" fillId="38" borderId="23" xfId="0" applyNumberFormat="1" applyFont="1" applyFill="1" applyBorder="1" applyAlignment="1">
      <alignment horizontal="center" vertical="center" wrapText="1"/>
    </xf>
    <xf numFmtId="38" fontId="49" fillId="39" borderId="21" xfId="0" applyNumberFormat="1" applyFont="1" applyFill="1" applyBorder="1" applyAlignment="1">
      <alignment horizontal="center" vertical="center" wrapText="1"/>
    </xf>
    <xf numFmtId="38" fontId="0" fillId="33" borderId="21" xfId="0" applyNumberFormat="1" applyFill="1" applyBorder="1" applyAlignment="1">
      <alignment horizontal="center" vertical="center" wrapText="1"/>
    </xf>
    <xf numFmtId="38" fontId="0" fillId="33" borderId="21" xfId="0" applyNumberFormat="1" applyFill="1" applyBorder="1" applyAlignment="1">
      <alignment horizontal="left" vertical="center" wrapText="1"/>
    </xf>
    <xf numFmtId="38" fontId="36" fillId="38" borderId="23" xfId="0" applyNumberFormat="1" applyFont="1" applyFill="1" applyBorder="1" applyAlignment="1">
      <alignment horizontal="left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3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8" fillId="33" borderId="15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48" fillId="33" borderId="22" xfId="0" applyNumberFormat="1" applyFont="1" applyFill="1" applyBorder="1" applyAlignment="1">
      <alignment horizontal="center" vertical="center" wrapText="1"/>
    </xf>
    <xf numFmtId="167" fontId="0" fillId="33" borderId="17" xfId="49" applyNumberFormat="1" applyFont="1" applyFill="1" applyBorder="1" applyAlignment="1">
      <alignment horizontal="center" vertical="center" wrapText="1"/>
    </xf>
    <xf numFmtId="38" fontId="49" fillId="33" borderId="13" xfId="0" applyNumberFormat="1" applyFont="1" applyFill="1" applyBorder="1" applyAlignment="1">
      <alignment horizontal="center" vertical="center" wrapText="1"/>
    </xf>
    <xf numFmtId="169" fontId="0" fillId="33" borderId="20" xfId="0" applyNumberForma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168" fontId="0" fillId="33" borderId="20" xfId="0" applyNumberFormat="1" applyFill="1" applyBorder="1" applyAlignment="1">
      <alignment horizontal="center" vertical="center" wrapText="1"/>
    </xf>
    <xf numFmtId="38" fontId="49" fillId="36" borderId="18" xfId="0" applyNumberFormat="1" applyFont="1" applyFill="1" applyBorder="1" applyAlignment="1">
      <alignment horizontal="center" vertical="center" wrapText="1"/>
    </xf>
    <xf numFmtId="168" fontId="49" fillId="36" borderId="20" xfId="0" applyNumberFormat="1" applyFont="1" applyFill="1" applyBorder="1" applyAlignment="1">
      <alignment horizontal="center" vertical="center" wrapText="1"/>
    </xf>
    <xf numFmtId="167" fontId="0" fillId="33" borderId="14" xfId="49" applyNumberFormat="1" applyFont="1" applyFill="1" applyBorder="1" applyAlignment="1">
      <alignment horizontal="center" vertical="center" wrapText="1"/>
    </xf>
    <xf numFmtId="167" fontId="48" fillId="33" borderId="17" xfId="49" applyNumberFormat="1" applyFont="1" applyFill="1" applyBorder="1" applyAlignment="1">
      <alignment horizontal="center" vertical="center" wrapText="1"/>
    </xf>
    <xf numFmtId="168" fontId="49" fillId="36" borderId="14" xfId="0" applyNumberFormat="1" applyFont="1" applyFill="1" applyBorder="1" applyAlignment="1">
      <alignment horizontal="center" vertical="center" wrapText="1"/>
    </xf>
    <xf numFmtId="38" fontId="50" fillId="36" borderId="15" xfId="0" applyNumberFormat="1" applyFont="1" applyFill="1" applyBorder="1" applyAlignment="1">
      <alignment horizontal="left" vertical="center" wrapText="1"/>
    </xf>
    <xf numFmtId="168" fontId="50" fillId="36" borderId="17" xfId="0" applyNumberFormat="1" applyFont="1" applyFill="1" applyBorder="1" applyAlignment="1">
      <alignment horizontal="center" vertical="center" wrapText="1"/>
    </xf>
    <xf numFmtId="38" fontId="49" fillId="36" borderId="10" xfId="0" applyNumberFormat="1" applyFont="1" applyFill="1" applyBorder="1" applyAlignment="1">
      <alignment horizontal="center" vertical="center" wrapText="1"/>
    </xf>
    <xf numFmtId="168" fontId="49" fillId="36" borderId="12" xfId="0" applyNumberFormat="1" applyFont="1" applyFill="1" applyBorder="1" applyAlignment="1">
      <alignment horizontal="center" vertical="center" wrapText="1"/>
    </xf>
    <xf numFmtId="38" fontId="49" fillId="36" borderId="13" xfId="0" applyNumberFormat="1" applyFont="1" applyFill="1" applyBorder="1" applyAlignment="1">
      <alignment horizontal="center" vertical="center" wrapText="1"/>
    </xf>
    <xf numFmtId="168" fontId="49" fillId="36" borderId="17" xfId="0" applyNumberFormat="1" applyFont="1" applyFill="1" applyBorder="1" applyAlignment="1">
      <alignment horizontal="center" vertical="center" wrapText="1"/>
    </xf>
    <xf numFmtId="38" fontId="49" fillId="36" borderId="20" xfId="0" applyNumberFormat="1" applyFont="1" applyFill="1" applyBorder="1" applyAlignment="1">
      <alignment horizontal="center" vertical="center" wrapText="1"/>
    </xf>
    <xf numFmtId="40" fontId="0" fillId="33" borderId="0" xfId="0" applyNumberFormat="1" applyFill="1" applyAlignment="1">
      <alignment horizontal="center" vertical="center" wrapText="1"/>
    </xf>
    <xf numFmtId="38" fontId="52" fillId="33" borderId="18" xfId="0" applyNumberFormat="1" applyFont="1" applyFill="1" applyBorder="1" applyAlignment="1">
      <alignment horizontal="center" vertical="center" wrapText="1"/>
    </xf>
    <xf numFmtId="40" fontId="52" fillId="33" borderId="20" xfId="0" applyNumberFormat="1" applyFont="1" applyFill="1" applyBorder="1" applyAlignment="1">
      <alignment horizontal="center" vertical="center" wrapText="1"/>
    </xf>
    <xf numFmtId="38" fontId="0" fillId="33" borderId="22" xfId="0" applyNumberFormat="1" applyFill="1" applyBorder="1" applyAlignment="1">
      <alignment horizontal="center" vertical="center" wrapText="1"/>
    </xf>
    <xf numFmtId="9" fontId="0" fillId="33" borderId="21" xfId="49" applyFont="1" applyFill="1" applyBorder="1" applyAlignment="1">
      <alignment horizontal="center" vertical="center" wrapText="1"/>
    </xf>
    <xf numFmtId="9" fontId="48" fillId="33" borderId="23" xfId="49" applyFont="1" applyFill="1" applyBorder="1" applyAlignment="1">
      <alignment horizontal="center" vertical="center" wrapText="1"/>
    </xf>
    <xf numFmtId="38" fontId="0" fillId="33" borderId="16" xfId="0" applyNumberFormat="1" applyFill="1" applyBorder="1" applyAlignment="1">
      <alignment horizontal="left" vertical="center" wrapText="1"/>
    </xf>
    <xf numFmtId="9" fontId="48" fillId="33" borderId="17" xfId="49" applyFont="1" applyFill="1" applyBorder="1" applyAlignment="1">
      <alignment horizontal="center" vertical="center" wrapText="1"/>
    </xf>
    <xf numFmtId="40" fontId="0" fillId="33" borderId="13" xfId="0" applyNumberFormat="1" applyFill="1" applyBorder="1" applyAlignment="1">
      <alignment horizontal="center" vertical="center" wrapText="1"/>
    </xf>
    <xf numFmtId="40" fontId="48" fillId="33" borderId="13" xfId="0" applyNumberFormat="1" applyFont="1" applyFill="1" applyBorder="1" applyAlignment="1">
      <alignment horizontal="center" vertical="center" wrapText="1"/>
    </xf>
    <xf numFmtId="40" fontId="48" fillId="33" borderId="15" xfId="0" applyNumberFormat="1" applyFont="1" applyFill="1" applyBorder="1" applyAlignment="1">
      <alignment horizontal="center" vertical="center" wrapText="1"/>
    </xf>
    <xf numFmtId="40" fontId="0" fillId="33" borderId="10" xfId="0" applyNumberFormat="1" applyFill="1" applyBorder="1" applyAlignment="1">
      <alignment horizontal="center" vertical="center" wrapText="1"/>
    </xf>
    <xf numFmtId="167" fontId="0" fillId="33" borderId="19" xfId="49" applyNumberFormat="1" applyFont="1" applyFill="1" applyBorder="1" applyAlignment="1">
      <alignment horizontal="center" vertical="center" wrapText="1"/>
    </xf>
    <xf numFmtId="167" fontId="0" fillId="33" borderId="20" xfId="49" applyNumberFormat="1" applyFont="1" applyFill="1" applyBorder="1" applyAlignment="1">
      <alignment horizontal="center" vertical="center" wrapText="1"/>
    </xf>
    <xf numFmtId="167" fontId="48" fillId="33" borderId="21" xfId="49" applyNumberFormat="1" applyFont="1" applyFill="1" applyBorder="1" applyAlignment="1">
      <alignment horizontal="center" vertical="center" wrapText="1"/>
    </xf>
    <xf numFmtId="167" fontId="48" fillId="33" borderId="23" xfId="49" applyNumberFormat="1" applyFont="1" applyFill="1" applyBorder="1" applyAlignment="1">
      <alignment horizontal="center" vertical="center" wrapText="1"/>
    </xf>
    <xf numFmtId="38" fontId="48" fillId="33" borderId="24" xfId="0" applyNumberFormat="1" applyFont="1" applyFill="1" applyBorder="1" applyAlignment="1">
      <alignment horizontal="center" vertical="center" wrapText="1"/>
    </xf>
    <xf numFmtId="38" fontId="0" fillId="33" borderId="23" xfId="0" applyNumberForma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2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3" fontId="55" fillId="36" borderId="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3" fontId="55" fillId="36" borderId="14" xfId="0" applyNumberFormat="1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167" fontId="53" fillId="35" borderId="16" xfId="49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9" fontId="53" fillId="35" borderId="0" xfId="49" applyNumberFormat="1" applyFont="1" applyFill="1" applyBorder="1" applyAlignment="1">
      <alignment horizontal="center" vertical="center" wrapText="1"/>
    </xf>
    <xf numFmtId="9" fontId="53" fillId="35" borderId="0" xfId="49" applyFont="1" applyFill="1" applyBorder="1" applyAlignment="1">
      <alignment horizontal="center" vertical="center" wrapText="1"/>
    </xf>
    <xf numFmtId="9" fontId="53" fillId="35" borderId="14" xfId="49" applyFont="1" applyFill="1" applyBorder="1" applyAlignment="1">
      <alignment horizontal="center" vertical="center" wrapText="1"/>
    </xf>
    <xf numFmtId="3" fontId="53" fillId="39" borderId="12" xfId="0" applyNumberFormat="1" applyFont="1" applyFill="1" applyBorder="1" applyAlignment="1">
      <alignment horizontal="center" vertical="center" wrapText="1"/>
    </xf>
    <xf numFmtId="38" fontId="50" fillId="33" borderId="11" xfId="0" applyNumberFormat="1" applyFont="1" applyFill="1" applyBorder="1" applyAlignment="1">
      <alignment horizontal="center" vertical="center" wrapText="1"/>
    </xf>
    <xf numFmtId="38" fontId="50" fillId="33" borderId="12" xfId="0" applyNumberFormat="1" applyFon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3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48" fillId="33" borderId="18" xfId="0" applyNumberFormat="1" applyFont="1" applyFill="1" applyBorder="1" applyAlignment="1">
      <alignment horizontal="center" vertical="center" wrapText="1"/>
    </xf>
    <xf numFmtId="38" fontId="48" fillId="33" borderId="20" xfId="0" applyNumberFormat="1" applyFont="1" applyFill="1" applyBorder="1" applyAlignment="1">
      <alignment horizontal="center" vertical="center" wrapText="1"/>
    </xf>
    <xf numFmtId="38" fontId="48" fillId="33" borderId="22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3" fontId="55" fillId="36" borderId="11" xfId="0" applyNumberFormat="1" applyFont="1" applyFill="1" applyBorder="1" applyAlignment="1">
      <alignment horizontal="center" vertical="center" wrapText="1"/>
    </xf>
    <xf numFmtId="3" fontId="55" fillId="36" borderId="12" xfId="0" applyNumberFormat="1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9" fontId="55" fillId="36" borderId="16" xfId="49" applyFont="1" applyFill="1" applyBorder="1" applyAlignment="1">
      <alignment horizontal="center" vertical="center" wrapText="1"/>
    </xf>
    <xf numFmtId="9" fontId="55" fillId="36" borderId="17" xfId="49" applyFont="1" applyFill="1" applyBorder="1" applyAlignment="1">
      <alignment horizontal="center" vertical="center" wrapText="1"/>
    </xf>
    <xf numFmtId="10" fontId="55" fillId="36" borderId="16" xfId="49" applyNumberFormat="1" applyFont="1" applyFill="1" applyBorder="1" applyAlignment="1">
      <alignment horizontal="center" vertical="center" wrapText="1"/>
    </xf>
    <xf numFmtId="9" fontId="55" fillId="36" borderId="16" xfId="49" applyNumberFormat="1" applyFont="1" applyFill="1" applyBorder="1" applyAlignment="1">
      <alignment horizontal="center" vertical="center" wrapText="1"/>
    </xf>
    <xf numFmtId="38" fontId="56" fillId="33" borderId="0" xfId="0" applyNumberFormat="1" applyFont="1" applyFill="1" applyBorder="1" applyAlignment="1">
      <alignment horizontal="center" vertical="center" wrapText="1"/>
    </xf>
    <xf numFmtId="38" fontId="56" fillId="33" borderId="14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3" fontId="49" fillId="36" borderId="10" xfId="0" applyNumberFormat="1" applyFont="1" applyFill="1" applyBorder="1" applyAlignment="1">
      <alignment horizontal="left" vertical="center" wrapText="1"/>
    </xf>
    <xf numFmtId="3" fontId="49" fillId="36" borderId="12" xfId="0" applyNumberFormat="1" applyFont="1" applyFill="1" applyBorder="1" applyAlignment="1">
      <alignment horizontal="center" vertical="center" wrapText="1"/>
    </xf>
    <xf numFmtId="3" fontId="49" fillId="36" borderId="13" xfId="0" applyNumberFormat="1" applyFont="1" applyFill="1" applyBorder="1" applyAlignment="1">
      <alignment horizontal="left" vertical="center" wrapText="1"/>
    </xf>
    <xf numFmtId="3" fontId="49" fillId="36" borderId="14" xfId="0" applyNumberFormat="1" applyFont="1" applyFill="1" applyBorder="1" applyAlignment="1">
      <alignment horizontal="center" vertical="center" wrapText="1"/>
    </xf>
    <xf numFmtId="3" fontId="49" fillId="36" borderId="15" xfId="0" applyNumberFormat="1" applyFont="1" applyFill="1" applyBorder="1" applyAlignment="1">
      <alignment horizontal="left" vertical="center" wrapText="1"/>
    </xf>
    <xf numFmtId="3" fontId="49" fillId="36" borderId="17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left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left" vertical="center" wrapText="1"/>
    </xf>
    <xf numFmtId="3" fontId="48" fillId="33" borderId="17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14" xfId="0" applyNumberFormat="1" applyFill="1" applyBorder="1" applyAlignment="1">
      <alignment horizontal="center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3" fontId="48" fillId="33" borderId="18" xfId="0" applyNumberFormat="1" applyFont="1" applyFill="1" applyBorder="1" applyAlignment="1">
      <alignment horizontal="left" vertical="center" wrapText="1"/>
    </xf>
    <xf numFmtId="3" fontId="48" fillId="33" borderId="20" xfId="0" applyNumberFormat="1" applyFont="1" applyFill="1" applyBorder="1" applyAlignment="1">
      <alignment horizontal="center" vertical="center" wrapText="1"/>
    </xf>
    <xf numFmtId="3" fontId="48" fillId="33" borderId="18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left"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48" fillId="33" borderId="0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3" fontId="48" fillId="33" borderId="16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9" fontId="0" fillId="33" borderId="13" xfId="49" applyFont="1" applyFill="1" applyBorder="1" applyAlignment="1">
      <alignment horizontal="center" vertical="center" wrapText="1"/>
    </xf>
    <xf numFmtId="9" fontId="48" fillId="33" borderId="15" xfId="49" applyFont="1" applyFill="1" applyBorder="1" applyAlignment="1">
      <alignment horizontal="center" vertical="center" wrapText="1"/>
    </xf>
    <xf numFmtId="3" fontId="48" fillId="33" borderId="13" xfId="0" applyNumberFormat="1" applyFont="1" applyFill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center" vertical="center" wrapText="1"/>
    </xf>
    <xf numFmtId="3" fontId="49" fillId="36" borderId="21" xfId="0" applyNumberFormat="1" applyFon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left" vertical="center" wrapText="1"/>
    </xf>
    <xf numFmtId="3" fontId="49" fillId="36" borderId="22" xfId="0" applyNumberFormat="1" applyFont="1" applyFill="1" applyBorder="1" applyAlignment="1">
      <alignment horizontal="center" vertical="center" wrapText="1"/>
    </xf>
    <xf numFmtId="3" fontId="49" fillId="36" borderId="23" xfId="0" applyNumberFormat="1" applyFont="1" applyFill="1" applyBorder="1" applyAlignment="1">
      <alignment horizontal="center" vertical="center" wrapText="1"/>
    </xf>
    <xf numFmtId="3" fontId="48" fillId="34" borderId="23" xfId="0" applyNumberFormat="1" applyFont="1" applyFill="1" applyBorder="1" applyAlignment="1">
      <alignment horizontal="left" vertical="center" wrapText="1"/>
    </xf>
    <xf numFmtId="4" fontId="48" fillId="34" borderId="15" xfId="0" applyNumberFormat="1" applyFont="1" applyFill="1" applyBorder="1" applyAlignment="1">
      <alignment horizontal="center" vertical="center" wrapText="1"/>
    </xf>
    <xf numFmtId="3" fontId="48" fillId="34" borderId="16" xfId="0" applyNumberFormat="1" applyFont="1" applyFill="1" applyBorder="1" applyAlignment="1">
      <alignment horizontal="center" vertical="center" wrapText="1"/>
    </xf>
    <xf numFmtId="9" fontId="48" fillId="34" borderId="17" xfId="49" applyFont="1" applyFill="1" applyBorder="1" applyAlignment="1">
      <alignment horizontal="center" vertical="center" wrapText="1"/>
    </xf>
    <xf numFmtId="3" fontId="48" fillId="34" borderId="15" xfId="0" applyNumberFormat="1" applyFont="1" applyFill="1" applyBorder="1" applyAlignment="1">
      <alignment horizontal="center" vertical="center" wrapText="1"/>
    </xf>
    <xf numFmtId="3" fontId="48" fillId="33" borderId="21" xfId="0" applyNumberFormat="1" applyFont="1" applyFill="1" applyBorder="1" applyAlignment="1">
      <alignment horizontal="left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9" fontId="48" fillId="33" borderId="14" xfId="49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9" fontId="0" fillId="33" borderId="11" xfId="49" applyFont="1" applyFill="1" applyBorder="1" applyAlignment="1">
      <alignment horizontal="center" vertical="center" wrapText="1"/>
    </xf>
    <xf numFmtId="9" fontId="0" fillId="33" borderId="12" xfId="49" applyFont="1" applyFill="1" applyBorder="1" applyAlignment="1">
      <alignment horizontal="center" vertical="center" wrapText="1"/>
    </xf>
    <xf numFmtId="3" fontId="48" fillId="34" borderId="15" xfId="0" applyNumberFormat="1" applyFont="1" applyFill="1" applyBorder="1" applyAlignment="1">
      <alignment horizontal="left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9" fontId="48" fillId="34" borderId="16" xfId="49" applyFont="1" applyFill="1" applyBorder="1" applyAlignment="1">
      <alignment horizontal="center" vertical="center" wrapText="1"/>
    </xf>
    <xf numFmtId="3" fontId="48" fillId="33" borderId="0" xfId="0" applyNumberFormat="1" applyFont="1" applyFill="1" applyAlignment="1">
      <alignment horizontal="center" vertical="center" wrapText="1"/>
    </xf>
    <xf numFmtId="171" fontId="0" fillId="33" borderId="0" xfId="0" applyNumberFormat="1" applyFill="1" applyBorder="1" applyAlignment="1">
      <alignment horizontal="center" vertical="center" wrapText="1"/>
    </xf>
    <xf numFmtId="171" fontId="0" fillId="33" borderId="14" xfId="0" applyNumberFormat="1" applyFill="1" applyBorder="1" applyAlignment="1">
      <alignment horizontal="center" vertical="center" wrapText="1"/>
    </xf>
    <xf numFmtId="171" fontId="0" fillId="33" borderId="16" xfId="0" applyNumberFormat="1" applyFill="1" applyBorder="1" applyAlignment="1">
      <alignment horizontal="center" vertical="center" wrapText="1"/>
    </xf>
    <xf numFmtId="171" fontId="0" fillId="33" borderId="17" xfId="0" applyNumberFormat="1" applyFill="1" applyBorder="1" applyAlignment="1">
      <alignment horizontal="center" vertical="center" wrapText="1"/>
    </xf>
    <xf numFmtId="171" fontId="0" fillId="33" borderId="13" xfId="0" applyNumberForma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center" vertical="center" wrapText="1"/>
    </xf>
    <xf numFmtId="171" fontId="0" fillId="33" borderId="10" xfId="0" applyNumberForma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left" vertical="center" wrapText="1"/>
    </xf>
    <xf numFmtId="3" fontId="57" fillId="33" borderId="21" xfId="0" applyNumberFormat="1" applyFont="1" applyFill="1" applyBorder="1" applyAlignment="1">
      <alignment horizontal="left" vertical="center" wrapText="1"/>
    </xf>
    <xf numFmtId="171" fontId="58" fillId="33" borderId="13" xfId="0" applyNumberFormat="1" applyFont="1" applyFill="1" applyBorder="1" applyAlignment="1">
      <alignment horizontal="center" vertical="center" wrapText="1"/>
    </xf>
    <xf numFmtId="3" fontId="58" fillId="33" borderId="14" xfId="0" applyNumberFormat="1" applyFont="1" applyFill="1" applyBorder="1" applyAlignment="1">
      <alignment horizontal="center" vertical="center" wrapText="1"/>
    </xf>
    <xf numFmtId="3" fontId="58" fillId="33" borderId="21" xfId="0" applyNumberFormat="1" applyFont="1" applyFill="1" applyBorder="1" applyAlignment="1">
      <alignment horizontal="left" vertical="center" wrapText="1" indent="1"/>
    </xf>
    <xf numFmtId="3" fontId="0" fillId="33" borderId="10" xfId="0" applyNumberFormat="1" applyFill="1" applyBorder="1" applyAlignment="1">
      <alignment horizontal="center" vertical="center" wrapText="1"/>
    </xf>
    <xf numFmtId="171" fontId="48" fillId="34" borderId="15" xfId="0" applyNumberFormat="1" applyFont="1" applyFill="1" applyBorder="1" applyAlignment="1">
      <alignment horizontal="center" vertical="center" wrapText="1"/>
    </xf>
    <xf numFmtId="3" fontId="48" fillId="34" borderId="17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171" fontId="0" fillId="33" borderId="12" xfId="0" applyNumberFormat="1" applyFill="1" applyBorder="1" applyAlignment="1">
      <alignment horizontal="center" vertical="center" wrapText="1"/>
    </xf>
    <xf numFmtId="171" fontId="48" fillId="33" borderId="17" xfId="0" applyNumberFormat="1" applyFont="1" applyFill="1" applyBorder="1" applyAlignment="1">
      <alignment horizontal="center" vertical="center" wrapText="1"/>
    </xf>
    <xf numFmtId="3" fontId="0" fillId="33" borderId="18" xfId="0" applyNumberFormat="1" applyFill="1" applyBorder="1" applyAlignment="1">
      <alignment horizontal="left" vertical="center" wrapText="1"/>
    </xf>
    <xf numFmtId="3" fontId="0" fillId="33" borderId="20" xfId="0" applyNumberFormat="1" applyFill="1" applyBorder="1" applyAlignment="1">
      <alignment horizontal="center" vertical="center" wrapText="1"/>
    </xf>
    <xf numFmtId="167" fontId="0" fillId="33" borderId="0" xfId="49" applyNumberFormat="1" applyFont="1" applyFill="1" applyAlignment="1">
      <alignment horizontal="center" vertical="center" wrapText="1"/>
    </xf>
    <xf numFmtId="3" fontId="49" fillId="33" borderId="18" xfId="0" applyNumberFormat="1" applyFont="1" applyFill="1" applyBorder="1" applyAlignment="1">
      <alignment horizontal="center" vertical="center" wrapText="1"/>
    </xf>
    <xf numFmtId="3" fontId="49" fillId="33" borderId="20" xfId="0" applyNumberFormat="1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center" wrapText="1"/>
    </xf>
    <xf numFmtId="3" fontId="49" fillId="39" borderId="18" xfId="0" applyNumberFormat="1" applyFont="1" applyFill="1" applyBorder="1" applyAlignment="1">
      <alignment horizontal="center" vertical="center" wrapText="1"/>
    </xf>
    <xf numFmtId="3" fontId="49" fillId="39" borderId="20" xfId="0" applyNumberFormat="1" applyFont="1" applyFill="1" applyBorder="1" applyAlignment="1">
      <alignment horizontal="center" vertical="center" wrapText="1"/>
    </xf>
    <xf numFmtId="3" fontId="0" fillId="39" borderId="18" xfId="0" applyNumberFormat="1" applyFont="1" applyFill="1" applyBorder="1" applyAlignment="1">
      <alignment horizontal="center" vertical="center" wrapText="1"/>
    </xf>
    <xf numFmtId="3" fontId="0" fillId="39" borderId="20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9" fillId="36" borderId="16" xfId="0" applyNumberFormat="1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left" vertical="center" wrapText="1"/>
    </xf>
    <xf numFmtId="171" fontId="48" fillId="33" borderId="12" xfId="0" applyNumberFormat="1" applyFont="1" applyFill="1" applyBorder="1" applyAlignment="1">
      <alignment horizontal="center" vertical="center" wrapText="1"/>
    </xf>
    <xf numFmtId="3" fontId="48" fillId="33" borderId="13" xfId="0" applyNumberFormat="1" applyFont="1" applyFill="1" applyBorder="1" applyAlignment="1">
      <alignment horizontal="left" vertical="center" wrapText="1"/>
    </xf>
    <xf numFmtId="171" fontId="48" fillId="33" borderId="14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3" fontId="49" fillId="36" borderId="0" xfId="0" applyNumberFormat="1" applyFont="1" applyFill="1" applyBorder="1" applyAlignment="1">
      <alignment horizontal="center" vertical="center" wrapText="1"/>
    </xf>
    <xf numFmtId="171" fontId="48" fillId="33" borderId="0" xfId="0" applyNumberFormat="1" applyFont="1" applyFill="1" applyBorder="1" applyAlignment="1">
      <alignment horizontal="center" vertical="center" wrapText="1"/>
    </xf>
    <xf numFmtId="171" fontId="48" fillId="33" borderId="16" xfId="0" applyNumberFormat="1" applyFont="1" applyFill="1" applyBorder="1" applyAlignment="1">
      <alignment horizontal="center" vertical="center" wrapText="1"/>
    </xf>
    <xf numFmtId="171" fontId="48" fillId="33" borderId="11" xfId="0" applyNumberFormat="1" applyFont="1" applyFill="1" applyBorder="1" applyAlignment="1">
      <alignment horizontal="center" vertical="center" wrapText="1"/>
    </xf>
    <xf numFmtId="171" fontId="48" fillId="34" borderId="16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9" fillId="36" borderId="16" xfId="0" applyNumberFormat="1" applyFont="1" applyFill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3" fontId="49" fillId="36" borderId="0" xfId="0" applyNumberFormat="1" applyFont="1" applyFill="1" applyBorder="1" applyAlignment="1">
      <alignment horizontal="center" vertical="center" wrapText="1"/>
    </xf>
    <xf numFmtId="3" fontId="49" fillId="36" borderId="19" xfId="0" applyNumberFormat="1" applyFon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left" vertical="center" wrapText="1"/>
    </xf>
    <xf numFmtId="3" fontId="0" fillId="34" borderId="20" xfId="0" applyNumberFormat="1" applyFill="1" applyBorder="1" applyAlignment="1">
      <alignment horizontal="center" vertical="center" wrapText="1"/>
    </xf>
    <xf numFmtId="3" fontId="0" fillId="34" borderId="13" xfId="0" applyNumberFormat="1" applyFill="1" applyBorder="1" applyAlignment="1">
      <alignment horizontal="left" vertical="center" wrapText="1"/>
    </xf>
    <xf numFmtId="3" fontId="0" fillId="34" borderId="15" xfId="0" applyNumberFormat="1" applyFill="1" applyBorder="1" applyAlignment="1">
      <alignment horizontal="left" vertical="center" wrapText="1"/>
    </xf>
    <xf numFmtId="3" fontId="0" fillId="34" borderId="14" xfId="0" applyNumberFormat="1" applyFill="1" applyBorder="1" applyAlignment="1">
      <alignment horizontal="center" vertical="center" wrapText="1"/>
    </xf>
    <xf numFmtId="3" fontId="0" fillId="34" borderId="17" xfId="0" applyNumberForma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3" fontId="48" fillId="33" borderId="22" xfId="0" applyNumberFormat="1" applyFont="1" applyFill="1" applyBorder="1" applyAlignment="1">
      <alignment horizontal="center" vertical="center" wrapText="1"/>
    </xf>
    <xf numFmtId="3" fontId="48" fillId="33" borderId="23" xfId="0" applyNumberFormat="1" applyFont="1" applyFill="1" applyBorder="1" applyAlignment="1">
      <alignment horizontal="center" vertical="center" wrapText="1"/>
    </xf>
    <xf numFmtId="3" fontId="49" fillId="36" borderId="17" xfId="0" applyNumberFormat="1" applyFont="1" applyFill="1" applyBorder="1" applyAlignment="1">
      <alignment horizontal="center" vertical="center" wrapText="1"/>
    </xf>
    <xf numFmtId="3" fontId="50" fillId="36" borderId="12" xfId="0" applyNumberFormat="1" applyFont="1" applyFill="1" applyBorder="1" applyAlignment="1">
      <alignment horizontal="center" vertical="center" wrapText="1"/>
    </xf>
    <xf numFmtId="3" fontId="49" fillId="36" borderId="13" xfId="0" applyNumberFormat="1" applyFont="1" applyFill="1" applyBorder="1" applyAlignment="1">
      <alignment horizontal="center" vertical="center" wrapText="1"/>
    </xf>
    <xf numFmtId="3" fontId="48" fillId="33" borderId="21" xfId="0" applyNumberFormat="1" applyFont="1" applyFill="1" applyBorder="1" applyAlignment="1">
      <alignment horizontal="center" vertical="center" wrapText="1"/>
    </xf>
    <xf numFmtId="3" fontId="59" fillId="36" borderId="0" xfId="0" applyNumberFormat="1" applyFont="1" applyFill="1" applyBorder="1" applyAlignment="1">
      <alignment horizontal="center" vertical="center" wrapText="1"/>
    </xf>
    <xf numFmtId="3" fontId="60" fillId="34" borderId="14" xfId="0" applyNumberFormat="1" applyFont="1" applyFill="1" applyBorder="1" applyAlignment="1">
      <alignment horizontal="center" vertical="center" wrapText="1"/>
    </xf>
    <xf numFmtId="3" fontId="60" fillId="34" borderId="13" xfId="0" applyNumberFormat="1" applyFont="1" applyFill="1" applyBorder="1" applyAlignment="1">
      <alignment horizontal="left" vertical="center" wrapText="1" indent="1"/>
    </xf>
    <xf numFmtId="3" fontId="60" fillId="34" borderId="15" xfId="0" applyNumberFormat="1" applyFont="1" applyFill="1" applyBorder="1" applyAlignment="1">
      <alignment horizontal="left" vertical="center" wrapText="1" indent="1"/>
    </xf>
    <xf numFmtId="3" fontId="59" fillId="36" borderId="16" xfId="0" applyNumberFormat="1" applyFont="1" applyFill="1" applyBorder="1" applyAlignment="1">
      <alignment horizontal="center" vertical="center" wrapText="1"/>
    </xf>
    <xf numFmtId="3" fontId="60" fillId="34" borderId="17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left" vertical="center" wrapText="1"/>
    </xf>
    <xf numFmtId="3" fontId="50" fillId="36" borderId="11" xfId="0" applyNumberFormat="1" applyFont="1" applyFill="1" applyBorder="1" applyAlignment="1">
      <alignment horizontal="center" vertical="center" wrapText="1"/>
    </xf>
    <xf numFmtId="3" fontId="48" fillId="34" borderId="12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62" fillId="36" borderId="24" xfId="0" applyFont="1" applyFill="1" applyBorder="1" applyAlignment="1">
      <alignment horizontal="center" vertical="center"/>
    </xf>
    <xf numFmtId="3" fontId="62" fillId="36" borderId="24" xfId="0" applyNumberFormat="1" applyFont="1" applyFill="1" applyBorder="1" applyAlignment="1">
      <alignment horizontal="center" vertical="center"/>
    </xf>
    <xf numFmtId="9" fontId="62" fillId="36" borderId="24" xfId="49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9" fontId="49" fillId="36" borderId="24" xfId="49" applyFont="1" applyFill="1" applyBorder="1" applyAlignment="1">
      <alignment horizontal="center" vertical="center" wrapText="1"/>
    </xf>
    <xf numFmtId="3" fontId="49" fillId="36" borderId="24" xfId="0" applyNumberFormat="1" applyFont="1" applyFill="1" applyBorder="1" applyAlignment="1">
      <alignment horizontal="center" vertical="center" wrapText="1"/>
    </xf>
    <xf numFmtId="170" fontId="63" fillId="33" borderId="0" xfId="0" applyNumberFormat="1" applyFont="1" applyFill="1" applyBorder="1" applyAlignment="1">
      <alignment horizontal="center" vertical="center" wrapText="1"/>
    </xf>
    <xf numFmtId="3" fontId="48" fillId="33" borderId="0" xfId="0" applyNumberFormat="1" applyFont="1" applyFill="1" applyBorder="1" applyAlignment="1">
      <alignment horizontal="left" vertical="center" wrapText="1"/>
    </xf>
    <xf numFmtId="170" fontId="63" fillId="33" borderId="11" xfId="0" applyNumberFormat="1" applyFont="1" applyFill="1" applyBorder="1" applyAlignment="1">
      <alignment horizontal="center" vertical="center" wrapText="1"/>
    </xf>
    <xf numFmtId="3" fontId="50" fillId="36" borderId="21" xfId="0" applyNumberFormat="1" applyFont="1" applyFill="1" applyBorder="1" applyAlignment="1">
      <alignment horizontal="center" vertical="center" wrapText="1"/>
    </xf>
    <xf numFmtId="3" fontId="48" fillId="33" borderId="23" xfId="0" applyNumberFormat="1" applyFont="1" applyFill="1" applyBorder="1" applyAlignment="1">
      <alignment horizontal="left" vertical="center" wrapText="1"/>
    </xf>
    <xf numFmtId="38" fontId="50" fillId="33" borderId="18" xfId="0" applyNumberFormat="1" applyFont="1" applyFill="1" applyBorder="1" applyAlignment="1">
      <alignment horizontal="center" vertical="center" wrapText="1"/>
    </xf>
    <xf numFmtId="38" fontId="50" fillId="33" borderId="19" xfId="0" applyNumberFormat="1" applyFont="1" applyFill="1" applyBorder="1" applyAlignment="1">
      <alignment horizontal="center" vertical="center" wrapText="1"/>
    </xf>
    <xf numFmtId="38" fontId="50" fillId="33" borderId="20" xfId="0" applyNumberFormat="1" applyFont="1" applyFill="1" applyBorder="1" applyAlignment="1">
      <alignment horizontal="center" vertical="center" wrapText="1"/>
    </xf>
    <xf numFmtId="38" fontId="48" fillId="34" borderId="22" xfId="0" applyNumberFormat="1" applyFont="1" applyFill="1" applyBorder="1" applyAlignment="1">
      <alignment horizontal="center" vertical="center" wrapText="1"/>
    </xf>
    <xf numFmtId="38" fontId="48" fillId="34" borderId="21" xfId="0" applyNumberFormat="1" applyFont="1" applyFill="1" applyBorder="1" applyAlignment="1">
      <alignment horizontal="center" vertical="center" wrapText="1"/>
    </xf>
    <xf numFmtId="38" fontId="48" fillId="34" borderId="23" xfId="0" applyNumberFormat="1" applyFont="1" applyFill="1" applyBorder="1" applyAlignment="1">
      <alignment horizontal="center" vertical="center" wrapText="1"/>
    </xf>
    <xf numFmtId="38" fontId="48" fillId="33" borderId="10" xfId="0" applyNumberFormat="1" applyFont="1" applyFill="1" applyBorder="1" applyAlignment="1">
      <alignment horizontal="center" vertical="center" wrapText="1"/>
    </xf>
    <xf numFmtId="38" fontId="48" fillId="33" borderId="12" xfId="0" applyNumberFormat="1" applyFont="1" applyFill="1" applyBorder="1" applyAlignment="1">
      <alignment horizontal="center" vertical="center" wrapText="1"/>
    </xf>
    <xf numFmtId="38" fontId="48" fillId="33" borderId="11" xfId="0" applyNumberFormat="1" applyFont="1" applyFill="1" applyBorder="1" applyAlignment="1">
      <alignment horizontal="center" vertical="center" wrapText="1"/>
    </xf>
    <xf numFmtId="38" fontId="48" fillId="33" borderId="13" xfId="0" applyNumberFormat="1" applyFont="1" applyFill="1" applyBorder="1" applyAlignment="1">
      <alignment horizontal="center" vertical="center" wrapText="1"/>
    </xf>
    <xf numFmtId="38" fontId="48" fillId="33" borderId="14" xfId="0" applyNumberFormat="1" applyFont="1" applyFill="1" applyBorder="1" applyAlignment="1">
      <alignment horizontal="center" vertical="center" wrapText="1"/>
    </xf>
    <xf numFmtId="38" fontId="48" fillId="33" borderId="15" xfId="0" applyNumberFormat="1" applyFont="1" applyFill="1" applyBorder="1" applyAlignment="1">
      <alignment horizontal="center" vertical="center" wrapText="1"/>
    </xf>
    <xf numFmtId="38" fontId="48" fillId="33" borderId="17" xfId="0" applyNumberFormat="1" applyFont="1" applyFill="1" applyBorder="1" applyAlignment="1">
      <alignment horizontal="center" vertical="center" wrapText="1"/>
    </xf>
    <xf numFmtId="38" fontId="48" fillId="33" borderId="18" xfId="0" applyNumberFormat="1" applyFont="1" applyFill="1" applyBorder="1" applyAlignment="1">
      <alignment horizontal="center" vertical="center" wrapText="1"/>
    </xf>
    <xf numFmtId="38" fontId="48" fillId="33" borderId="19" xfId="0" applyNumberFormat="1" applyFont="1" applyFill="1" applyBorder="1" applyAlignment="1">
      <alignment horizontal="center" vertical="center" wrapText="1"/>
    </xf>
    <xf numFmtId="38" fontId="48" fillId="33" borderId="20" xfId="0" applyNumberFormat="1" applyFont="1" applyFill="1" applyBorder="1" applyAlignment="1">
      <alignment horizontal="center" vertical="center" wrapText="1"/>
    </xf>
    <xf numFmtId="38" fontId="48" fillId="33" borderId="22" xfId="0" applyNumberFormat="1" applyFont="1" applyFill="1" applyBorder="1" applyAlignment="1">
      <alignment horizontal="center" vertical="center" wrapText="1"/>
    </xf>
    <xf numFmtId="38" fontId="48" fillId="33" borderId="23" xfId="0" applyNumberFormat="1" applyFont="1" applyFill="1" applyBorder="1" applyAlignment="1">
      <alignment horizontal="center" vertical="center" wrapText="1"/>
    </xf>
    <xf numFmtId="38" fontId="0" fillId="37" borderId="13" xfId="0" applyNumberFormat="1" applyFill="1" applyBorder="1" applyAlignment="1">
      <alignment horizontal="center" vertical="center" wrapText="1"/>
    </xf>
    <xf numFmtId="38" fontId="0" fillId="37" borderId="15" xfId="0" applyNumberFormat="1" applyFill="1" applyBorder="1" applyAlignment="1">
      <alignment horizontal="center" vertical="center" wrapText="1"/>
    </xf>
    <xf numFmtId="38" fontId="0" fillId="37" borderId="10" xfId="0" applyNumberFormat="1" applyFill="1" applyBorder="1" applyAlignment="1">
      <alignment horizontal="center" vertical="center" wrapText="1"/>
    </xf>
    <xf numFmtId="38" fontId="49" fillId="39" borderId="13" xfId="0" applyNumberFormat="1" applyFont="1" applyFill="1" applyBorder="1" applyAlignment="1">
      <alignment horizontal="center" vertical="center" wrapText="1"/>
    </xf>
    <xf numFmtId="38" fontId="49" fillId="39" borderId="0" xfId="0" applyNumberFormat="1" applyFont="1" applyFill="1" applyBorder="1" applyAlignment="1">
      <alignment horizontal="center" vertical="center" wrapText="1"/>
    </xf>
    <xf numFmtId="38" fontId="49" fillId="39" borderId="14" xfId="0" applyNumberFormat="1" applyFont="1" applyFill="1" applyBorder="1" applyAlignment="1">
      <alignment horizontal="center" vertical="center" wrapText="1"/>
    </xf>
    <xf numFmtId="38" fontId="57" fillId="33" borderId="10" xfId="0" applyNumberFormat="1" applyFont="1" applyFill="1" applyBorder="1" applyAlignment="1">
      <alignment horizontal="center" vertical="center" wrapText="1"/>
    </xf>
    <xf numFmtId="38" fontId="57" fillId="33" borderId="12" xfId="0" applyNumberFormat="1" applyFont="1" applyFill="1" applyBorder="1" applyAlignment="1">
      <alignment horizontal="center" vertical="center" wrapText="1"/>
    </xf>
    <xf numFmtId="38" fontId="50" fillId="36" borderId="10" xfId="0" applyNumberFormat="1" applyFont="1" applyFill="1" applyBorder="1" applyAlignment="1">
      <alignment horizontal="center" vertical="center" wrapText="1"/>
    </xf>
    <xf numFmtId="38" fontId="50" fillId="36" borderId="12" xfId="0" applyNumberFormat="1" applyFont="1" applyFill="1" applyBorder="1" applyAlignment="1">
      <alignment horizontal="center" vertical="center" wrapText="1"/>
    </xf>
    <xf numFmtId="38" fontId="50" fillId="33" borderId="0" xfId="0" applyNumberFormat="1" applyFont="1" applyFill="1" applyAlignment="1">
      <alignment horizontal="center" vertical="center" wrapText="1"/>
    </xf>
    <xf numFmtId="38" fontId="0" fillId="33" borderId="13" xfId="0" applyNumberFormat="1" applyFill="1" applyBorder="1" applyAlignment="1">
      <alignment horizontal="left" vertical="center" wrapText="1"/>
    </xf>
    <xf numFmtId="38" fontId="0" fillId="33" borderId="0" xfId="0" applyNumberFormat="1" applyFill="1" applyBorder="1" applyAlignment="1">
      <alignment horizontal="left" vertical="center" wrapText="1"/>
    </xf>
    <xf numFmtId="38" fontId="50" fillId="33" borderId="10" xfId="0" applyNumberFormat="1" applyFont="1" applyFill="1" applyBorder="1" applyAlignment="1">
      <alignment horizontal="center" vertical="center" wrapText="1"/>
    </xf>
    <xf numFmtId="38" fontId="50" fillId="33" borderId="11" xfId="0" applyNumberFormat="1" applyFont="1" applyFill="1" applyBorder="1" applyAlignment="1">
      <alignment horizontal="center" vertical="center" wrapText="1"/>
    </xf>
    <xf numFmtId="38" fontId="50" fillId="33" borderId="12" xfId="0" applyNumberFormat="1" applyFont="1" applyFill="1" applyBorder="1" applyAlignment="1">
      <alignment horizontal="center" vertical="center" wrapText="1"/>
    </xf>
    <xf numFmtId="38" fontId="50" fillId="33" borderId="15" xfId="0" applyNumberFormat="1" applyFont="1" applyFill="1" applyBorder="1" applyAlignment="1">
      <alignment horizontal="center" vertical="center" wrapText="1"/>
    </xf>
    <xf numFmtId="38" fontId="50" fillId="33" borderId="16" xfId="0" applyNumberFormat="1" applyFont="1" applyFill="1" applyBorder="1" applyAlignment="1">
      <alignment horizontal="center" vertical="center" wrapText="1"/>
    </xf>
    <xf numFmtId="38" fontId="50" fillId="33" borderId="17" xfId="0" applyNumberFormat="1" applyFont="1" applyFill="1" applyBorder="1" applyAlignment="1">
      <alignment horizontal="center" vertical="center" wrapText="1"/>
    </xf>
    <xf numFmtId="38" fontId="48" fillId="33" borderId="0" xfId="0" applyNumberFormat="1" applyFont="1" applyFill="1" applyAlignment="1">
      <alignment horizontal="center" vertical="center" wrapText="1"/>
    </xf>
    <xf numFmtId="38" fontId="48" fillId="33" borderId="16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3" fontId="48" fillId="33" borderId="18" xfId="0" applyNumberFormat="1" applyFont="1" applyFill="1" applyBorder="1" applyAlignment="1">
      <alignment horizontal="center" vertical="center" wrapText="1"/>
    </xf>
    <xf numFmtId="3" fontId="48" fillId="33" borderId="19" xfId="0" applyNumberFormat="1" applyFont="1" applyFill="1" applyBorder="1" applyAlignment="1">
      <alignment horizontal="center" vertical="center" wrapText="1"/>
    </xf>
    <xf numFmtId="3" fontId="48" fillId="33" borderId="20" xfId="0" applyNumberFormat="1" applyFont="1" applyFill="1" applyBorder="1" applyAlignment="1">
      <alignment horizontal="center" vertical="center" wrapText="1"/>
    </xf>
    <xf numFmtId="3" fontId="48" fillId="33" borderId="22" xfId="0" applyNumberFormat="1" applyFont="1" applyFill="1" applyBorder="1" applyAlignment="1">
      <alignment horizontal="center" vertical="center" wrapText="1"/>
    </xf>
    <xf numFmtId="3" fontId="48" fillId="33" borderId="23" xfId="0" applyNumberFormat="1" applyFont="1" applyFill="1" applyBorder="1" applyAlignment="1">
      <alignment horizontal="center" vertical="center" wrapText="1"/>
    </xf>
    <xf numFmtId="3" fontId="49" fillId="36" borderId="15" xfId="0" applyNumberFormat="1" applyFont="1" applyFill="1" applyBorder="1" applyAlignment="1">
      <alignment horizontal="center" vertical="center" wrapText="1"/>
    </xf>
    <xf numFmtId="3" fontId="49" fillId="36" borderId="16" xfId="0" applyNumberFormat="1" applyFont="1" applyFill="1" applyBorder="1" applyAlignment="1">
      <alignment horizontal="center" vertical="center" wrapText="1"/>
    </xf>
    <xf numFmtId="3" fontId="49" fillId="36" borderId="17" xfId="0" applyNumberFormat="1" applyFont="1" applyFill="1" applyBorder="1" applyAlignment="1">
      <alignment horizontal="center" vertical="center" wrapText="1"/>
    </xf>
    <xf numFmtId="3" fontId="50" fillId="36" borderId="15" xfId="0" applyNumberFormat="1" applyFont="1" applyFill="1" applyBorder="1" applyAlignment="1">
      <alignment horizontal="center" vertical="center" wrapText="1"/>
    </xf>
    <xf numFmtId="3" fontId="50" fillId="36" borderId="17" xfId="0" applyNumberFormat="1" applyFont="1" applyFill="1" applyBorder="1" applyAlignment="1">
      <alignment horizontal="center" vertical="center" wrapText="1"/>
    </xf>
    <xf numFmtId="4" fontId="49" fillId="36" borderId="13" xfId="0" applyNumberFormat="1" applyFont="1" applyFill="1" applyBorder="1" applyAlignment="1">
      <alignment horizontal="center" vertical="center" wrapText="1"/>
    </xf>
    <xf numFmtId="4" fontId="49" fillId="36" borderId="0" xfId="0" applyNumberFormat="1" applyFont="1" applyFill="1" applyBorder="1" applyAlignment="1">
      <alignment horizontal="center" vertical="center" wrapText="1"/>
    </xf>
    <xf numFmtId="4" fontId="49" fillId="36" borderId="14" xfId="0" applyNumberFormat="1" applyFont="1" applyFill="1" applyBorder="1" applyAlignment="1">
      <alignment horizontal="center" vertical="center" wrapText="1"/>
    </xf>
    <xf numFmtId="170" fontId="49" fillId="36" borderId="13" xfId="0" applyNumberFormat="1" applyFont="1" applyFill="1" applyBorder="1" applyAlignment="1">
      <alignment horizontal="center" vertical="center" wrapText="1"/>
    </xf>
    <xf numFmtId="170" fontId="49" fillId="36" borderId="0" xfId="0" applyNumberFormat="1" applyFont="1" applyFill="1" applyBorder="1" applyAlignment="1">
      <alignment horizontal="center" vertical="center" wrapText="1"/>
    </xf>
    <xf numFmtId="170" fontId="49" fillId="36" borderId="14" xfId="0" applyNumberFormat="1" applyFont="1" applyFill="1" applyBorder="1" applyAlignment="1">
      <alignment horizontal="center" vertical="center" wrapText="1"/>
    </xf>
    <xf numFmtId="3" fontId="49" fillId="36" borderId="10" xfId="0" applyNumberFormat="1" applyFont="1" applyFill="1" applyBorder="1" applyAlignment="1">
      <alignment horizontal="center" vertical="center" wrapText="1"/>
    </xf>
    <xf numFmtId="3" fontId="49" fillId="36" borderId="11" xfId="0" applyNumberFormat="1" applyFont="1" applyFill="1" applyBorder="1" applyAlignment="1">
      <alignment horizontal="center" vertical="center" wrapText="1"/>
    </xf>
    <xf numFmtId="3" fontId="49" fillId="36" borderId="12" xfId="0" applyNumberFormat="1" applyFont="1" applyFill="1" applyBorder="1" applyAlignment="1">
      <alignment horizontal="center" vertical="center" wrapText="1"/>
    </xf>
    <xf numFmtId="3" fontId="50" fillId="36" borderId="10" xfId="0" applyNumberFormat="1" applyFont="1" applyFill="1" applyBorder="1" applyAlignment="1">
      <alignment horizontal="center" vertical="center" wrapText="1"/>
    </xf>
    <xf numFmtId="3" fontId="50" fillId="36" borderId="12" xfId="0" applyNumberFormat="1" applyFont="1" applyFill="1" applyBorder="1" applyAlignment="1">
      <alignment horizontal="center" vertical="center" wrapText="1"/>
    </xf>
    <xf numFmtId="3" fontId="50" fillId="36" borderId="13" xfId="0" applyNumberFormat="1" applyFont="1" applyFill="1" applyBorder="1" applyAlignment="1">
      <alignment horizontal="center" vertical="center" wrapText="1"/>
    </xf>
    <xf numFmtId="3" fontId="50" fillId="36" borderId="14" xfId="0" applyNumberFormat="1" applyFont="1" applyFill="1" applyBorder="1" applyAlignment="1">
      <alignment horizontal="center" vertical="center" wrapText="1"/>
    </xf>
    <xf numFmtId="3" fontId="48" fillId="33" borderId="13" xfId="0" applyNumberFormat="1" applyFont="1" applyFill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3" fontId="49" fillId="36" borderId="13" xfId="0" applyNumberFormat="1" applyFont="1" applyFill="1" applyBorder="1" applyAlignment="1">
      <alignment horizontal="center" vertical="center" wrapText="1"/>
    </xf>
    <xf numFmtId="3" fontId="49" fillId="36" borderId="14" xfId="0" applyNumberFormat="1" applyFont="1" applyFill="1" applyBorder="1" applyAlignment="1">
      <alignment horizontal="center" vertical="center" wrapText="1"/>
    </xf>
    <xf numFmtId="171" fontId="49" fillId="36" borderId="13" xfId="0" applyNumberFormat="1" applyFont="1" applyFill="1" applyBorder="1" applyAlignment="1">
      <alignment horizontal="center" vertical="center" wrapText="1"/>
    </xf>
    <xf numFmtId="171" fontId="49" fillId="36" borderId="14" xfId="0" applyNumberFormat="1" applyFont="1" applyFill="1" applyBorder="1" applyAlignment="1">
      <alignment horizontal="center" vertical="center" wrapText="1"/>
    </xf>
    <xf numFmtId="3" fontId="48" fillId="33" borderId="21" xfId="0" applyNumberFormat="1" applyFont="1" applyFill="1" applyBorder="1" applyAlignment="1">
      <alignment horizontal="center" vertical="center" wrapText="1"/>
    </xf>
    <xf numFmtId="3" fontId="49" fillId="36" borderId="0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9" fontId="58" fillId="0" borderId="24" xfId="0" applyNumberFormat="1" applyFont="1" applyBorder="1" applyAlignment="1">
      <alignment horizontal="center" vertical="center"/>
    </xf>
    <xf numFmtId="3" fontId="58" fillId="0" borderId="24" xfId="0" applyNumberFormat="1" applyFont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3" fontId="48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zoomScale="130" zoomScaleNormal="130" zoomScalePageLayoutView="0" workbookViewId="0" topLeftCell="A13">
      <selection activeCell="B24" sqref="B24:E24"/>
    </sheetView>
  </sheetViews>
  <sheetFormatPr defaultColWidth="9.140625" defaultRowHeight="15"/>
  <cols>
    <col min="1" max="1" width="2.28125" style="1" customWidth="1"/>
    <col min="2" max="2" width="23.7109375" style="1" customWidth="1"/>
    <col min="3" max="5" width="9.140625" style="1" customWidth="1"/>
    <col min="6" max="6" width="20.57421875" style="1" customWidth="1"/>
    <col min="7" max="16384" width="9.140625" style="1" customWidth="1"/>
  </cols>
  <sheetData>
    <row r="1" ht="15"/>
    <row r="2" spans="2:5" ht="15">
      <c r="B2" s="3"/>
      <c r="C2" s="4" t="s">
        <v>0</v>
      </c>
      <c r="D2" s="4" t="s">
        <v>1</v>
      </c>
      <c r="E2" s="5" t="s">
        <v>2</v>
      </c>
    </row>
    <row r="3" spans="2:5" ht="30">
      <c r="B3" s="6" t="s">
        <v>3</v>
      </c>
      <c r="C3" s="7">
        <v>1000</v>
      </c>
      <c r="D3" s="7">
        <v>2000</v>
      </c>
      <c r="E3" s="8">
        <v>4000</v>
      </c>
    </row>
    <row r="4" spans="2:5" ht="30">
      <c r="B4" s="9" t="s">
        <v>14</v>
      </c>
      <c r="C4" s="10">
        <v>1800</v>
      </c>
      <c r="D4" s="10">
        <v>3600</v>
      </c>
      <c r="E4" s="11">
        <v>7200</v>
      </c>
    </row>
    <row r="5" ht="15">
      <c r="B5" s="2"/>
    </row>
    <row r="6" spans="2:6" ht="15">
      <c r="B6" s="27" t="s">
        <v>4</v>
      </c>
      <c r="C6" s="28" t="s">
        <v>0</v>
      </c>
      <c r="D6" s="28" t="s">
        <v>1</v>
      </c>
      <c r="E6" s="29" t="s">
        <v>2</v>
      </c>
      <c r="F6" s="394" t="s">
        <v>26</v>
      </c>
    </row>
    <row r="7" spans="2:6" ht="15">
      <c r="B7" s="30" t="s">
        <v>5</v>
      </c>
      <c r="C7" s="31">
        <v>0</v>
      </c>
      <c r="D7" s="31">
        <f>+C4/5</f>
        <v>360</v>
      </c>
      <c r="E7" s="32">
        <f>+C4/5+D4/5</f>
        <v>1080</v>
      </c>
      <c r="F7" s="395"/>
    </row>
    <row r="8" spans="2:6" ht="15">
      <c r="B8" s="30" t="s">
        <v>6</v>
      </c>
      <c r="C8" s="31">
        <f>-C3</f>
        <v>-1000</v>
      </c>
      <c r="D8" s="31">
        <f>-D3</f>
        <v>-2000</v>
      </c>
      <c r="E8" s="32">
        <f>-E3</f>
        <v>-4000</v>
      </c>
      <c r="F8" s="395"/>
    </row>
    <row r="9" spans="2:6" ht="15">
      <c r="B9" s="33" t="s">
        <v>7</v>
      </c>
      <c r="C9" s="34">
        <f>+SUM(C7:C8)</f>
        <v>-1000</v>
      </c>
      <c r="D9" s="34">
        <f>+SUM(D7:D8)</f>
        <v>-1640</v>
      </c>
      <c r="E9" s="35">
        <f>+SUM(E7:E8)</f>
        <v>-2920</v>
      </c>
      <c r="F9" s="396"/>
    </row>
    <row r="10" spans="2:5" ht="15">
      <c r="B10" s="12" t="s">
        <v>8</v>
      </c>
      <c r="C10" s="13">
        <v>10000</v>
      </c>
      <c r="D10" s="13">
        <f>+C11</f>
        <v>9000</v>
      </c>
      <c r="E10" s="14">
        <f>+D11</f>
        <v>7360</v>
      </c>
    </row>
    <row r="11" spans="2:5" ht="15">
      <c r="B11" s="15" t="s">
        <v>9</v>
      </c>
      <c r="C11" s="16">
        <f>+C10+C9</f>
        <v>9000</v>
      </c>
      <c r="D11" s="16">
        <f>+D10+D9</f>
        <v>7360</v>
      </c>
      <c r="E11" s="17">
        <f>+E10+E9</f>
        <v>4440</v>
      </c>
    </row>
    <row r="13" spans="2:6" ht="15">
      <c r="B13" s="27" t="s">
        <v>10</v>
      </c>
      <c r="C13" s="28" t="s">
        <v>0</v>
      </c>
      <c r="D13" s="28" t="s">
        <v>1</v>
      </c>
      <c r="E13" s="29" t="s">
        <v>2</v>
      </c>
      <c r="F13" s="394" t="s">
        <v>25</v>
      </c>
    </row>
    <row r="14" spans="2:6" ht="15">
      <c r="B14" s="30" t="s">
        <v>11</v>
      </c>
      <c r="C14" s="31">
        <f>+C4</f>
        <v>1800</v>
      </c>
      <c r="D14" s="31">
        <f>+D4</f>
        <v>3600</v>
      </c>
      <c r="E14" s="32">
        <f>+E4</f>
        <v>7200</v>
      </c>
      <c r="F14" s="395"/>
    </row>
    <row r="15" spans="2:6" ht="15">
      <c r="B15" s="30" t="s">
        <v>12</v>
      </c>
      <c r="C15" s="31">
        <f>-C3</f>
        <v>-1000</v>
      </c>
      <c r="D15" s="31">
        <f>-D3</f>
        <v>-2000</v>
      </c>
      <c r="E15" s="32">
        <f>-E3</f>
        <v>-4000</v>
      </c>
      <c r="F15" s="395"/>
    </row>
    <row r="16" spans="2:6" ht="15">
      <c r="B16" s="36" t="s">
        <v>13</v>
      </c>
      <c r="C16" s="37">
        <f>+SUM(C14:C15)</f>
        <v>800</v>
      </c>
      <c r="D16" s="37">
        <f>+SUM(D14:D15)</f>
        <v>1600</v>
      </c>
      <c r="E16" s="38">
        <f>+SUM(E14:E15)</f>
        <v>3200</v>
      </c>
      <c r="F16" s="395"/>
    </row>
    <row r="17" spans="2:6" ht="15">
      <c r="B17" s="39"/>
      <c r="C17" s="40">
        <f>-C5</f>
        <v>0</v>
      </c>
      <c r="D17" s="40">
        <f>-D5</f>
        <v>0</v>
      </c>
      <c r="E17" s="41">
        <f>-E5</f>
        <v>0</v>
      </c>
      <c r="F17" s="395"/>
    </row>
    <row r="18" spans="2:6" ht="15">
      <c r="B18" s="33" t="s">
        <v>15</v>
      </c>
      <c r="C18" s="34">
        <f>+SUM(C16:C17)</f>
        <v>800</v>
      </c>
      <c r="D18" s="34">
        <f>+SUM(D16:D17)</f>
        <v>1600</v>
      </c>
      <c r="E18" s="35">
        <f>+SUM(E16:E17)</f>
        <v>3200</v>
      </c>
      <c r="F18" s="396"/>
    </row>
    <row r="20" spans="2:5" ht="15">
      <c r="B20" s="391" t="s">
        <v>16</v>
      </c>
      <c r="C20" s="392"/>
      <c r="D20" s="392"/>
      <c r="E20" s="393"/>
    </row>
    <row r="21" spans="2:5" ht="15">
      <c r="B21" s="18" t="s">
        <v>17</v>
      </c>
      <c r="C21" s="19">
        <v>42124</v>
      </c>
      <c r="D21" s="19">
        <f>+C21+31</f>
        <v>42155</v>
      </c>
      <c r="E21" s="20">
        <f>+D21+30</f>
        <v>42185</v>
      </c>
    </row>
    <row r="22" spans="2:5" ht="15">
      <c r="B22" s="25" t="s">
        <v>21</v>
      </c>
      <c r="C22" s="21">
        <f>+C11</f>
        <v>9000</v>
      </c>
      <c r="D22" s="21">
        <f>+D11</f>
        <v>7360</v>
      </c>
      <c r="E22" s="22">
        <f>+E11</f>
        <v>4440</v>
      </c>
    </row>
    <row r="23" spans="2:5" ht="15">
      <c r="B23" s="25" t="s">
        <v>22</v>
      </c>
      <c r="C23" s="21">
        <f>+C14</f>
        <v>1800</v>
      </c>
      <c r="D23" s="21">
        <f>+C23+D14-D7</f>
        <v>5040</v>
      </c>
      <c r="E23" s="22">
        <f>+D23+E14-E7</f>
        <v>11160</v>
      </c>
    </row>
    <row r="24" spans="2:5" ht="15">
      <c r="B24" s="42"/>
      <c r="C24" s="43"/>
      <c r="D24" s="43"/>
      <c r="E24" s="44"/>
    </row>
    <row r="25" spans="2:5" ht="15">
      <c r="B25" s="26" t="s">
        <v>18</v>
      </c>
      <c r="C25" s="23">
        <f>+SUM(C22:C24)</f>
        <v>10800</v>
      </c>
      <c r="D25" s="23">
        <f>+SUM(D22:D24)</f>
        <v>12400</v>
      </c>
      <c r="E25" s="24">
        <f>+SUM(E22:E24)</f>
        <v>15600</v>
      </c>
    </row>
    <row r="26" spans="2:5" ht="15">
      <c r="B26" s="18" t="s">
        <v>19</v>
      </c>
      <c r="C26" s="19">
        <v>42124</v>
      </c>
      <c r="D26" s="19">
        <f>+C26+31</f>
        <v>42155</v>
      </c>
      <c r="E26" s="20">
        <f>+D26+30</f>
        <v>42185</v>
      </c>
    </row>
    <row r="27" spans="2:5" ht="15">
      <c r="B27" s="25" t="s">
        <v>23</v>
      </c>
      <c r="C27" s="21">
        <v>10000</v>
      </c>
      <c r="D27" s="21">
        <v>10000</v>
      </c>
      <c r="E27" s="22">
        <v>10000</v>
      </c>
    </row>
    <row r="28" spans="2:5" ht="15">
      <c r="B28" s="25" t="s">
        <v>24</v>
      </c>
      <c r="C28" s="21">
        <f>+C18</f>
        <v>800</v>
      </c>
      <c r="D28" s="21">
        <f>+C28+D18</f>
        <v>2400</v>
      </c>
      <c r="E28" s="22">
        <f>+D28+E18</f>
        <v>5600</v>
      </c>
    </row>
    <row r="29" spans="2:5" ht="15">
      <c r="B29" s="26" t="s">
        <v>20</v>
      </c>
      <c r="C29" s="23">
        <f>+SUM(C27:C28)</f>
        <v>10800</v>
      </c>
      <c r="D29" s="23">
        <f>+SUM(D27:D28)</f>
        <v>12400</v>
      </c>
      <c r="E29" s="24">
        <f>+SUM(E27:E28)</f>
        <v>15600</v>
      </c>
    </row>
  </sheetData>
  <sheetProtection/>
  <mergeCells count="3">
    <mergeCell ref="B20:E20"/>
    <mergeCell ref="F13:F18"/>
    <mergeCell ref="F6:F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15"/>
  <sheetViews>
    <sheetView zoomScale="130" zoomScaleNormal="130" zoomScalePageLayoutView="0" workbookViewId="0" topLeftCell="A1">
      <selection activeCell="B15" sqref="B15"/>
    </sheetView>
  </sheetViews>
  <sheetFormatPr defaultColWidth="9.140625" defaultRowHeight="15"/>
  <cols>
    <col min="1" max="1" width="2.28125" style="1" customWidth="1"/>
    <col min="2" max="2" width="27.421875" style="1" customWidth="1"/>
    <col min="3" max="4" width="10.8515625" style="1" customWidth="1"/>
    <col min="5" max="5" width="9.421875" style="1" bestFit="1" customWidth="1"/>
    <col min="6" max="8" width="9.140625" style="1" customWidth="1"/>
    <col min="9" max="9" width="9.421875" style="1" bestFit="1" customWidth="1"/>
    <col min="10" max="16384" width="9.140625" style="1" customWidth="1"/>
  </cols>
  <sheetData>
    <row r="2" spans="2:3" ht="15">
      <c r="B2" s="45" t="s">
        <v>201</v>
      </c>
      <c r="C2" s="46">
        <v>10000</v>
      </c>
    </row>
    <row r="3" spans="2:3" ht="15">
      <c r="B3" s="6" t="s">
        <v>204</v>
      </c>
      <c r="C3" s="8">
        <v>1000</v>
      </c>
    </row>
    <row r="4" spans="2:3" ht="15">
      <c r="B4" s="9" t="s">
        <v>202</v>
      </c>
      <c r="C4" s="157">
        <v>0.15</v>
      </c>
    </row>
    <row r="5" ht="15">
      <c r="B5" s="2"/>
    </row>
    <row r="6" spans="2:4" ht="15">
      <c r="B6" s="127" t="s">
        <v>203</v>
      </c>
      <c r="C6" s="129" t="s">
        <v>88</v>
      </c>
      <c r="D6" s="128" t="s">
        <v>89</v>
      </c>
    </row>
    <row r="7" spans="2:4" ht="15">
      <c r="B7" s="45" t="s">
        <v>205</v>
      </c>
      <c r="C7" s="67">
        <v>10000</v>
      </c>
      <c r="D7" s="46"/>
    </row>
    <row r="8" spans="2:4" ht="15">
      <c r="B8" s="9" t="s">
        <v>207</v>
      </c>
      <c r="C8" s="10"/>
      <c r="D8" s="11">
        <v>10000</v>
      </c>
    </row>
    <row r="9" spans="2:4" ht="15">
      <c r="B9" s="6" t="s">
        <v>205</v>
      </c>
      <c r="C9" s="7">
        <v>1000</v>
      </c>
      <c r="D9" s="8"/>
    </row>
    <row r="10" spans="2:4" ht="15">
      <c r="B10" s="9" t="s">
        <v>90</v>
      </c>
      <c r="C10" s="10"/>
      <c r="D10" s="11">
        <v>1000</v>
      </c>
    </row>
    <row r="11" spans="2:4" ht="15">
      <c r="B11" s="45" t="s">
        <v>205</v>
      </c>
      <c r="C11" s="67"/>
      <c r="D11" s="46">
        <f>+C12</f>
        <v>1500</v>
      </c>
    </row>
    <row r="12" spans="2:4" ht="15">
      <c r="B12" s="9" t="s">
        <v>206</v>
      </c>
      <c r="C12" s="10">
        <f>+C2*C4</f>
        <v>1500</v>
      </c>
      <c r="D12" s="11"/>
    </row>
    <row r="13" spans="2:4" ht="15">
      <c r="B13" s="48" t="s">
        <v>41</v>
      </c>
      <c r="C13" s="49">
        <f>+SUM(C7:C12)</f>
        <v>12500</v>
      </c>
      <c r="D13" s="131">
        <f>+SUM(D7:D12)</f>
        <v>12500</v>
      </c>
    </row>
    <row r="14" ht="15">
      <c r="B14" s="2"/>
    </row>
    <row r="15" spans="2:3" ht="15">
      <c r="B15" s="132" t="s">
        <v>208</v>
      </c>
      <c r="C15" s="134">
        <f>+SUM(C7:C9)-D11</f>
        <v>9500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26"/>
  <sheetViews>
    <sheetView zoomScale="130" zoomScaleNormal="130" zoomScalePageLayoutView="0" workbookViewId="0" topLeftCell="A16">
      <selection activeCell="C26" sqref="C26"/>
    </sheetView>
  </sheetViews>
  <sheetFormatPr defaultColWidth="9.140625" defaultRowHeight="15"/>
  <cols>
    <col min="1" max="1" width="2.28125" style="1" customWidth="1"/>
    <col min="2" max="2" width="39.8515625" style="1" customWidth="1"/>
    <col min="3" max="4" width="10.8515625" style="1" customWidth="1"/>
    <col min="5" max="5" width="9.421875" style="1" bestFit="1" customWidth="1"/>
    <col min="6" max="8" width="9.140625" style="1" customWidth="1"/>
    <col min="9" max="9" width="9.421875" style="1" bestFit="1" customWidth="1"/>
    <col min="10" max="16384" width="9.140625" style="1" customWidth="1"/>
  </cols>
  <sheetData>
    <row r="2" spans="2:3" ht="15">
      <c r="B2" s="3"/>
      <c r="C2" s="46" t="s">
        <v>209</v>
      </c>
    </row>
    <row r="3" spans="2:3" ht="15">
      <c r="B3" s="158" t="s">
        <v>210</v>
      </c>
      <c r="C3" s="22">
        <v>16000</v>
      </c>
    </row>
    <row r="4" spans="2:3" ht="15">
      <c r="B4" s="158" t="s">
        <v>211</v>
      </c>
      <c r="C4" s="22">
        <f>+C3*(1-5%)</f>
        <v>15200</v>
      </c>
    </row>
    <row r="5" spans="2:3" ht="15">
      <c r="B5" s="158" t="s">
        <v>212</v>
      </c>
      <c r="C5" s="22">
        <f>+C4*5%</f>
        <v>760</v>
      </c>
    </row>
    <row r="6" spans="2:3" ht="15">
      <c r="B6" s="15" t="s">
        <v>213</v>
      </c>
      <c r="C6" s="17">
        <f>+C4-C5</f>
        <v>14440</v>
      </c>
    </row>
    <row r="8" spans="2:3" ht="15">
      <c r="B8" s="91" t="s">
        <v>214</v>
      </c>
      <c r="C8" s="128">
        <v>80000</v>
      </c>
    </row>
    <row r="9" spans="2:3" ht="15">
      <c r="B9" s="6" t="s">
        <v>215</v>
      </c>
      <c r="C9" s="8">
        <f>-C8*18%</f>
        <v>-14400</v>
      </c>
    </row>
    <row r="10" spans="2:3" ht="15">
      <c r="B10" s="90" t="s">
        <v>216</v>
      </c>
      <c r="C10" s="130">
        <f>SUM(C8:C9)</f>
        <v>65600</v>
      </c>
    </row>
    <row r="11" spans="2:3" ht="15">
      <c r="B11" s="6" t="s">
        <v>217</v>
      </c>
      <c r="C11" s="8">
        <f>-C5*2</f>
        <v>-1520</v>
      </c>
    </row>
    <row r="12" spans="2:3" ht="15">
      <c r="B12" s="48" t="s">
        <v>218</v>
      </c>
      <c r="C12" s="131">
        <f>+SUM(C10:C11)</f>
        <v>64080</v>
      </c>
    </row>
    <row r="14" spans="2:3" ht="15">
      <c r="B14" s="136" t="s">
        <v>219</v>
      </c>
      <c r="C14" s="159">
        <f>+C12/C6</f>
        <v>4.437673130193906</v>
      </c>
    </row>
    <row r="16" spans="2:4" ht="15">
      <c r="B16" s="127" t="s">
        <v>203</v>
      </c>
      <c r="C16" s="129" t="s">
        <v>88</v>
      </c>
      <c r="D16" s="128" t="s">
        <v>89</v>
      </c>
    </row>
    <row r="17" spans="2:4" ht="15">
      <c r="B17" s="45" t="s">
        <v>91</v>
      </c>
      <c r="C17" s="67">
        <f>+D19-C18</f>
        <v>65600</v>
      </c>
      <c r="D17" s="46"/>
    </row>
    <row r="18" spans="2:4" ht="15">
      <c r="B18" s="6" t="s">
        <v>222</v>
      </c>
      <c r="C18" s="7">
        <f>+D19*18%</f>
        <v>14400</v>
      </c>
      <c r="D18" s="8"/>
    </row>
    <row r="19" spans="2:4" ht="15">
      <c r="B19" s="9" t="s">
        <v>221</v>
      </c>
      <c r="C19" s="10"/>
      <c r="D19" s="11">
        <v>80000</v>
      </c>
    </row>
    <row r="20" spans="2:5" ht="15">
      <c r="B20" s="45" t="s">
        <v>220</v>
      </c>
      <c r="C20" s="67">
        <f>+C17</f>
        <v>65600</v>
      </c>
      <c r="D20" s="46"/>
      <c r="E20" s="7"/>
    </row>
    <row r="21" spans="2:5" ht="15">
      <c r="B21" s="9" t="s">
        <v>91</v>
      </c>
      <c r="C21" s="10"/>
      <c r="D21" s="11">
        <f>+C20</f>
        <v>65600</v>
      </c>
      <c r="E21" s="7"/>
    </row>
    <row r="22" spans="2:4" ht="15">
      <c r="B22" s="45" t="s">
        <v>223</v>
      </c>
      <c r="C22" s="67">
        <f>-C11</f>
        <v>1520</v>
      </c>
      <c r="D22" s="46"/>
    </row>
    <row r="23" spans="2:4" ht="15">
      <c r="B23" s="9" t="s">
        <v>220</v>
      </c>
      <c r="C23" s="10"/>
      <c r="D23" s="11">
        <f>+C22</f>
        <v>1520</v>
      </c>
    </row>
    <row r="24" spans="2:4" ht="15">
      <c r="B24" s="88" t="s">
        <v>41</v>
      </c>
      <c r="C24" s="133">
        <f>SUM(C17:C23)</f>
        <v>147120</v>
      </c>
      <c r="D24" s="134">
        <f>SUM(D17:D23)</f>
        <v>147120</v>
      </c>
    </row>
    <row r="26" spans="2:3" ht="15">
      <c r="B26" s="132" t="s">
        <v>224</v>
      </c>
      <c r="C26" s="134">
        <f>+C20-D23</f>
        <v>64080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1"/>
  <sheetViews>
    <sheetView zoomScale="130" zoomScaleNormal="130" zoomScalePageLayoutView="0" workbookViewId="0" topLeftCell="A25">
      <selection activeCell="E37" sqref="E37"/>
    </sheetView>
  </sheetViews>
  <sheetFormatPr defaultColWidth="9.140625" defaultRowHeight="15"/>
  <cols>
    <col min="1" max="1" width="2.28125" style="1" customWidth="1"/>
    <col min="2" max="2" width="39.8515625" style="1" customWidth="1"/>
    <col min="3" max="4" width="10.8515625" style="1" customWidth="1"/>
    <col min="5" max="5" width="27.7109375" style="1" customWidth="1"/>
    <col min="6" max="8" width="9.140625" style="1" customWidth="1"/>
    <col min="9" max="9" width="9.421875" style="1" bestFit="1" customWidth="1"/>
    <col min="10" max="16384" width="9.140625" style="1" customWidth="1"/>
  </cols>
  <sheetData>
    <row r="2" spans="2:3" ht="15">
      <c r="B2" s="173" t="s">
        <v>225</v>
      </c>
      <c r="C2" s="174">
        <v>6</v>
      </c>
    </row>
    <row r="3" spans="2:3" ht="15">
      <c r="B3" s="175" t="s">
        <v>226</v>
      </c>
      <c r="C3" s="170">
        <v>42</v>
      </c>
    </row>
    <row r="4" spans="2:3" ht="15">
      <c r="B4" s="112" t="s">
        <v>227</v>
      </c>
      <c r="C4" s="176">
        <f>+C3/C2</f>
        <v>7</v>
      </c>
    </row>
    <row r="6" spans="2:3" ht="15">
      <c r="B6" s="136" t="s">
        <v>228</v>
      </c>
      <c r="C6" s="165">
        <v>5</v>
      </c>
    </row>
    <row r="8" spans="2:3" ht="15">
      <c r="B8" s="166" t="s">
        <v>230</v>
      </c>
      <c r="C8" s="167">
        <v>3</v>
      </c>
    </row>
    <row r="10" spans="2:3" ht="15">
      <c r="B10" s="166" t="s">
        <v>231</v>
      </c>
      <c r="C10" s="167">
        <v>12</v>
      </c>
    </row>
    <row r="12" spans="2:3" ht="15">
      <c r="B12" s="415" t="s">
        <v>252</v>
      </c>
      <c r="C12" s="416"/>
    </row>
    <row r="13" spans="2:3" ht="15">
      <c r="B13" s="6" t="s">
        <v>232</v>
      </c>
      <c r="C13" s="168">
        <v>0.2</v>
      </c>
    </row>
    <row r="14" spans="2:3" ht="15">
      <c r="B14" s="6" t="s">
        <v>234</v>
      </c>
      <c r="C14" s="168">
        <v>0.05</v>
      </c>
    </row>
    <row r="15" spans="2:3" ht="15">
      <c r="B15" s="6" t="s">
        <v>233</v>
      </c>
      <c r="C15" s="168">
        <v>0.08</v>
      </c>
    </row>
    <row r="16" spans="2:3" ht="15">
      <c r="B16" s="6" t="s">
        <v>235</v>
      </c>
      <c r="C16" s="168">
        <v>0.03</v>
      </c>
    </row>
    <row r="17" spans="2:3" ht="15">
      <c r="B17" s="48" t="s">
        <v>41</v>
      </c>
      <c r="C17" s="169">
        <f>SUM(C13:C16)</f>
        <v>0.36</v>
      </c>
    </row>
    <row r="19" spans="2:3" ht="15">
      <c r="B19" s="417" t="s">
        <v>236</v>
      </c>
      <c r="C19" s="418"/>
    </row>
    <row r="20" spans="2:3" ht="15">
      <c r="B20" s="54" t="s">
        <v>237</v>
      </c>
      <c r="C20" s="170">
        <v>365</v>
      </c>
    </row>
    <row r="21" spans="2:3" ht="15">
      <c r="B21" s="54" t="s">
        <v>238</v>
      </c>
      <c r="C21" s="170">
        <v>-48</v>
      </c>
    </row>
    <row r="22" spans="2:3" ht="15">
      <c r="B22" s="54" t="s">
        <v>239</v>
      </c>
      <c r="C22" s="170">
        <v>-30</v>
      </c>
    </row>
    <row r="23" spans="2:3" ht="15">
      <c r="B23" s="54" t="s">
        <v>240</v>
      </c>
      <c r="C23" s="170">
        <v>-12</v>
      </c>
    </row>
    <row r="24" spans="2:3" ht="15">
      <c r="B24" s="54" t="s">
        <v>241</v>
      </c>
      <c r="C24" s="170">
        <v>-3</v>
      </c>
    </row>
    <row r="25" spans="2:3" ht="15">
      <c r="B25" s="171" t="s">
        <v>242</v>
      </c>
      <c r="C25" s="172">
        <f>SUM(C20:C24)</f>
        <v>272</v>
      </c>
    </row>
    <row r="27" spans="2:5" ht="15">
      <c r="B27" s="397" t="s">
        <v>243</v>
      </c>
      <c r="C27" s="398"/>
      <c r="D27" s="156" t="s">
        <v>194</v>
      </c>
      <c r="E27" s="156" t="s">
        <v>256</v>
      </c>
    </row>
    <row r="28" spans="2:5" ht="15">
      <c r="B28" s="6" t="s">
        <v>244</v>
      </c>
      <c r="C28" s="8">
        <f>+C25*C4*C6</f>
        <v>9520</v>
      </c>
      <c r="D28" s="182">
        <f aca="true" t="shared" si="0" ref="D28:D34">+C28/$C$37</f>
        <v>0.49382716049382713</v>
      </c>
      <c r="E28" s="182" t="s">
        <v>257</v>
      </c>
    </row>
    <row r="29" spans="2:5" ht="15">
      <c r="B29" s="6" t="s">
        <v>245</v>
      </c>
      <c r="C29" s="8">
        <f>+-C21*C4*C6</f>
        <v>1680</v>
      </c>
      <c r="D29" s="182">
        <f t="shared" si="0"/>
        <v>0.08714596949891068</v>
      </c>
      <c r="E29" s="182" t="s">
        <v>257</v>
      </c>
    </row>
    <row r="30" spans="2:5" ht="15">
      <c r="B30" s="6" t="s">
        <v>229</v>
      </c>
      <c r="C30" s="8">
        <f>-C23*C4*C6</f>
        <v>420</v>
      </c>
      <c r="D30" s="182">
        <f t="shared" si="0"/>
        <v>0.02178649237472767</v>
      </c>
      <c r="E30" s="182" t="s">
        <v>257</v>
      </c>
    </row>
    <row r="31" spans="2:5" ht="15">
      <c r="B31" s="6" t="s">
        <v>246</v>
      </c>
      <c r="C31" s="8">
        <f>-C24*C4*C6</f>
        <v>105</v>
      </c>
      <c r="D31" s="182">
        <f t="shared" si="0"/>
        <v>0.0054466230936819175</v>
      </c>
      <c r="E31" s="182" t="s">
        <v>257</v>
      </c>
    </row>
    <row r="32" spans="2:5" ht="15">
      <c r="B32" s="6" t="s">
        <v>247</v>
      </c>
      <c r="C32" s="8">
        <f>30*C4*C6</f>
        <v>1050</v>
      </c>
      <c r="D32" s="182">
        <f t="shared" si="0"/>
        <v>0.054466230936819175</v>
      </c>
      <c r="E32" s="182" t="s">
        <v>258</v>
      </c>
    </row>
    <row r="33" spans="2:5" ht="15">
      <c r="B33" s="6" t="s">
        <v>248</v>
      </c>
      <c r="C33" s="8">
        <f>30*C4*C6</f>
        <v>1050</v>
      </c>
      <c r="D33" s="182">
        <f t="shared" si="0"/>
        <v>0.054466230936819175</v>
      </c>
      <c r="E33" s="182" t="s">
        <v>259</v>
      </c>
    </row>
    <row r="34" spans="2:5" ht="15">
      <c r="B34" s="6" t="s">
        <v>249</v>
      </c>
      <c r="C34" s="8">
        <f>+C33/3</f>
        <v>350</v>
      </c>
      <c r="D34" s="182">
        <f t="shared" si="0"/>
        <v>0.01815541031227306</v>
      </c>
      <c r="E34" s="182" t="s">
        <v>259</v>
      </c>
    </row>
    <row r="35" spans="2:5" ht="15">
      <c r="B35" s="48" t="s">
        <v>250</v>
      </c>
      <c r="C35" s="155">
        <f>SUM(C28:C34)</f>
        <v>14175</v>
      </c>
      <c r="D35" s="146"/>
      <c r="E35" s="146"/>
    </row>
    <row r="36" spans="2:5" ht="15">
      <c r="B36" s="45" t="s">
        <v>251</v>
      </c>
      <c r="C36" s="46">
        <f>+C35*C17</f>
        <v>5103</v>
      </c>
      <c r="D36" s="182">
        <f>+C36/$C$37</f>
        <v>0.2647058823529412</v>
      </c>
      <c r="E36" s="182" t="s">
        <v>260</v>
      </c>
    </row>
    <row r="37" spans="2:5" ht="15">
      <c r="B37" s="48" t="s">
        <v>253</v>
      </c>
      <c r="C37" s="155">
        <f>+SUM(C35:C36)</f>
        <v>19278</v>
      </c>
      <c r="D37" s="183">
        <f>+SUM(D28:D36)</f>
        <v>1</v>
      </c>
      <c r="E37" s="183"/>
    </row>
    <row r="39" spans="2:3" ht="15">
      <c r="B39" s="166" t="s">
        <v>254</v>
      </c>
      <c r="C39" s="177">
        <f>+C25*C4</f>
        <v>1904</v>
      </c>
    </row>
    <row r="41" spans="2:3" ht="18.75">
      <c r="B41" s="179" t="s">
        <v>255</v>
      </c>
      <c r="C41" s="180">
        <f>+C37/C39</f>
        <v>10.125</v>
      </c>
    </row>
  </sheetData>
  <sheetProtection/>
  <mergeCells count="3">
    <mergeCell ref="B12:C12"/>
    <mergeCell ref="B19:C19"/>
    <mergeCell ref="B27:C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32"/>
  <sheetViews>
    <sheetView zoomScale="120" zoomScaleNormal="120" zoomScalePageLayoutView="0" workbookViewId="0" topLeftCell="A9">
      <selection activeCell="E18" sqref="E18"/>
    </sheetView>
  </sheetViews>
  <sheetFormatPr defaultColWidth="9.140625" defaultRowHeight="15"/>
  <cols>
    <col min="1" max="1" width="2.28125" style="1" customWidth="1"/>
    <col min="2" max="2" width="39.8515625" style="1" customWidth="1"/>
    <col min="3" max="3" width="8.7109375" style="1" customWidth="1"/>
    <col min="4" max="6" width="9.140625" style="1" customWidth="1"/>
    <col min="7" max="7" width="9.421875" style="1" bestFit="1" customWidth="1"/>
    <col min="8" max="8" width="27.28125" style="1" customWidth="1"/>
    <col min="9" max="16384" width="9.140625" style="1" customWidth="1"/>
  </cols>
  <sheetData>
    <row r="2" spans="2:6" ht="15">
      <c r="B2" s="3"/>
      <c r="C2" s="67"/>
      <c r="D2" s="151" t="s">
        <v>262</v>
      </c>
      <c r="E2" s="151"/>
      <c r="F2" s="150" t="s">
        <v>263</v>
      </c>
    </row>
    <row r="3" spans="2:6" ht="15">
      <c r="B3" s="9" t="s">
        <v>261</v>
      </c>
      <c r="C3" s="184"/>
      <c r="D3" s="10">
        <v>2000</v>
      </c>
      <c r="E3" s="10"/>
      <c r="F3" s="11">
        <v>1500</v>
      </c>
    </row>
    <row r="5" spans="2:3" ht="15">
      <c r="B5" s="415" t="s">
        <v>264</v>
      </c>
      <c r="C5" s="416"/>
    </row>
    <row r="6" spans="2:3" ht="15">
      <c r="B6" s="6" t="s">
        <v>232</v>
      </c>
      <c r="C6" s="139">
        <v>0.2</v>
      </c>
    </row>
    <row r="7" spans="2:3" ht="15">
      <c r="B7" s="6" t="s">
        <v>265</v>
      </c>
      <c r="C7" s="139">
        <v>0.02</v>
      </c>
    </row>
    <row r="8" spans="2:3" ht="15">
      <c r="B8" s="6" t="s">
        <v>233</v>
      </c>
      <c r="C8" s="139">
        <v>0.08</v>
      </c>
    </row>
    <row r="9" spans="2:3" ht="15">
      <c r="B9" s="6" t="s">
        <v>235</v>
      </c>
      <c r="C9" s="139">
        <v>0.05</v>
      </c>
    </row>
    <row r="10" spans="2:3" ht="15">
      <c r="B10" s="48" t="s">
        <v>41</v>
      </c>
      <c r="C10" s="185">
        <f>SUM(C6:C9)</f>
        <v>0.35</v>
      </c>
    </row>
    <row r="11" spans="2:3" ht="15">
      <c r="B11" s="2"/>
      <c r="C11" s="2"/>
    </row>
    <row r="12" spans="3:6" ht="15">
      <c r="C12" s="397" t="s">
        <v>266</v>
      </c>
      <c r="D12" s="398"/>
      <c r="E12" s="397" t="s">
        <v>267</v>
      </c>
      <c r="F12" s="398"/>
    </row>
    <row r="13" spans="2:8" ht="15">
      <c r="B13" s="2"/>
      <c r="C13" s="152" t="s">
        <v>268</v>
      </c>
      <c r="D13" s="153" t="s">
        <v>269</v>
      </c>
      <c r="E13" s="152" t="s">
        <v>268</v>
      </c>
      <c r="F13" s="153" t="s">
        <v>269</v>
      </c>
      <c r="G13" s="194" t="s">
        <v>194</v>
      </c>
      <c r="H13" s="194" t="s">
        <v>279</v>
      </c>
    </row>
    <row r="14" spans="2:8" ht="15">
      <c r="B14" s="45" t="s">
        <v>270</v>
      </c>
      <c r="C14" s="189">
        <f>11+0.333333333333333</f>
        <v>11.333333333333334</v>
      </c>
      <c r="D14" s="46">
        <f>+C14*D$3</f>
        <v>22666.666666666668</v>
      </c>
      <c r="E14" s="189">
        <f>11+0.333333333333333</f>
        <v>11.333333333333334</v>
      </c>
      <c r="F14" s="46">
        <f>+E14*F$3</f>
        <v>17000</v>
      </c>
      <c r="G14" s="192">
        <f>+F14/$F$22</f>
        <v>0.6194959003947769</v>
      </c>
      <c r="H14" s="181" t="s">
        <v>257</v>
      </c>
    </row>
    <row r="15" spans="2:8" ht="15">
      <c r="B15" s="6" t="s">
        <v>271</v>
      </c>
      <c r="C15" s="186">
        <v>0.6666666666666666</v>
      </c>
      <c r="D15" s="8">
        <f aca="true" t="shared" si="0" ref="D15:F19">+C15*D$3</f>
        <v>1333.3333333333333</v>
      </c>
      <c r="E15" s="186">
        <v>0.6666666666666666</v>
      </c>
      <c r="F15" s="8">
        <f t="shared" si="0"/>
        <v>1000</v>
      </c>
      <c r="G15" s="192">
        <f aca="true" t="shared" si="1" ref="G15:G21">+F15/$F$22</f>
        <v>0.036440935317339815</v>
      </c>
      <c r="H15" s="146" t="s">
        <v>259</v>
      </c>
    </row>
    <row r="16" spans="2:8" ht="15">
      <c r="B16" s="6" t="s">
        <v>272</v>
      </c>
      <c r="C16" s="186">
        <v>0.3333333333333333</v>
      </c>
      <c r="D16" s="8">
        <f t="shared" si="0"/>
        <v>666.6666666666666</v>
      </c>
      <c r="E16" s="186">
        <v>0.3333333333333333</v>
      </c>
      <c r="F16" s="8">
        <f t="shared" si="0"/>
        <v>500</v>
      </c>
      <c r="G16" s="192">
        <f t="shared" si="1"/>
        <v>0.018220467658669907</v>
      </c>
      <c r="H16" s="146" t="s">
        <v>259</v>
      </c>
    </row>
    <row r="17" spans="2:8" ht="15">
      <c r="B17" s="6" t="s">
        <v>273</v>
      </c>
      <c r="C17" s="186">
        <v>1</v>
      </c>
      <c r="D17" s="8">
        <f t="shared" si="0"/>
        <v>2000</v>
      </c>
      <c r="E17" s="186">
        <v>1</v>
      </c>
      <c r="F17" s="8">
        <f t="shared" si="0"/>
        <v>1500</v>
      </c>
      <c r="G17" s="192">
        <f t="shared" si="1"/>
        <v>0.05466140297600972</v>
      </c>
      <c r="H17" s="146" t="s">
        <v>280</v>
      </c>
    </row>
    <row r="18" spans="2:8" ht="15">
      <c r="B18" s="6" t="s">
        <v>274</v>
      </c>
      <c r="C18" s="186">
        <f>+C15/3</f>
        <v>0.2222222222222222</v>
      </c>
      <c r="D18" s="8">
        <f t="shared" si="0"/>
        <v>444.4444444444444</v>
      </c>
      <c r="E18" s="186">
        <f>+E15/3</f>
        <v>0.2222222222222222</v>
      </c>
      <c r="F18" s="8">
        <f t="shared" si="0"/>
        <v>333.3333333333333</v>
      </c>
      <c r="G18" s="192">
        <f t="shared" si="1"/>
        <v>0.012146978439113271</v>
      </c>
      <c r="H18" s="146" t="s">
        <v>259</v>
      </c>
    </row>
    <row r="19" spans="2:8" ht="15">
      <c r="B19" s="6" t="s">
        <v>275</v>
      </c>
      <c r="C19" s="186">
        <f>+C16/3</f>
        <v>0.1111111111111111</v>
      </c>
      <c r="D19" s="8">
        <f t="shared" si="0"/>
        <v>222.2222222222222</v>
      </c>
      <c r="E19" s="186">
        <f>+E16/3</f>
        <v>0.1111111111111111</v>
      </c>
      <c r="F19" s="8">
        <f t="shared" si="0"/>
        <v>166.66666666666666</v>
      </c>
      <c r="G19" s="192">
        <f t="shared" si="1"/>
        <v>0.0060734892195566355</v>
      </c>
      <c r="H19" s="146" t="s">
        <v>259</v>
      </c>
    </row>
    <row r="20" spans="2:8" ht="15">
      <c r="B20" s="90" t="s">
        <v>250</v>
      </c>
      <c r="C20" s="187"/>
      <c r="D20" s="153">
        <f>SUM(D14:D19)</f>
        <v>27333.333333333336</v>
      </c>
      <c r="E20" s="152"/>
      <c r="F20" s="153">
        <f>SUM(F14:F19)</f>
        <v>20500</v>
      </c>
      <c r="G20" s="192"/>
      <c r="H20" s="146"/>
    </row>
    <row r="21" spans="2:8" ht="15">
      <c r="B21" s="6" t="s">
        <v>276</v>
      </c>
      <c r="C21" s="186"/>
      <c r="D21" s="8">
        <f>+$C$10*(D14+D15+D17+D18)</f>
        <v>9255.555555555555</v>
      </c>
      <c r="E21" s="101"/>
      <c r="F21" s="8">
        <f>+$C$10*(F14+F15+F17+F18)</f>
        <v>6941.666666666666</v>
      </c>
      <c r="G21" s="192">
        <f t="shared" si="1"/>
        <v>0.25296082599453384</v>
      </c>
      <c r="H21" s="146" t="s">
        <v>281</v>
      </c>
    </row>
    <row r="22" spans="2:8" ht="15">
      <c r="B22" s="48" t="s">
        <v>277</v>
      </c>
      <c r="C22" s="188"/>
      <c r="D22" s="155">
        <f>+SUM(D20:D21)</f>
        <v>36588.88888888889</v>
      </c>
      <c r="E22" s="154"/>
      <c r="F22" s="155">
        <f>+SUM(F20:F21)</f>
        <v>27441.666666666664</v>
      </c>
      <c r="G22" s="193">
        <f>SUM(G14:G21)</f>
        <v>1</v>
      </c>
      <c r="H22" s="195"/>
    </row>
    <row r="23" spans="2:3" ht="15">
      <c r="B23" s="2"/>
      <c r="C23" s="178"/>
    </row>
    <row r="24" spans="2:6" ht="15">
      <c r="B24" s="136" t="s">
        <v>278</v>
      </c>
      <c r="C24" s="70"/>
      <c r="D24" s="190">
        <f>+D22/D14-1</f>
        <v>0.6142156862745098</v>
      </c>
      <c r="E24" s="71"/>
      <c r="F24" s="191">
        <f>+F22/F14-1</f>
        <v>0.6142156862745096</v>
      </c>
    </row>
    <row r="25" ht="15">
      <c r="C25" s="178"/>
    </row>
    <row r="26" ht="15">
      <c r="C26" s="178"/>
    </row>
    <row r="27" ht="15">
      <c r="C27" s="178"/>
    </row>
    <row r="28" ht="15">
      <c r="C28" s="178"/>
    </row>
    <row r="29" ht="15">
      <c r="C29" s="178"/>
    </row>
    <row r="30" ht="15">
      <c r="C30" s="178"/>
    </row>
    <row r="31" ht="15">
      <c r="C31" s="178"/>
    </row>
    <row r="32" ht="15">
      <c r="C32" s="178"/>
    </row>
  </sheetData>
  <sheetProtection/>
  <mergeCells count="3">
    <mergeCell ref="B5:C5"/>
    <mergeCell ref="C12:D12"/>
    <mergeCell ref="E12:F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33"/>
  <sheetViews>
    <sheetView zoomScale="120" zoomScaleNormal="120" zoomScalePageLayoutView="0" workbookViewId="0" topLeftCell="A9">
      <selection activeCell="I26" sqref="I26"/>
    </sheetView>
  </sheetViews>
  <sheetFormatPr defaultColWidth="9.140625" defaultRowHeight="15"/>
  <cols>
    <col min="1" max="1" width="2.28125" style="1" customWidth="1"/>
    <col min="2" max="2" width="38.8515625" style="1" customWidth="1"/>
    <col min="3" max="7" width="10.28125" style="1" bestFit="1" customWidth="1"/>
    <col min="8" max="9" width="8.421875" style="1" bestFit="1" customWidth="1"/>
    <col min="10" max="10" width="9.140625" style="1" customWidth="1"/>
    <col min="11" max="16384" width="9.140625" style="1" customWidth="1"/>
  </cols>
  <sheetData>
    <row r="1" ht="15.75" thickBot="1"/>
    <row r="2" spans="2:9" ht="15">
      <c r="B2" s="196" t="s">
        <v>291</v>
      </c>
      <c r="C2" s="197" t="s">
        <v>282</v>
      </c>
      <c r="D2" s="197" t="s">
        <v>283</v>
      </c>
      <c r="E2" s="197" t="s">
        <v>284</v>
      </c>
      <c r="F2" s="197" t="s">
        <v>285</v>
      </c>
      <c r="G2" s="197" t="s">
        <v>286</v>
      </c>
      <c r="H2" s="197" t="s">
        <v>287</v>
      </c>
      <c r="I2" s="198" t="s">
        <v>41</v>
      </c>
    </row>
    <row r="3" spans="2:9" ht="15">
      <c r="B3" s="201" t="s">
        <v>288</v>
      </c>
      <c r="C3" s="202">
        <v>15000</v>
      </c>
      <c r="D3" s="202">
        <v>15500</v>
      </c>
      <c r="E3" s="202">
        <v>16000</v>
      </c>
      <c r="F3" s="202">
        <v>16500</v>
      </c>
      <c r="G3" s="203">
        <v>17000</v>
      </c>
      <c r="H3" s="199"/>
      <c r="I3" s="200"/>
    </row>
    <row r="4" spans="2:9" ht="15">
      <c r="B4" s="207" t="s">
        <v>293</v>
      </c>
      <c r="C4" s="204">
        <v>8000</v>
      </c>
      <c r="D4" s="204">
        <v>1000</v>
      </c>
      <c r="E4" s="204">
        <v>1000</v>
      </c>
      <c r="F4" s="204">
        <v>1000</v>
      </c>
      <c r="G4" s="208">
        <v>6000</v>
      </c>
      <c r="H4" s="199"/>
      <c r="I4" s="200"/>
    </row>
    <row r="5" spans="2:9" ht="30">
      <c r="B5" s="213" t="s">
        <v>294</v>
      </c>
      <c r="C5" s="214">
        <f>+C4/C3</f>
        <v>0.5333333333333333</v>
      </c>
      <c r="D5" s="215">
        <f>+SUM($C$4:D4)/D3</f>
        <v>0.5806451612903226</v>
      </c>
      <c r="E5" s="215">
        <f>+SUM($C$4:E4)/E3</f>
        <v>0.625</v>
      </c>
      <c r="F5" s="215">
        <f>+SUM($C$4:F4)/F3</f>
        <v>0.6666666666666666</v>
      </c>
      <c r="G5" s="216">
        <f>+SUM($C$4:G4)/G3</f>
        <v>1</v>
      </c>
      <c r="H5" s="199"/>
      <c r="I5" s="200"/>
    </row>
    <row r="6" spans="2:9" ht="15">
      <c r="B6" s="229" t="s">
        <v>289</v>
      </c>
      <c r="C6" s="230">
        <v>8000</v>
      </c>
      <c r="D6" s="230">
        <v>8500</v>
      </c>
      <c r="E6" s="230">
        <v>9000</v>
      </c>
      <c r="F6" s="230">
        <v>9500</v>
      </c>
      <c r="G6" s="231">
        <v>10000</v>
      </c>
      <c r="H6" s="199"/>
      <c r="I6" s="200"/>
    </row>
    <row r="7" spans="2:9" ht="15">
      <c r="B7" s="209" t="s">
        <v>290</v>
      </c>
      <c r="C7" s="205">
        <v>500</v>
      </c>
      <c r="D7" s="206">
        <v>1000</v>
      </c>
      <c r="E7" s="205">
        <v>5000</v>
      </c>
      <c r="F7" s="205">
        <v>500</v>
      </c>
      <c r="G7" s="210">
        <v>3000</v>
      </c>
      <c r="H7" s="199"/>
      <c r="I7" s="200"/>
    </row>
    <row r="8" spans="2:9" ht="30">
      <c r="B8" s="232" t="s">
        <v>301</v>
      </c>
      <c r="C8" s="235">
        <f>+C7/C6</f>
        <v>0.0625</v>
      </c>
      <c r="D8" s="233">
        <f>+SUM($C$7:D7)/D6</f>
        <v>0.17647058823529413</v>
      </c>
      <c r="E8" s="233">
        <f>+SUM($C$7:E7)/E6</f>
        <v>0.7222222222222222</v>
      </c>
      <c r="F8" s="233">
        <f>+SUM($C$7:F7)/F6</f>
        <v>0.7368421052631579</v>
      </c>
      <c r="G8" s="234">
        <f>+SUM($C$7:G7)/G6</f>
        <v>1</v>
      </c>
      <c r="H8" s="199"/>
      <c r="I8" s="228"/>
    </row>
    <row r="9" spans="2:9" ht="15">
      <c r="B9" s="201" t="s">
        <v>163</v>
      </c>
      <c r="C9" s="202">
        <v>10000</v>
      </c>
      <c r="D9" s="202">
        <v>1000</v>
      </c>
      <c r="E9" s="202">
        <v>1000</v>
      </c>
      <c r="F9" s="202">
        <v>8000</v>
      </c>
      <c r="G9" s="202">
        <v>1000</v>
      </c>
      <c r="H9" s="202">
        <v>4000</v>
      </c>
      <c r="I9" s="217">
        <v>25000</v>
      </c>
    </row>
    <row r="10" spans="2:9" ht="15">
      <c r="B10" s="211" t="s">
        <v>163</v>
      </c>
      <c r="C10" s="212">
        <f>+C9/I9</f>
        <v>0.4</v>
      </c>
      <c r="D10" s="212">
        <f>+SUM($C$9:D9)/$I$9</f>
        <v>0.44</v>
      </c>
      <c r="E10" s="212">
        <f>+SUM($C$9:E9)/$I$9</f>
        <v>0.48</v>
      </c>
      <c r="F10" s="212">
        <f>+SUM($C$9:F9)/$I$9</f>
        <v>0.8</v>
      </c>
      <c r="G10" s="212">
        <f>+SUM($C$9:G9)/$I$9</f>
        <v>0.84</v>
      </c>
      <c r="H10" s="212">
        <f>+SUM($C$9:H9)/$I$9</f>
        <v>1</v>
      </c>
      <c r="I10" s="11"/>
    </row>
    <row r="11" ht="15"/>
    <row r="12" spans="2:9" ht="15">
      <c r="B12" s="149" t="s">
        <v>4</v>
      </c>
      <c r="C12" s="151" t="str">
        <f aca="true" t="shared" si="0" ref="C12:I12">+C2</f>
        <v>ano 1</v>
      </c>
      <c r="D12" s="151" t="str">
        <f t="shared" si="0"/>
        <v>ano 2</v>
      </c>
      <c r="E12" s="151" t="str">
        <f t="shared" si="0"/>
        <v>ano 3</v>
      </c>
      <c r="F12" s="151" t="str">
        <f t="shared" si="0"/>
        <v>ano 4</v>
      </c>
      <c r="G12" s="151" t="str">
        <f t="shared" si="0"/>
        <v>ano 5</v>
      </c>
      <c r="H12" s="151" t="str">
        <f t="shared" si="0"/>
        <v>ano 6</v>
      </c>
      <c r="I12" s="150" t="str">
        <f t="shared" si="0"/>
        <v>TOTAL</v>
      </c>
    </row>
    <row r="13" spans="2:9" ht="15">
      <c r="B13" s="6" t="s">
        <v>5</v>
      </c>
      <c r="C13" s="7">
        <f>+C9</f>
        <v>10000</v>
      </c>
      <c r="D13" s="7">
        <f>+D9</f>
        <v>1000</v>
      </c>
      <c r="E13" s="7">
        <f>+E9</f>
        <v>1000</v>
      </c>
      <c r="F13" s="7">
        <f>+F9</f>
        <v>8000</v>
      </c>
      <c r="G13" s="7">
        <f>+G9</f>
        <v>1000</v>
      </c>
      <c r="H13" s="7">
        <f>+H9</f>
        <v>4000</v>
      </c>
      <c r="I13" s="153">
        <f>SUM(C13:H13)</f>
        <v>25000</v>
      </c>
    </row>
    <row r="14" spans="2:9" ht="15">
      <c r="B14" s="6" t="s">
        <v>6</v>
      </c>
      <c r="C14" s="7">
        <f aca="true" t="shared" si="1" ref="C14:H14">-C4</f>
        <v>-8000</v>
      </c>
      <c r="D14" s="7">
        <f t="shared" si="1"/>
        <v>-1000</v>
      </c>
      <c r="E14" s="7">
        <f t="shared" si="1"/>
        <v>-1000</v>
      </c>
      <c r="F14" s="7">
        <f t="shared" si="1"/>
        <v>-1000</v>
      </c>
      <c r="G14" s="7">
        <f t="shared" si="1"/>
        <v>-6000</v>
      </c>
      <c r="H14" s="7">
        <f t="shared" si="1"/>
        <v>0</v>
      </c>
      <c r="I14" s="153">
        <f>SUM(C14:H14)</f>
        <v>-17000</v>
      </c>
    </row>
    <row r="15" spans="2:9" ht="15">
      <c r="B15" s="48" t="s">
        <v>7</v>
      </c>
      <c r="C15" s="49">
        <f>SUM(C13:C14)</f>
        <v>2000</v>
      </c>
      <c r="D15" s="49">
        <f>SUM(D13:D14)</f>
        <v>0</v>
      </c>
      <c r="E15" s="49">
        <f>SUM(E13:E14)</f>
        <v>0</v>
      </c>
      <c r="F15" s="49">
        <f>SUM(F13:F14)</f>
        <v>7000</v>
      </c>
      <c r="G15" s="49">
        <f>SUM(G13:G14)</f>
        <v>-5000</v>
      </c>
      <c r="H15" s="49">
        <f>SUM(H13:H14)</f>
        <v>4000</v>
      </c>
      <c r="I15" s="155">
        <f>SUM(C15:H15)</f>
        <v>8000</v>
      </c>
    </row>
    <row r="16" spans="2:9" ht="15">
      <c r="B16" s="124" t="s">
        <v>8</v>
      </c>
      <c r="C16" s="13">
        <v>500</v>
      </c>
      <c r="D16" s="13">
        <f>+C17</f>
        <v>2500</v>
      </c>
      <c r="E16" s="13">
        <f>+D17</f>
        <v>2500</v>
      </c>
      <c r="F16" s="13">
        <f>+E17</f>
        <v>2500</v>
      </c>
      <c r="G16" s="13">
        <f>+F17</f>
        <v>9500</v>
      </c>
      <c r="H16" s="13">
        <f>+G17</f>
        <v>4500</v>
      </c>
      <c r="I16" s="14"/>
    </row>
    <row r="17" spans="2:9" ht="15">
      <c r="B17" s="125" t="s">
        <v>9</v>
      </c>
      <c r="C17" s="10">
        <f>+C16+C15</f>
        <v>2500</v>
      </c>
      <c r="D17" s="10">
        <f>+D16+D15</f>
        <v>2500</v>
      </c>
      <c r="E17" s="10">
        <f>+E16+E15</f>
        <v>2500</v>
      </c>
      <c r="F17" s="10">
        <f>+F16+F15</f>
        <v>9500</v>
      </c>
      <c r="G17" s="10">
        <f>+G16+G15</f>
        <v>4500</v>
      </c>
      <c r="H17" s="10">
        <f>+H16+H15</f>
        <v>8500</v>
      </c>
      <c r="I17" s="11"/>
    </row>
    <row r="18" ht="15"/>
    <row r="19" spans="2:8" ht="15">
      <c r="B19" s="149" t="s">
        <v>10</v>
      </c>
      <c r="C19" s="151" t="str">
        <f>+C12</f>
        <v>ano 1</v>
      </c>
      <c r="D19" s="151" t="str">
        <f>+D12</f>
        <v>ano 2</v>
      </c>
      <c r="E19" s="151" t="str">
        <f>+E12</f>
        <v>ano 3</v>
      </c>
      <c r="F19" s="151" t="str">
        <f>+F12</f>
        <v>ano 4</v>
      </c>
      <c r="G19" s="151" t="str">
        <f>+G12</f>
        <v>ano 5</v>
      </c>
      <c r="H19" s="150" t="s">
        <v>41</v>
      </c>
    </row>
    <row r="20" spans="2:8" ht="15">
      <c r="B20" s="6" t="s">
        <v>106</v>
      </c>
      <c r="C20" s="7">
        <f>+C5*$I$9</f>
        <v>13333.333333333334</v>
      </c>
      <c r="D20" s="7">
        <f>+I9*D5-C20</f>
        <v>1182.7956989247323</v>
      </c>
      <c r="E20" s="7">
        <f>+I9*E5-SUM($C$20:D20)</f>
        <v>1108.8709677419338</v>
      </c>
      <c r="F20" s="7">
        <f>+F5*I9-SUM(C20:E20)</f>
        <v>1041.6666666666642</v>
      </c>
      <c r="G20" s="7">
        <f>+I9*G5-SUM(C20:F20)</f>
        <v>8333.333333333336</v>
      </c>
      <c r="H20" s="153">
        <f>SUM(C20:G20)</f>
        <v>25000</v>
      </c>
    </row>
    <row r="21" spans="2:8" ht="15">
      <c r="B21" s="6" t="s">
        <v>292</v>
      </c>
      <c r="C21" s="7">
        <f>-C3*C5</f>
        <v>-8000</v>
      </c>
      <c r="D21" s="7">
        <f>-D5*D3-C21</f>
        <v>-1000</v>
      </c>
      <c r="E21" s="7">
        <f>-E5*E3-SUM($C$21:D21)</f>
        <v>-1000</v>
      </c>
      <c r="F21" s="7">
        <f>-F5*F3-SUM($C$21:E21)</f>
        <v>-1000</v>
      </c>
      <c r="G21" s="7">
        <f>-G5*G3-SUM($C$21:F21)</f>
        <v>-6000</v>
      </c>
      <c r="H21" s="153">
        <f>SUM(C21:G21)</f>
        <v>-17000</v>
      </c>
    </row>
    <row r="22" spans="2:8" ht="15">
      <c r="B22" s="48" t="s">
        <v>13</v>
      </c>
      <c r="C22" s="49">
        <f>SUM(C20:C21)</f>
        <v>5333.333333333334</v>
      </c>
      <c r="D22" s="49">
        <f>SUM(D20:D21)</f>
        <v>182.79569892473228</v>
      </c>
      <c r="E22" s="49">
        <f>SUM(E20:E21)</f>
        <v>108.87096774193378</v>
      </c>
      <c r="F22" s="49">
        <f>SUM(F20:F21)</f>
        <v>41.66666666666424</v>
      </c>
      <c r="G22" s="49">
        <f>SUM(G20:G21)</f>
        <v>2333.3333333333358</v>
      </c>
      <c r="H22" s="155">
        <f>SUM(C22:G22)</f>
        <v>8000</v>
      </c>
    </row>
    <row r="24" spans="2:7" ht="15">
      <c r="B24" s="419" t="s">
        <v>16</v>
      </c>
      <c r="C24" s="419"/>
      <c r="D24" s="419"/>
      <c r="E24" s="419"/>
      <c r="F24" s="419"/>
      <c r="G24" s="419"/>
    </row>
    <row r="25" spans="2:7" ht="15">
      <c r="B25" s="18" t="s">
        <v>17</v>
      </c>
      <c r="C25" s="218" t="s">
        <v>295</v>
      </c>
      <c r="D25" s="218" t="s">
        <v>296</v>
      </c>
      <c r="E25" s="218" t="s">
        <v>297</v>
      </c>
      <c r="F25" s="218" t="s">
        <v>298</v>
      </c>
      <c r="G25" s="219" t="s">
        <v>299</v>
      </c>
    </row>
    <row r="26" spans="2:7" ht="15">
      <c r="B26" s="25" t="s">
        <v>90</v>
      </c>
      <c r="C26" s="21">
        <f>+C17</f>
        <v>2500</v>
      </c>
      <c r="D26" s="21">
        <f>+D17</f>
        <v>2500</v>
      </c>
      <c r="E26" s="21">
        <f>+E17</f>
        <v>2500</v>
      </c>
      <c r="F26" s="21">
        <f>+F17</f>
        <v>9500</v>
      </c>
      <c r="G26" s="22">
        <f>+G17</f>
        <v>4500</v>
      </c>
    </row>
    <row r="27" spans="2:7" ht="15">
      <c r="B27" s="25" t="s">
        <v>22</v>
      </c>
      <c r="C27" s="21">
        <f>+C20-C13</f>
        <v>3333.333333333334</v>
      </c>
      <c r="D27" s="21">
        <f>+C27+D20-D13</f>
        <v>3516.129032258066</v>
      </c>
      <c r="E27" s="21">
        <f>+D27+E20-E13</f>
        <v>3625</v>
      </c>
      <c r="F27" s="21"/>
      <c r="G27" s="22">
        <f>+G20-G13-F30</f>
        <v>4000</v>
      </c>
    </row>
    <row r="28" spans="2:7" ht="15">
      <c r="B28" s="48" t="s">
        <v>41</v>
      </c>
      <c r="C28" s="49">
        <f>SUM(C26:C27)</f>
        <v>5833.333333333334</v>
      </c>
      <c r="D28" s="49">
        <f>SUM(D26:D27)</f>
        <v>6016.129032258066</v>
      </c>
      <c r="E28" s="49">
        <f>SUM(E26:E27)</f>
        <v>6125</v>
      </c>
      <c r="F28" s="49">
        <f>SUM(F26:F27)</f>
        <v>9500</v>
      </c>
      <c r="G28" s="155">
        <f>SUM(G26:G27)</f>
        <v>8500</v>
      </c>
    </row>
    <row r="29" spans="2:7" ht="15">
      <c r="B29" s="18" t="s">
        <v>19</v>
      </c>
      <c r="C29" s="218" t="s">
        <v>295</v>
      </c>
      <c r="D29" s="218" t="s">
        <v>296</v>
      </c>
      <c r="E29" s="218" t="s">
        <v>297</v>
      </c>
      <c r="F29" s="218" t="s">
        <v>298</v>
      </c>
      <c r="G29" s="219" t="s">
        <v>299</v>
      </c>
    </row>
    <row r="30" spans="2:7" ht="15">
      <c r="B30" s="25" t="s">
        <v>300</v>
      </c>
      <c r="C30" s="21"/>
      <c r="D30" s="21"/>
      <c r="E30" s="21"/>
      <c r="F30" s="21">
        <f>+F13-F20-E27</f>
        <v>3333.3333333333358</v>
      </c>
      <c r="G30" s="22"/>
    </row>
    <row r="31" spans="2:7" ht="15">
      <c r="B31" s="25" t="s">
        <v>161</v>
      </c>
      <c r="C31" s="21">
        <v>500</v>
      </c>
      <c r="D31" s="21">
        <f>+C31</f>
        <v>500</v>
      </c>
      <c r="E31" s="21">
        <f>+D31</f>
        <v>500</v>
      </c>
      <c r="F31" s="21">
        <f>+E31</f>
        <v>500</v>
      </c>
      <c r="G31" s="22">
        <f>+F31</f>
        <v>500</v>
      </c>
    </row>
    <row r="32" spans="2:7" ht="15">
      <c r="B32" s="25" t="s">
        <v>24</v>
      </c>
      <c r="C32" s="21">
        <f>+C22</f>
        <v>5333.333333333334</v>
      </c>
      <c r="D32" s="21">
        <f>+C32+D22</f>
        <v>5516.129032258066</v>
      </c>
      <c r="E32" s="21">
        <f>+D32+E22</f>
        <v>5625</v>
      </c>
      <c r="F32" s="21">
        <f>+E32+F22</f>
        <v>5666.666666666664</v>
      </c>
      <c r="G32" s="22">
        <f>+F32+G22</f>
        <v>8000</v>
      </c>
    </row>
    <row r="33" spans="2:7" ht="15">
      <c r="B33" s="48" t="s">
        <v>41</v>
      </c>
      <c r="C33" s="49">
        <f>SUM(C30:C32)</f>
        <v>5833.333333333334</v>
      </c>
      <c r="D33" s="49">
        <f>SUM(D30:D32)</f>
        <v>6016.129032258066</v>
      </c>
      <c r="E33" s="49">
        <f>SUM(E30:E32)</f>
        <v>6125</v>
      </c>
      <c r="F33" s="49">
        <f>SUM(F30:F32)</f>
        <v>9500</v>
      </c>
      <c r="G33" s="155">
        <f>SUM(G30:G32)</f>
        <v>8500</v>
      </c>
    </row>
  </sheetData>
  <sheetProtection/>
  <mergeCells count="1">
    <mergeCell ref="B24:G2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C5" sqref="C5:F5"/>
    </sheetView>
  </sheetViews>
  <sheetFormatPr defaultColWidth="9.140625" defaultRowHeight="15"/>
  <cols>
    <col min="1" max="1" width="2.28125" style="1" customWidth="1"/>
    <col min="2" max="2" width="38.8515625" style="1" customWidth="1"/>
    <col min="3" max="4" width="10.28125" style="1" bestFit="1" customWidth="1"/>
    <col min="5" max="5" width="14.28125" style="1" bestFit="1" customWidth="1"/>
    <col min="6" max="7" width="10.28125" style="1" bestFit="1" customWidth="1"/>
    <col min="8" max="9" width="8.421875" style="1" bestFit="1" customWidth="1"/>
    <col min="10" max="10" width="9.140625" style="1" customWidth="1"/>
    <col min="11" max="16384" width="9.140625" style="1" customWidth="1"/>
  </cols>
  <sheetData>
    <row r="1" ht="15.75" thickBot="1"/>
    <row r="2" spans="2:9" ht="15">
      <c r="B2" s="196" t="s">
        <v>291</v>
      </c>
      <c r="C2" s="197" t="s">
        <v>282</v>
      </c>
      <c r="D2" s="197" t="s">
        <v>283</v>
      </c>
      <c r="E2" s="197" t="s">
        <v>284</v>
      </c>
      <c r="F2" s="197" t="s">
        <v>285</v>
      </c>
      <c r="G2" s="197" t="s">
        <v>286</v>
      </c>
      <c r="H2" s="197" t="s">
        <v>287</v>
      </c>
      <c r="I2" s="198" t="s">
        <v>41</v>
      </c>
    </row>
    <row r="3" spans="2:9" ht="15">
      <c r="B3" s="201" t="s">
        <v>288</v>
      </c>
      <c r="C3" s="202">
        <v>15000</v>
      </c>
      <c r="D3" s="202">
        <v>15500</v>
      </c>
      <c r="E3" s="202">
        <v>16000</v>
      </c>
      <c r="F3" s="202">
        <v>16500</v>
      </c>
      <c r="G3" s="203">
        <v>17000</v>
      </c>
      <c r="H3" s="199"/>
      <c r="I3" s="200"/>
    </row>
    <row r="4" spans="2:9" ht="15">
      <c r="B4" s="207" t="s">
        <v>293</v>
      </c>
      <c r="C4" s="204">
        <v>8000</v>
      </c>
      <c r="D4" s="204">
        <v>1000</v>
      </c>
      <c r="E4" s="204">
        <v>1000</v>
      </c>
      <c r="F4" s="204">
        <v>1000</v>
      </c>
      <c r="G4" s="208">
        <v>6000</v>
      </c>
      <c r="H4" s="199"/>
      <c r="I4" s="200"/>
    </row>
    <row r="5" spans="2:9" ht="30">
      <c r="B5" s="213" t="s">
        <v>294</v>
      </c>
      <c r="C5" s="214">
        <f>+C4/C3</f>
        <v>0.5333333333333333</v>
      </c>
      <c r="D5" s="215">
        <f>+SUM($C$4:D4)/D3</f>
        <v>0.5806451612903226</v>
      </c>
      <c r="E5" s="215">
        <f>+SUM($C$4:E4)/E3</f>
        <v>0.625</v>
      </c>
      <c r="F5" s="215">
        <f>+SUM($C$4:F4)/F3</f>
        <v>0.6666666666666666</v>
      </c>
      <c r="G5" s="216">
        <f>+SUM($C$4:G4)/G3</f>
        <v>1</v>
      </c>
      <c r="H5" s="199"/>
      <c r="I5" s="200"/>
    </row>
    <row r="6" spans="2:9" ht="15">
      <c r="B6" s="229" t="s">
        <v>289</v>
      </c>
      <c r="C6" s="230">
        <v>8000</v>
      </c>
      <c r="D6" s="230">
        <v>8500</v>
      </c>
      <c r="E6" s="230">
        <v>9000</v>
      </c>
      <c r="F6" s="230">
        <v>9500</v>
      </c>
      <c r="G6" s="231">
        <v>10000</v>
      </c>
      <c r="H6" s="199"/>
      <c r="I6" s="200"/>
    </row>
    <row r="7" spans="2:9" ht="15">
      <c r="B7" s="209" t="s">
        <v>290</v>
      </c>
      <c r="C7" s="205">
        <v>500</v>
      </c>
      <c r="D7" s="206">
        <v>1000</v>
      </c>
      <c r="E7" s="205">
        <v>5000</v>
      </c>
      <c r="F7" s="205">
        <v>500</v>
      </c>
      <c r="G7" s="210">
        <v>3000</v>
      </c>
      <c r="H7" s="199"/>
      <c r="I7" s="200"/>
    </row>
    <row r="8" spans="2:9" ht="30">
      <c r="B8" s="232" t="s">
        <v>301</v>
      </c>
      <c r="C8" s="236">
        <f>+C7/C6</f>
        <v>0.0625</v>
      </c>
      <c r="D8" s="233">
        <f>+SUM($C$7:D7)/D6</f>
        <v>0.17647058823529413</v>
      </c>
      <c r="E8" s="233">
        <f>+SUM($C$7:E7)/E6</f>
        <v>0.7222222222222222</v>
      </c>
      <c r="F8" s="233">
        <f>+SUM($C$7:F7)/F6</f>
        <v>0.7368421052631579</v>
      </c>
      <c r="G8" s="234">
        <f>+SUM($C$7:G7)/G6</f>
        <v>1</v>
      </c>
      <c r="H8" s="199"/>
      <c r="I8" s="228"/>
    </row>
    <row r="9" spans="2:9" ht="15">
      <c r="B9" s="201" t="s">
        <v>163</v>
      </c>
      <c r="C9" s="202">
        <v>10000</v>
      </c>
      <c r="D9" s="202">
        <v>1000</v>
      </c>
      <c r="E9" s="202">
        <v>1000</v>
      </c>
      <c r="F9" s="202">
        <v>8000</v>
      </c>
      <c r="G9" s="202">
        <v>1000</v>
      </c>
      <c r="H9" s="202">
        <v>4000</v>
      </c>
      <c r="I9" s="217">
        <v>25000</v>
      </c>
    </row>
    <row r="10" spans="2:9" ht="15">
      <c r="B10" s="211" t="s">
        <v>163</v>
      </c>
      <c r="C10" s="212">
        <f>+C9/I9</f>
        <v>0.4</v>
      </c>
      <c r="D10" s="212">
        <f>+SUM($C$9:D9)/$I$9</f>
        <v>0.44</v>
      </c>
      <c r="E10" s="212">
        <f>+SUM($C$9:E9)/$I$9</f>
        <v>0.48</v>
      </c>
      <c r="F10" s="212">
        <f>+SUM($C$9:F9)/$I$9</f>
        <v>0.8</v>
      </c>
      <c r="G10" s="212">
        <f>+SUM($C$9:G9)/$I$9</f>
        <v>0.84</v>
      </c>
      <c r="H10" s="212">
        <f>+SUM($C$9:H9)/$I$9</f>
        <v>1</v>
      </c>
      <c r="I10" s="11"/>
    </row>
    <row r="11" ht="15"/>
    <row r="12" spans="2:9" ht="15">
      <c r="B12" s="160" t="s">
        <v>4</v>
      </c>
      <c r="C12" s="162" t="str">
        <f aca="true" t="shared" si="0" ref="C12:I12">+C2</f>
        <v>ano 1</v>
      </c>
      <c r="D12" s="162" t="str">
        <f t="shared" si="0"/>
        <v>ano 2</v>
      </c>
      <c r="E12" s="162" t="str">
        <f t="shared" si="0"/>
        <v>ano 3</v>
      </c>
      <c r="F12" s="162" t="str">
        <f t="shared" si="0"/>
        <v>ano 4</v>
      </c>
      <c r="G12" s="162" t="str">
        <f t="shared" si="0"/>
        <v>ano 5</v>
      </c>
      <c r="H12" s="162" t="str">
        <f t="shared" si="0"/>
        <v>ano 6</v>
      </c>
      <c r="I12" s="161" t="str">
        <f t="shared" si="0"/>
        <v>TOTAL</v>
      </c>
    </row>
    <row r="13" spans="2:9" ht="15">
      <c r="B13" s="6" t="s">
        <v>5</v>
      </c>
      <c r="C13" s="7">
        <f>+C9</f>
        <v>10000</v>
      </c>
      <c r="D13" s="7">
        <f>+D9</f>
        <v>1000</v>
      </c>
      <c r="E13" s="7">
        <f>+E9</f>
        <v>1000</v>
      </c>
      <c r="F13" s="7">
        <f>+F9</f>
        <v>8000</v>
      </c>
      <c r="G13" s="7">
        <f>+G9</f>
        <v>1000</v>
      </c>
      <c r="H13" s="7">
        <f>+H9</f>
        <v>4000</v>
      </c>
      <c r="I13" s="163">
        <f>SUM(C13:H13)</f>
        <v>25000</v>
      </c>
    </row>
    <row r="14" spans="2:9" ht="15">
      <c r="B14" s="6" t="s">
        <v>6</v>
      </c>
      <c r="C14" s="7">
        <f aca="true" t="shared" si="1" ref="C14:H14">-C4</f>
        <v>-8000</v>
      </c>
      <c r="D14" s="7">
        <f t="shared" si="1"/>
        <v>-1000</v>
      </c>
      <c r="E14" s="7">
        <f t="shared" si="1"/>
        <v>-1000</v>
      </c>
      <c r="F14" s="7">
        <f t="shared" si="1"/>
        <v>-1000</v>
      </c>
      <c r="G14" s="7">
        <f t="shared" si="1"/>
        <v>-6000</v>
      </c>
      <c r="H14" s="7">
        <f t="shared" si="1"/>
        <v>0</v>
      </c>
      <c r="I14" s="163">
        <f>SUM(C14:H14)</f>
        <v>-17000</v>
      </c>
    </row>
    <row r="15" spans="2:9" ht="15">
      <c r="B15" s="48" t="s">
        <v>7</v>
      </c>
      <c r="C15" s="49">
        <f>SUM(C13:C14)</f>
        <v>2000</v>
      </c>
      <c r="D15" s="49">
        <f>SUM(D13:D14)</f>
        <v>0</v>
      </c>
      <c r="E15" s="49">
        <f>SUM(E13:E14)</f>
        <v>0</v>
      </c>
      <c r="F15" s="49">
        <f>SUM(F13:F14)</f>
        <v>7000</v>
      </c>
      <c r="G15" s="49">
        <f>SUM(G13:G14)</f>
        <v>-5000</v>
      </c>
      <c r="H15" s="49">
        <f>SUM(H13:H14)</f>
        <v>4000</v>
      </c>
      <c r="I15" s="164">
        <f>SUM(C15:H15)</f>
        <v>8000</v>
      </c>
    </row>
    <row r="16" spans="2:9" ht="15">
      <c r="B16" s="124" t="s">
        <v>8</v>
      </c>
      <c r="C16" s="13">
        <v>500</v>
      </c>
      <c r="D16" s="13">
        <f>+C17</f>
        <v>2500</v>
      </c>
      <c r="E16" s="13">
        <f>+D17</f>
        <v>2500</v>
      </c>
      <c r="F16" s="13">
        <f>+E17</f>
        <v>2500</v>
      </c>
      <c r="G16" s="13">
        <f>+F17</f>
        <v>9500</v>
      </c>
      <c r="H16" s="13">
        <f>+G17</f>
        <v>4500</v>
      </c>
      <c r="I16" s="14"/>
    </row>
    <row r="17" spans="2:9" ht="15">
      <c r="B17" s="125" t="s">
        <v>9</v>
      </c>
      <c r="C17" s="10">
        <f>+C16+C15</f>
        <v>2500</v>
      </c>
      <c r="D17" s="10">
        <f>+D16+D15</f>
        <v>2500</v>
      </c>
      <c r="E17" s="10">
        <f>+E16+E15</f>
        <v>2500</v>
      </c>
      <c r="F17" s="10">
        <f>+F16+F15</f>
        <v>9500</v>
      </c>
      <c r="G17" s="10">
        <f>+G16+G15</f>
        <v>4500</v>
      </c>
      <c r="H17" s="10">
        <f>+H16+H15</f>
        <v>8500</v>
      </c>
      <c r="I17" s="11"/>
    </row>
    <row r="18" ht="15"/>
    <row r="19" spans="2:8" ht="15">
      <c r="B19" s="160" t="s">
        <v>10</v>
      </c>
      <c r="C19" s="162" t="str">
        <f>+C12</f>
        <v>ano 1</v>
      </c>
      <c r="D19" s="162" t="str">
        <f>+D12</f>
        <v>ano 2</v>
      </c>
      <c r="E19" s="162" t="str">
        <f>+E12</f>
        <v>ano 3</v>
      </c>
      <c r="F19" s="162" t="str">
        <f>+F12</f>
        <v>ano 4</v>
      </c>
      <c r="G19" s="162" t="str">
        <f>+G12</f>
        <v>ano 5</v>
      </c>
      <c r="H19" s="161" t="s">
        <v>41</v>
      </c>
    </row>
    <row r="20" spans="2:8" ht="15">
      <c r="B20" s="6" t="s">
        <v>106</v>
      </c>
      <c r="C20" s="7">
        <f>+C8*I9</f>
        <v>1562.5</v>
      </c>
      <c r="D20" s="7">
        <f>+D8*I9-C20</f>
        <v>2849.264705882353</v>
      </c>
      <c r="E20" s="7">
        <f>+E8*$I$13-SUM($C$20:D20)</f>
        <v>13643.790849673202</v>
      </c>
      <c r="F20" s="7">
        <f>+F8*$I$13-SUM($C$20:E20)</f>
        <v>365.49707602339186</v>
      </c>
      <c r="G20" s="7">
        <f>+G8*$I$13-SUM($C$20:F20)</f>
        <v>6578.947368421053</v>
      </c>
      <c r="H20" s="163">
        <f>SUM(C20:G20)</f>
        <v>25000</v>
      </c>
    </row>
    <row r="21" spans="2:8" ht="15">
      <c r="B21" s="6" t="s">
        <v>292</v>
      </c>
      <c r="C21" s="7">
        <f>-C8*C3</f>
        <v>-937.5</v>
      </c>
      <c r="D21" s="7">
        <f>-D8*D3-C21</f>
        <v>-1797.794117647059</v>
      </c>
      <c r="E21" s="7">
        <f>-E8*E3-SUM($C$21:D21)</f>
        <v>-8820.261437908495</v>
      </c>
      <c r="F21" s="7">
        <f>-F8*F3-SUM($C$21:E21)</f>
        <v>-602.3391812865502</v>
      </c>
      <c r="G21" s="7">
        <f>-G8*G3-SUM($C$21:F21)</f>
        <v>-4842.105263157895</v>
      </c>
      <c r="H21" s="163">
        <f>SUM(C21:G21)</f>
        <v>-17000</v>
      </c>
    </row>
    <row r="22" spans="2:8" ht="15">
      <c r="B22" s="48" t="s">
        <v>13</v>
      </c>
      <c r="C22" s="49">
        <f>SUM(C20:C21)</f>
        <v>625</v>
      </c>
      <c r="D22" s="49">
        <f>SUM(D20:D21)</f>
        <v>1051.4705882352941</v>
      </c>
      <c r="E22" s="49">
        <f>SUM(E20:E21)</f>
        <v>4823.529411764706</v>
      </c>
      <c r="F22" s="49">
        <f>SUM(F20:F21)</f>
        <v>-236.84210526315837</v>
      </c>
      <c r="G22" s="49">
        <f>SUM(G20:G21)</f>
        <v>1736.8421052631584</v>
      </c>
      <c r="H22" s="164">
        <f>SUM(C22:G22)</f>
        <v>8000</v>
      </c>
    </row>
    <row r="24" spans="2:7" ht="15">
      <c r="B24" s="419" t="s">
        <v>16</v>
      </c>
      <c r="C24" s="419"/>
      <c r="D24" s="419"/>
      <c r="E24" s="419"/>
      <c r="F24" s="419"/>
      <c r="G24" s="419"/>
    </row>
    <row r="25" spans="2:7" ht="15">
      <c r="B25" s="18" t="s">
        <v>17</v>
      </c>
      <c r="C25" s="218" t="s">
        <v>295</v>
      </c>
      <c r="D25" s="218" t="s">
        <v>296</v>
      </c>
      <c r="E25" s="218" t="s">
        <v>297</v>
      </c>
      <c r="F25" s="218" t="s">
        <v>298</v>
      </c>
      <c r="G25" s="219" t="s">
        <v>299</v>
      </c>
    </row>
    <row r="26" spans="2:7" ht="15">
      <c r="B26" s="25" t="s">
        <v>90</v>
      </c>
      <c r="C26" s="21">
        <f>+C17</f>
        <v>2500</v>
      </c>
      <c r="D26" s="21">
        <f>+D17</f>
        <v>2500</v>
      </c>
      <c r="E26" s="21">
        <f>+E17</f>
        <v>2500</v>
      </c>
      <c r="F26" s="21">
        <f>+F17</f>
        <v>9500</v>
      </c>
      <c r="G26" s="22">
        <f>+G17</f>
        <v>4500</v>
      </c>
    </row>
    <row r="27" spans="2:7" ht="15">
      <c r="B27" s="25" t="s">
        <v>22</v>
      </c>
      <c r="C27" s="21"/>
      <c r="D27" s="21"/>
      <c r="E27" s="21">
        <f>+E20-E13-D31</f>
        <v>6055.555555555555</v>
      </c>
      <c r="F27" s="21"/>
      <c r="G27" s="22">
        <f>+G20-G9-F31</f>
        <v>4000</v>
      </c>
    </row>
    <row r="28" spans="2:7" ht="15">
      <c r="B28" s="25" t="s">
        <v>302</v>
      </c>
      <c r="C28" s="21">
        <f>+C4+C21</f>
        <v>7062.5</v>
      </c>
      <c r="D28" s="21">
        <f>+C28+D4+D21</f>
        <v>6264.7058823529405</v>
      </c>
      <c r="E28" s="21">
        <f>+D28+E4+E21+1555.55555555555</f>
        <v>-4.774847184307873E-12</v>
      </c>
      <c r="F28" s="21">
        <v>0</v>
      </c>
      <c r="G28" s="22"/>
    </row>
    <row r="29" spans="2:7" ht="15">
      <c r="B29" s="48" t="s">
        <v>41</v>
      </c>
      <c r="C29" s="49">
        <f>SUM(C26:C28)</f>
        <v>9562.5</v>
      </c>
      <c r="D29" s="49">
        <f>SUM(D26:D28)</f>
        <v>8764.70588235294</v>
      </c>
      <c r="E29" s="49">
        <f>SUM(E26:E28)</f>
        <v>8555.55555555555</v>
      </c>
      <c r="F29" s="49">
        <f>SUM(F26:F28)</f>
        <v>9500</v>
      </c>
      <c r="G29" s="164">
        <f>SUM(G26:G28)</f>
        <v>8500</v>
      </c>
    </row>
    <row r="30" spans="2:7" ht="15">
      <c r="B30" s="18" t="s">
        <v>19</v>
      </c>
      <c r="C30" s="218" t="s">
        <v>295</v>
      </c>
      <c r="D30" s="218" t="s">
        <v>296</v>
      </c>
      <c r="E30" s="218" t="s">
        <v>297</v>
      </c>
      <c r="F30" s="218" t="s">
        <v>298</v>
      </c>
      <c r="G30" s="219" t="s">
        <v>299</v>
      </c>
    </row>
    <row r="31" spans="2:7" ht="15">
      <c r="B31" s="25" t="s">
        <v>300</v>
      </c>
      <c r="C31" s="21">
        <f>+C13-C20</f>
        <v>8437.5</v>
      </c>
      <c r="D31" s="21">
        <f>+C31+D13-D20</f>
        <v>6588.235294117647</v>
      </c>
      <c r="E31" s="21"/>
      <c r="F31" s="21">
        <f>+F9-F20-E27</f>
        <v>1578.9473684210534</v>
      </c>
      <c r="G31" s="22"/>
    </row>
    <row r="32" spans="2:7" ht="15">
      <c r="B32" s="25" t="s">
        <v>303</v>
      </c>
      <c r="C32" s="21"/>
      <c r="D32" s="21"/>
      <c r="E32" s="21">
        <v>1555.5555555</v>
      </c>
      <c r="F32" s="21">
        <f>+E32-F4-F21</f>
        <v>1157.8947367865503</v>
      </c>
      <c r="G32" s="22"/>
    </row>
    <row r="33" spans="2:7" ht="15">
      <c r="B33" s="25" t="s">
        <v>161</v>
      </c>
      <c r="C33" s="21">
        <v>500</v>
      </c>
      <c r="D33" s="21">
        <f>+C33</f>
        <v>500</v>
      </c>
      <c r="E33" s="21">
        <f>+D33</f>
        <v>500</v>
      </c>
      <c r="F33" s="21">
        <f>+E33</f>
        <v>500</v>
      </c>
      <c r="G33" s="22">
        <f>+F33</f>
        <v>500</v>
      </c>
    </row>
    <row r="34" spans="2:7" ht="15">
      <c r="B34" s="25" t="s">
        <v>24</v>
      </c>
      <c r="C34" s="21">
        <f>+C22</f>
        <v>625</v>
      </c>
      <c r="D34" s="21">
        <f>+C34+D22</f>
        <v>1676.4705882352941</v>
      </c>
      <c r="E34" s="21">
        <f>+D34+E22</f>
        <v>6500</v>
      </c>
      <c r="F34" s="21">
        <f>+E34+F22</f>
        <v>6263.157894736842</v>
      </c>
      <c r="G34" s="22">
        <f>+F34+G22</f>
        <v>8000</v>
      </c>
    </row>
    <row r="35" spans="2:7" ht="15">
      <c r="B35" s="48" t="s">
        <v>41</v>
      </c>
      <c r="C35" s="49">
        <f>SUM(C31:C34)</f>
        <v>9562.5</v>
      </c>
      <c r="D35" s="49">
        <f>SUM(D31:D34)</f>
        <v>8764.70588235294</v>
      </c>
      <c r="E35" s="49">
        <f>SUM(E31:E34)</f>
        <v>8555.5555555</v>
      </c>
      <c r="F35" s="49">
        <f>SUM(F31:F34)</f>
        <v>9499.999999944444</v>
      </c>
      <c r="G35" s="164">
        <f>SUM(G31:G34)</f>
        <v>8500</v>
      </c>
    </row>
  </sheetData>
  <sheetProtection/>
  <mergeCells count="1">
    <mergeCell ref="B24:G2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H12"/>
  <sheetViews>
    <sheetView zoomScalePageLayoutView="0" workbookViewId="0" topLeftCell="A1">
      <selection activeCell="C12" sqref="C12:G12"/>
    </sheetView>
  </sheetViews>
  <sheetFormatPr defaultColWidth="9.140625" defaultRowHeight="15"/>
  <cols>
    <col min="1" max="1" width="2.28125" style="1" customWidth="1"/>
    <col min="2" max="2" width="38.8515625" style="1" customWidth="1"/>
    <col min="3" max="4" width="10.28125" style="1" bestFit="1" customWidth="1"/>
    <col min="5" max="5" width="14.28125" style="1" bestFit="1" customWidth="1"/>
    <col min="6" max="7" width="10.28125" style="1" bestFit="1" customWidth="1"/>
    <col min="8" max="9" width="8.421875" style="1" bestFit="1" customWidth="1"/>
    <col min="10" max="10" width="9.140625" style="1" customWidth="1"/>
    <col min="11" max="16384" width="9.140625" style="1" customWidth="1"/>
  </cols>
  <sheetData>
    <row r="1" ht="15"/>
    <row r="2" ht="15"/>
    <row r="3" spans="2:8" ht="15">
      <c r="B3" s="160" t="s">
        <v>10</v>
      </c>
      <c r="C3" s="162" t="s">
        <v>282</v>
      </c>
      <c r="D3" s="162" t="s">
        <v>283</v>
      </c>
      <c r="E3" s="162" t="s">
        <v>284</v>
      </c>
      <c r="F3" s="162" t="s">
        <v>285</v>
      </c>
      <c r="G3" s="162" t="s">
        <v>286</v>
      </c>
      <c r="H3" s="161" t="s">
        <v>41</v>
      </c>
    </row>
    <row r="4" spans="2:8" ht="15">
      <c r="B4" s="6" t="s">
        <v>106</v>
      </c>
      <c r="C4" s="7">
        <v>13333.333333333334</v>
      </c>
      <c r="D4" s="7">
        <v>1182.7956989247323</v>
      </c>
      <c r="E4" s="7">
        <v>1108.8709677419338</v>
      </c>
      <c r="F4" s="7">
        <v>1041.6666666666642</v>
      </c>
      <c r="G4" s="7">
        <v>8333.333333333336</v>
      </c>
      <c r="H4" s="163">
        <v>25000</v>
      </c>
    </row>
    <row r="5" spans="2:8" ht="15">
      <c r="B5" s="6" t="s">
        <v>292</v>
      </c>
      <c r="C5" s="7">
        <v>-8000</v>
      </c>
      <c r="D5" s="7">
        <v>-1000</v>
      </c>
      <c r="E5" s="7">
        <v>-1000</v>
      </c>
      <c r="F5" s="7">
        <v>-1000</v>
      </c>
      <c r="G5" s="7">
        <v>-6000</v>
      </c>
      <c r="H5" s="163">
        <v>-17000</v>
      </c>
    </row>
    <row r="6" spans="2:8" ht="15">
      <c r="B6" s="48" t="s">
        <v>13</v>
      </c>
      <c r="C6" s="49">
        <v>5333.333333333334</v>
      </c>
      <c r="D6" s="49">
        <v>182.79569892473228</v>
      </c>
      <c r="E6" s="49">
        <v>108.87096774193378</v>
      </c>
      <c r="F6" s="49">
        <v>41.66666666666424</v>
      </c>
      <c r="G6" s="49">
        <v>2333.3333333333358</v>
      </c>
      <c r="H6" s="164">
        <v>8000</v>
      </c>
    </row>
    <row r="7" ht="15"/>
    <row r="8" ht="15"/>
    <row r="9" spans="2:8" ht="15">
      <c r="B9" s="160" t="s">
        <v>10</v>
      </c>
      <c r="C9" s="162" t="s">
        <v>282</v>
      </c>
      <c r="D9" s="162" t="s">
        <v>283</v>
      </c>
      <c r="E9" s="162" t="s">
        <v>284</v>
      </c>
      <c r="F9" s="162" t="s">
        <v>285</v>
      </c>
      <c r="G9" s="162" t="s">
        <v>286</v>
      </c>
      <c r="H9" s="161" t="s">
        <v>41</v>
      </c>
    </row>
    <row r="10" spans="2:8" ht="15">
      <c r="B10" s="6" t="s">
        <v>106</v>
      </c>
      <c r="C10" s="7">
        <v>1562.5</v>
      </c>
      <c r="D10" s="7">
        <v>2849.264705882353</v>
      </c>
      <c r="E10" s="7">
        <v>13643.790849673202</v>
      </c>
      <c r="F10" s="7">
        <v>365.49707602339186</v>
      </c>
      <c r="G10" s="7">
        <v>6578.947368421053</v>
      </c>
      <c r="H10" s="163">
        <v>25000</v>
      </c>
    </row>
    <row r="11" spans="2:8" ht="15">
      <c r="B11" s="6" t="s">
        <v>292</v>
      </c>
      <c r="C11" s="7">
        <v>-937.5</v>
      </c>
      <c r="D11" s="7">
        <v>-1797.794117647059</v>
      </c>
      <c r="E11" s="7">
        <v>-8820.261437908495</v>
      </c>
      <c r="F11" s="7">
        <v>-602.3391812865502</v>
      </c>
      <c r="G11" s="7">
        <v>-4842.105263157895</v>
      </c>
      <c r="H11" s="163">
        <v>-17000</v>
      </c>
    </row>
    <row r="12" spans="2:8" ht="15">
      <c r="B12" s="48" t="s">
        <v>13</v>
      </c>
      <c r="C12" s="49">
        <v>625</v>
      </c>
      <c r="D12" s="49">
        <v>1051.4705882352941</v>
      </c>
      <c r="E12" s="49">
        <v>4823.529411764706</v>
      </c>
      <c r="F12" s="49">
        <v>-236.84210526315837</v>
      </c>
      <c r="G12" s="49">
        <v>1736.8421052631584</v>
      </c>
      <c r="H12" s="164">
        <v>8000</v>
      </c>
    </row>
    <row r="13" ht="15"/>
    <row r="14" ht="15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2"/>
  <sheetViews>
    <sheetView zoomScale="150" zoomScaleNormal="150" zoomScalePageLayoutView="0" workbookViewId="0" topLeftCell="A1">
      <selection activeCell="F19" sqref="F19"/>
    </sheetView>
  </sheetViews>
  <sheetFormatPr defaultColWidth="9.140625" defaultRowHeight="15"/>
  <cols>
    <col min="1" max="1" width="2.28125" style="1" customWidth="1"/>
    <col min="2" max="2" width="18.57421875" style="1" bestFit="1" customWidth="1"/>
    <col min="3" max="5" width="10.00390625" style="1" bestFit="1" customWidth="1"/>
    <col min="6" max="7" width="8.00390625" style="1" bestFit="1" customWidth="1"/>
    <col min="8" max="9" width="8.421875" style="1" bestFit="1" customWidth="1"/>
    <col min="10" max="10" width="9.140625" style="1" customWidth="1"/>
    <col min="11" max="16384" width="9.140625" style="1" customWidth="1"/>
  </cols>
  <sheetData>
    <row r="2" spans="2:7" ht="15">
      <c r="B2" s="160" t="s">
        <v>4</v>
      </c>
      <c r="C2" s="162" t="s">
        <v>304</v>
      </c>
      <c r="D2" s="162" t="s">
        <v>305</v>
      </c>
      <c r="E2" s="162" t="s">
        <v>306</v>
      </c>
      <c r="F2" s="162" t="s">
        <v>307</v>
      </c>
      <c r="G2" s="161" t="s">
        <v>41</v>
      </c>
    </row>
    <row r="3" spans="2:7" ht="15">
      <c r="B3" s="6" t="s">
        <v>308</v>
      </c>
      <c r="C3" s="7">
        <v>6000</v>
      </c>
      <c r="D3" s="7">
        <v>3000</v>
      </c>
      <c r="E3" s="7">
        <v>3000</v>
      </c>
      <c r="F3" s="7">
        <v>3000</v>
      </c>
      <c r="G3" s="163">
        <f>SUM(C3:F3)</f>
        <v>15000</v>
      </c>
    </row>
    <row r="4" spans="2:7" ht="15">
      <c r="B4" s="6" t="s">
        <v>309</v>
      </c>
      <c r="C4" s="7">
        <v>-2500</v>
      </c>
      <c r="D4" s="7">
        <f>-60%*7500*1.1</f>
        <v>-4950</v>
      </c>
      <c r="E4" s="7">
        <f>-40%*7500*1.1</f>
        <v>-3300.0000000000005</v>
      </c>
      <c r="F4" s="7"/>
      <c r="G4" s="163">
        <f>SUM(C4:F4)</f>
        <v>-10750</v>
      </c>
    </row>
    <row r="5" spans="2:7" ht="15">
      <c r="B5" s="48" t="s">
        <v>7</v>
      </c>
      <c r="C5" s="49">
        <f>SUM(C3:C4)</f>
        <v>3500</v>
      </c>
      <c r="D5" s="49">
        <f>SUM(D3:D4)</f>
        <v>-1950</v>
      </c>
      <c r="E5" s="49">
        <f>SUM(E3:E4)</f>
        <v>-300.00000000000045</v>
      </c>
      <c r="F5" s="49">
        <f>SUM(F3:F4)</f>
        <v>3000</v>
      </c>
      <c r="G5" s="164">
        <f>SUM(C5:F5)</f>
        <v>4250</v>
      </c>
    </row>
    <row r="6" spans="2:7" ht="15">
      <c r="B6" s="124" t="s">
        <v>312</v>
      </c>
      <c r="C6" s="13">
        <v>0</v>
      </c>
      <c r="D6" s="13">
        <f>+C7</f>
        <v>3500</v>
      </c>
      <c r="E6" s="13">
        <f>+D7</f>
        <v>1550</v>
      </c>
      <c r="F6" s="218"/>
      <c r="G6" s="219"/>
    </row>
    <row r="7" spans="2:7" ht="15">
      <c r="B7" s="125" t="s">
        <v>313</v>
      </c>
      <c r="C7" s="16">
        <f>+C6+C5</f>
        <v>3500</v>
      </c>
      <c r="D7" s="16">
        <f>+D6+D5</f>
        <v>1550</v>
      </c>
      <c r="E7" s="16">
        <f>+E6+E5</f>
        <v>1249.9999999999995</v>
      </c>
      <c r="F7" s="23"/>
      <c r="G7" s="24"/>
    </row>
    <row r="9" spans="2:6" ht="15">
      <c r="B9" s="160" t="s">
        <v>10</v>
      </c>
      <c r="C9" s="162" t="s">
        <v>304</v>
      </c>
      <c r="D9" s="162" t="s">
        <v>305</v>
      </c>
      <c r="E9" s="162" t="s">
        <v>306</v>
      </c>
      <c r="F9" s="161" t="str">
        <f>+G2</f>
        <v>TOTAL</v>
      </c>
    </row>
    <row r="10" spans="2:6" ht="15">
      <c r="B10" s="6" t="s">
        <v>310</v>
      </c>
      <c r="C10" s="7">
        <f>25%*15000</f>
        <v>3750</v>
      </c>
      <c r="D10" s="7">
        <f>+(15000-C10)*60%</f>
        <v>6750</v>
      </c>
      <c r="E10" s="7">
        <f>+(15000-C10)*40%</f>
        <v>4500</v>
      </c>
      <c r="F10" s="163">
        <f>SUM(C10:E10)</f>
        <v>15000</v>
      </c>
    </row>
    <row r="11" spans="2:6" ht="15">
      <c r="B11" s="6" t="s">
        <v>292</v>
      </c>
      <c r="C11" s="7">
        <f>-25%*10000</f>
        <v>-2500</v>
      </c>
      <c r="D11" s="7">
        <f>+D4</f>
        <v>-4950</v>
      </c>
      <c r="E11" s="7">
        <f>+E4</f>
        <v>-3300.0000000000005</v>
      </c>
      <c r="F11" s="163">
        <f>SUM(C11:E11)</f>
        <v>-10750</v>
      </c>
    </row>
    <row r="12" spans="2:6" ht="15">
      <c r="B12" s="48" t="s">
        <v>311</v>
      </c>
      <c r="C12" s="49">
        <f>SUM(C10:C11)</f>
        <v>1250</v>
      </c>
      <c r="D12" s="49">
        <f>SUM(D10:D11)</f>
        <v>1800</v>
      </c>
      <c r="E12" s="49">
        <f>SUM(E10:E11)</f>
        <v>1199.9999999999995</v>
      </c>
      <c r="F12" s="164">
        <f>SUM(C12:E12)</f>
        <v>4250</v>
      </c>
    </row>
    <row r="14" spans="2:5" ht="15">
      <c r="B14" s="391" t="s">
        <v>16</v>
      </c>
      <c r="C14" s="392"/>
      <c r="D14" s="392"/>
      <c r="E14" s="393"/>
    </row>
    <row r="15" spans="2:6" ht="15">
      <c r="B15" s="18" t="s">
        <v>17</v>
      </c>
      <c r="C15" s="218" t="s">
        <v>314</v>
      </c>
      <c r="D15" s="218" t="s">
        <v>32</v>
      </c>
      <c r="E15" s="219" t="s">
        <v>33</v>
      </c>
      <c r="F15" s="103"/>
    </row>
    <row r="16" spans="2:6" ht="15">
      <c r="B16" s="25" t="s">
        <v>90</v>
      </c>
      <c r="C16" s="21">
        <f>+C7</f>
        <v>3500</v>
      </c>
      <c r="D16" s="21">
        <f>+D7</f>
        <v>1550</v>
      </c>
      <c r="E16" s="22">
        <f>+E7</f>
        <v>1249.9999999999995</v>
      </c>
      <c r="F16" s="103"/>
    </row>
    <row r="17" spans="2:6" ht="15">
      <c r="B17" s="25" t="s">
        <v>22</v>
      </c>
      <c r="C17" s="21">
        <v>0</v>
      </c>
      <c r="D17" s="21">
        <f>+D10-D3-C20</f>
        <v>1500</v>
      </c>
      <c r="E17" s="22">
        <f>+D17+E10-E3</f>
        <v>3000</v>
      </c>
      <c r="F17" s="103"/>
    </row>
    <row r="18" spans="2:6" ht="15">
      <c r="B18" s="26" t="s">
        <v>41</v>
      </c>
      <c r="C18" s="23">
        <f>SUM(C16:C17)</f>
        <v>3500</v>
      </c>
      <c r="D18" s="23">
        <f>SUM(D16:D17)</f>
        <v>3050</v>
      </c>
      <c r="E18" s="24">
        <f>SUM(E16:E17)</f>
        <v>4250</v>
      </c>
      <c r="F18" s="103"/>
    </row>
    <row r="19" spans="2:6" ht="15">
      <c r="B19" s="18" t="s">
        <v>19</v>
      </c>
      <c r="C19" s="218" t="s">
        <v>314</v>
      </c>
      <c r="D19" s="218" t="s">
        <v>32</v>
      </c>
      <c r="E19" s="219" t="s">
        <v>33</v>
      </c>
      <c r="F19" s="103"/>
    </row>
    <row r="20" spans="2:6" ht="15">
      <c r="B20" s="25" t="s">
        <v>315</v>
      </c>
      <c r="C20" s="21">
        <f>+C3-C10</f>
        <v>2250</v>
      </c>
      <c r="D20" s="21"/>
      <c r="E20" s="22"/>
      <c r="F20" s="103"/>
    </row>
    <row r="21" spans="2:6" ht="15">
      <c r="B21" s="25" t="s">
        <v>316</v>
      </c>
      <c r="C21" s="21">
        <f>+C12</f>
        <v>1250</v>
      </c>
      <c r="D21" s="21">
        <f>+D12+C21</f>
        <v>3050</v>
      </c>
      <c r="E21" s="22">
        <f>+E12+D21</f>
        <v>4250</v>
      </c>
      <c r="F21" s="103"/>
    </row>
    <row r="22" spans="2:5" ht="15">
      <c r="B22" s="26" t="s">
        <v>41</v>
      </c>
      <c r="C22" s="23">
        <f>SUM(C20:C21)</f>
        <v>3500</v>
      </c>
      <c r="D22" s="23">
        <f>SUM(D20:D21)</f>
        <v>3050</v>
      </c>
      <c r="E22" s="24">
        <f>SUM(E20:E21)</f>
        <v>4250</v>
      </c>
    </row>
  </sheetData>
  <sheetProtection/>
  <mergeCells count="1">
    <mergeCell ref="B14:E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8"/>
  <sheetViews>
    <sheetView zoomScale="150" zoomScaleNormal="150" zoomScalePageLayoutView="0" workbookViewId="0" topLeftCell="A22">
      <selection activeCell="C26" sqref="C26:C27"/>
    </sheetView>
  </sheetViews>
  <sheetFormatPr defaultColWidth="9.140625" defaultRowHeight="15"/>
  <cols>
    <col min="1" max="1" width="2.28125" style="1" customWidth="1"/>
    <col min="2" max="2" width="20.8515625" style="1" customWidth="1"/>
    <col min="3" max="5" width="10.00390625" style="1" bestFit="1" customWidth="1"/>
    <col min="6" max="7" width="8.00390625" style="1" bestFit="1" customWidth="1"/>
    <col min="8" max="9" width="8.421875" style="1" bestFit="1" customWidth="1"/>
    <col min="10" max="10" width="9.140625" style="1" customWidth="1"/>
    <col min="11" max="16384" width="9.140625" style="1" customWidth="1"/>
  </cols>
  <sheetData>
    <row r="1" ht="15"/>
    <row r="2" spans="4:7" ht="15">
      <c r="D2" s="428" t="s">
        <v>319</v>
      </c>
      <c r="E2" s="428"/>
      <c r="F2" s="428" t="s">
        <v>323</v>
      </c>
      <c r="G2" s="428"/>
    </row>
    <row r="3" spans="3:7" ht="15">
      <c r="C3" s="227" t="s">
        <v>317</v>
      </c>
      <c r="D3" s="220" t="s">
        <v>320</v>
      </c>
      <c r="E3" s="221" t="s">
        <v>321</v>
      </c>
      <c r="F3" s="220" t="s">
        <v>320</v>
      </c>
      <c r="G3" s="221" t="s">
        <v>321</v>
      </c>
    </row>
    <row r="4" spans="2:7" ht="15">
      <c r="B4" s="45" t="s">
        <v>106</v>
      </c>
      <c r="C4" s="181">
        <v>30000</v>
      </c>
      <c r="D4" s="3">
        <f>+C4</f>
        <v>30000</v>
      </c>
      <c r="E4" s="46">
        <f>+D4</f>
        <v>30000</v>
      </c>
      <c r="F4" s="3">
        <f>+D4*(1+4%)</f>
        <v>31200</v>
      </c>
      <c r="G4" s="46">
        <f>+F4</f>
        <v>31200</v>
      </c>
    </row>
    <row r="5" spans="2:7" ht="15">
      <c r="B5" s="6" t="s">
        <v>12</v>
      </c>
      <c r="C5" s="146">
        <v>-20000</v>
      </c>
      <c r="D5" s="101">
        <f>+C5*(1+20%)</f>
        <v>-24000</v>
      </c>
      <c r="E5" s="8">
        <v>-25000</v>
      </c>
      <c r="F5" s="101">
        <f>+D5*(1+4%)</f>
        <v>-24960</v>
      </c>
      <c r="G5" s="8">
        <f>+E5*(1+4%)</f>
        <v>-26000</v>
      </c>
    </row>
    <row r="6" spans="2:8" ht="15">
      <c r="B6" s="90" t="s">
        <v>13</v>
      </c>
      <c r="C6" s="108">
        <f>SUM(C4:C5)</f>
        <v>10000</v>
      </c>
      <c r="D6" s="222">
        <f>SUM(D4:D5)</f>
        <v>6000</v>
      </c>
      <c r="E6" s="223">
        <f>SUM(E4:E5)</f>
        <v>5000</v>
      </c>
      <c r="F6" s="222">
        <f>SUM(F4:F5)</f>
        <v>6240</v>
      </c>
      <c r="G6" s="223">
        <f>SUM(G4:G5)</f>
        <v>5200</v>
      </c>
      <c r="H6" s="74"/>
    </row>
    <row r="7" spans="2:7" ht="30">
      <c r="B7" s="6" t="s">
        <v>322</v>
      </c>
      <c r="C7" s="146"/>
      <c r="D7" s="101"/>
      <c r="E7" s="8">
        <v>1000</v>
      </c>
      <c r="F7" s="101"/>
      <c r="G7" s="8">
        <f>+E7*(1+4%)</f>
        <v>1040</v>
      </c>
    </row>
    <row r="8" spans="2:7" ht="15">
      <c r="B8" s="6" t="s">
        <v>324</v>
      </c>
      <c r="C8" s="146"/>
      <c r="D8" s="101"/>
      <c r="E8" s="8"/>
      <c r="F8" s="101">
        <f>-F4+D4</f>
        <v>-1200</v>
      </c>
      <c r="G8" s="8">
        <f>-G4+E4</f>
        <v>-1200</v>
      </c>
    </row>
    <row r="9" spans="2:7" ht="30">
      <c r="B9" s="88" t="s">
        <v>318</v>
      </c>
      <c r="C9" s="194">
        <f>SUM(C6:C8)</f>
        <v>10000</v>
      </c>
      <c r="D9" s="225">
        <f>SUM(D6:D8)</f>
        <v>6000</v>
      </c>
      <c r="E9" s="226">
        <f>SUM(E6:E8)</f>
        <v>6000</v>
      </c>
      <c r="F9" s="225">
        <f>SUM(F6:F8)</f>
        <v>5040</v>
      </c>
      <c r="G9" s="226">
        <f>SUM(G6:G8)</f>
        <v>5040</v>
      </c>
    </row>
    <row r="10" ht="15">
      <c r="B10" s="2"/>
    </row>
    <row r="11" spans="2:4" ht="15" customHeight="1">
      <c r="B11" s="397" t="s">
        <v>325</v>
      </c>
      <c r="C11" s="399"/>
      <c r="D11" s="398"/>
    </row>
    <row r="12" spans="2:4" ht="15" customHeight="1">
      <c r="B12" s="402" t="s">
        <v>326</v>
      </c>
      <c r="C12" s="429"/>
      <c r="D12" s="403"/>
    </row>
    <row r="13" spans="2:4" ht="15">
      <c r="B13" s="420" t="s">
        <v>328</v>
      </c>
      <c r="C13" s="421"/>
      <c r="D13" s="8">
        <f>+G6</f>
        <v>5200</v>
      </c>
    </row>
    <row r="14" spans="2:4" ht="15">
      <c r="B14" s="420" t="s">
        <v>327</v>
      </c>
      <c r="C14" s="421"/>
      <c r="D14" s="8">
        <f>+G7</f>
        <v>1040</v>
      </c>
    </row>
    <row r="15" spans="2:4" ht="15">
      <c r="B15" s="420" t="s">
        <v>329</v>
      </c>
      <c r="C15" s="421"/>
      <c r="D15" s="8">
        <f>+G8</f>
        <v>-1200</v>
      </c>
    </row>
    <row r="16" spans="2:4" ht="15">
      <c r="B16" s="48" t="s">
        <v>41</v>
      </c>
      <c r="C16" s="49"/>
      <c r="D16" s="224">
        <f>SUM(D13:D15)</f>
        <v>5040</v>
      </c>
    </row>
    <row r="17" ht="15"/>
    <row r="18" spans="2:4" ht="15">
      <c r="B18" s="422" t="s">
        <v>330</v>
      </c>
      <c r="C18" s="423"/>
      <c r="D18" s="424"/>
    </row>
    <row r="19" spans="2:4" ht="15">
      <c r="B19" s="425" t="s">
        <v>323</v>
      </c>
      <c r="C19" s="426"/>
      <c r="D19" s="427"/>
    </row>
    <row r="20" spans="2:4" ht="15">
      <c r="B20" s="422" t="s">
        <v>17</v>
      </c>
      <c r="C20" s="423"/>
      <c r="D20" s="424"/>
    </row>
    <row r="21" spans="2:4" ht="15">
      <c r="B21" s="25" t="s">
        <v>90</v>
      </c>
      <c r="C21" s="21"/>
      <c r="D21" s="22">
        <v>30000</v>
      </c>
    </row>
    <row r="22" spans="2:4" ht="15">
      <c r="B22" s="25"/>
      <c r="C22" s="21"/>
      <c r="D22" s="22"/>
    </row>
    <row r="23" spans="2:4" ht="15">
      <c r="B23" s="26" t="s">
        <v>41</v>
      </c>
      <c r="C23" s="23"/>
      <c r="D23" s="24">
        <f>SUM(D21:D22)</f>
        <v>30000</v>
      </c>
    </row>
    <row r="24" spans="2:4" ht="15">
      <c r="B24" s="422" t="s">
        <v>19</v>
      </c>
      <c r="C24" s="423"/>
      <c r="D24" s="424"/>
    </row>
    <row r="25" spans="2:4" ht="15">
      <c r="B25" s="25" t="s">
        <v>161</v>
      </c>
      <c r="C25" s="21"/>
      <c r="D25" s="22">
        <f>20000*(1+20%)*(1+4%)</f>
        <v>24960</v>
      </c>
    </row>
    <row r="26" spans="2:4" ht="15">
      <c r="B26" s="25" t="s">
        <v>331</v>
      </c>
      <c r="C26" s="21">
        <f>+G7</f>
        <v>1040</v>
      </c>
      <c r="D26" s="22"/>
    </row>
    <row r="27" spans="2:4" ht="15">
      <c r="B27" s="25" t="s">
        <v>332</v>
      </c>
      <c r="C27" s="237">
        <f>+E4+G5</f>
        <v>4000</v>
      </c>
      <c r="D27" s="238">
        <f>+SUM(C26:C27)</f>
        <v>5040</v>
      </c>
    </row>
    <row r="28" spans="2:4" ht="15">
      <c r="B28" s="26" t="s">
        <v>41</v>
      </c>
      <c r="C28" s="23"/>
      <c r="D28" s="24">
        <f>SUM(D25:D27)</f>
        <v>30000</v>
      </c>
    </row>
  </sheetData>
  <sheetProtection/>
  <mergeCells count="11">
    <mergeCell ref="B14:C14"/>
    <mergeCell ref="D2:E2"/>
    <mergeCell ref="F2:G2"/>
    <mergeCell ref="B13:C13"/>
    <mergeCell ref="B11:D11"/>
    <mergeCell ref="B12:D12"/>
    <mergeCell ref="B15:C15"/>
    <mergeCell ref="B18:D18"/>
    <mergeCell ref="B19:D19"/>
    <mergeCell ref="B20:D20"/>
    <mergeCell ref="B24:D2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28"/>
  <sheetViews>
    <sheetView zoomScale="140" zoomScaleNormal="140" zoomScalePageLayoutView="0" workbookViewId="0" topLeftCell="A1">
      <selection activeCell="C6" sqref="C6"/>
    </sheetView>
  </sheetViews>
  <sheetFormatPr defaultColWidth="9.140625" defaultRowHeight="15"/>
  <cols>
    <col min="1" max="1" width="3.28125" style="241" customWidth="1"/>
    <col min="2" max="2" width="43.28125" style="260" customWidth="1"/>
    <col min="3" max="9" width="10.28125" style="241" customWidth="1"/>
    <col min="10" max="10" width="3.421875" style="241" customWidth="1"/>
    <col min="11" max="16384" width="9.140625" style="241" customWidth="1"/>
  </cols>
  <sheetData>
    <row r="2" spans="2:3" ht="15">
      <c r="B2" s="239" t="s">
        <v>333</v>
      </c>
      <c r="C2" s="240" t="s">
        <v>209</v>
      </c>
    </row>
    <row r="3" spans="2:3" ht="15">
      <c r="B3" s="242" t="s">
        <v>334</v>
      </c>
      <c r="C3" s="243">
        <v>10000</v>
      </c>
    </row>
    <row r="4" spans="2:3" ht="15">
      <c r="B4" s="244" t="s">
        <v>335</v>
      </c>
      <c r="C4" s="245">
        <v>8000</v>
      </c>
    </row>
    <row r="5" spans="2:3" ht="15">
      <c r="B5" s="244" t="s">
        <v>336</v>
      </c>
      <c r="C5" s="245">
        <v>1500</v>
      </c>
    </row>
    <row r="6" spans="2:3" ht="15">
      <c r="B6" s="244" t="s">
        <v>337</v>
      </c>
      <c r="C6" s="245">
        <f>+C5*0.666666666666667</f>
        <v>1000</v>
      </c>
    </row>
    <row r="7" spans="2:3" ht="15">
      <c r="B7" s="246" t="s">
        <v>338</v>
      </c>
      <c r="C7" s="247">
        <v>500</v>
      </c>
    </row>
    <row r="9" spans="2:3" ht="15">
      <c r="B9" s="430" t="s">
        <v>339</v>
      </c>
      <c r="C9" s="431"/>
    </row>
    <row r="10" spans="2:3" ht="15">
      <c r="B10" s="248" t="s">
        <v>65</v>
      </c>
      <c r="C10" s="249">
        <v>9500</v>
      </c>
    </row>
    <row r="11" spans="2:3" ht="15">
      <c r="B11" s="248" t="s">
        <v>55</v>
      </c>
      <c r="C11" s="249">
        <v>7200</v>
      </c>
    </row>
    <row r="12" spans="2:3" ht="15">
      <c r="B12" s="248" t="s">
        <v>66</v>
      </c>
      <c r="C12" s="249">
        <v>4500</v>
      </c>
    </row>
    <row r="13" spans="2:3" ht="15">
      <c r="B13" s="250" t="s">
        <v>41</v>
      </c>
      <c r="C13" s="251">
        <f>+SUM(C10:C12)</f>
        <v>21200</v>
      </c>
    </row>
    <row r="14" ht="15">
      <c r="B14" s="252"/>
    </row>
    <row r="15" spans="2:3" ht="15">
      <c r="B15" s="253" t="s">
        <v>340</v>
      </c>
      <c r="C15" s="254">
        <f>+C10/SUM(C4:C5)</f>
        <v>1</v>
      </c>
    </row>
    <row r="16" spans="2:3" ht="15">
      <c r="B16" s="248" t="s">
        <v>341</v>
      </c>
      <c r="C16" s="255">
        <f>+C11/SUM(C4,C6)</f>
        <v>0.8</v>
      </c>
    </row>
    <row r="17" spans="2:3" ht="15">
      <c r="B17" s="248" t="s">
        <v>342</v>
      </c>
      <c r="C17" s="255">
        <f>+C12/SUM(C4,C6)</f>
        <v>0.5</v>
      </c>
    </row>
    <row r="18" spans="2:3" ht="15">
      <c r="B18" s="250" t="s">
        <v>41</v>
      </c>
      <c r="C18" s="256">
        <f>SUM(C15:C17)</f>
        <v>2.3</v>
      </c>
    </row>
    <row r="20" spans="2:3" ht="15">
      <c r="B20" s="257" t="s">
        <v>343</v>
      </c>
      <c r="C20" s="258">
        <f>+C18*C4</f>
        <v>18400</v>
      </c>
    </row>
    <row r="22" spans="2:3" ht="15">
      <c r="B22" s="430" t="s">
        <v>344</v>
      </c>
      <c r="C22" s="431"/>
    </row>
    <row r="23" spans="2:3" ht="15">
      <c r="B23" s="248" t="s">
        <v>65</v>
      </c>
      <c r="C23" s="249">
        <f>+C15*C5</f>
        <v>1500</v>
      </c>
    </row>
    <row r="24" spans="2:3" ht="15">
      <c r="B24" s="248" t="s">
        <v>97</v>
      </c>
      <c r="C24" s="249">
        <f>+C16*C6</f>
        <v>800</v>
      </c>
    </row>
    <row r="25" spans="2:3" ht="15">
      <c r="B25" s="248" t="s">
        <v>66</v>
      </c>
      <c r="C25" s="249">
        <f>+C17*C6</f>
        <v>500</v>
      </c>
    </row>
    <row r="26" spans="2:3" ht="15">
      <c r="B26" s="250" t="s">
        <v>41</v>
      </c>
      <c r="C26" s="251">
        <f>SUM(C23:C25)</f>
        <v>2800</v>
      </c>
    </row>
    <row r="27" ht="15">
      <c r="B27" s="252"/>
    </row>
    <row r="28" spans="2:3" ht="15">
      <c r="B28" s="259" t="s">
        <v>41</v>
      </c>
      <c r="C28" s="258">
        <f>+C26+C20</f>
        <v>21200</v>
      </c>
    </row>
  </sheetData>
  <sheetProtection/>
  <mergeCells count="2">
    <mergeCell ref="B9:C9"/>
    <mergeCell ref="B22:C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zoomScale="130" zoomScaleNormal="130" zoomScalePageLayoutView="0" workbookViewId="0" topLeftCell="A7">
      <selection activeCell="G10" sqref="G10"/>
    </sheetView>
  </sheetViews>
  <sheetFormatPr defaultColWidth="9.140625" defaultRowHeight="15"/>
  <cols>
    <col min="1" max="1" width="2.28125" style="1" customWidth="1"/>
    <col min="2" max="2" width="35.140625" style="1" customWidth="1"/>
    <col min="3" max="3" width="9.421875" style="1" bestFit="1" customWidth="1"/>
    <col min="4" max="5" width="9.140625" style="1" customWidth="1"/>
    <col min="6" max="6" width="9.421875" style="1" bestFit="1" customWidth="1"/>
    <col min="7" max="16384" width="9.140625" style="1" customWidth="1"/>
  </cols>
  <sheetData>
    <row r="1" ht="15"/>
    <row r="2" spans="2:3" ht="30">
      <c r="B2" s="45" t="s">
        <v>27</v>
      </c>
      <c r="C2" s="46">
        <v>350000</v>
      </c>
    </row>
    <row r="3" spans="2:3" ht="15">
      <c r="B3" s="6" t="s">
        <v>28</v>
      </c>
      <c r="C3" s="8">
        <v>10</v>
      </c>
    </row>
    <row r="4" spans="2:3" ht="15">
      <c r="B4" s="6" t="s">
        <v>29</v>
      </c>
      <c r="C4" s="8">
        <v>50000</v>
      </c>
    </row>
    <row r="5" spans="2:3" ht="15">
      <c r="B5" s="6" t="s">
        <v>30</v>
      </c>
      <c r="C5" s="8">
        <f>+(C2-C4)/C3</f>
        <v>30000</v>
      </c>
    </row>
    <row r="6" spans="2:3" ht="30">
      <c r="B6" s="9" t="s">
        <v>31</v>
      </c>
      <c r="C6" s="11">
        <v>245000</v>
      </c>
    </row>
    <row r="7" ht="15"/>
    <row r="8" spans="2:5" ht="30">
      <c r="B8" s="47" t="s">
        <v>17</v>
      </c>
      <c r="C8" s="4" t="s">
        <v>32</v>
      </c>
      <c r="D8" s="4" t="s">
        <v>33</v>
      </c>
      <c r="E8" s="5" t="s">
        <v>34</v>
      </c>
    </row>
    <row r="9" spans="2:5" ht="15">
      <c r="B9" s="6" t="s">
        <v>35</v>
      </c>
      <c r="C9" s="7">
        <f>+C2</f>
        <v>350000</v>
      </c>
      <c r="D9" s="7">
        <f>+C9</f>
        <v>350000</v>
      </c>
      <c r="E9" s="8">
        <f>+D9</f>
        <v>350000</v>
      </c>
    </row>
    <row r="10" spans="2:5" ht="15">
      <c r="B10" s="6" t="s">
        <v>36</v>
      </c>
      <c r="C10" s="7">
        <f>-C5</f>
        <v>-30000</v>
      </c>
      <c r="D10" s="7">
        <f>+C10-$C$5</f>
        <v>-60000</v>
      </c>
      <c r="E10" s="8">
        <f>+D10-$C$5</f>
        <v>-90000</v>
      </c>
    </row>
    <row r="11" spans="2:5" ht="15">
      <c r="B11" s="48" t="s">
        <v>37</v>
      </c>
      <c r="C11" s="49">
        <f>SUM(C9:C10)</f>
        <v>320000</v>
      </c>
      <c r="D11" s="49">
        <f>SUM(D9:D10)</f>
        <v>290000</v>
      </c>
      <c r="E11" s="50">
        <f>SUM(E9:E10)</f>
        <v>260000</v>
      </c>
    </row>
    <row r="13" spans="2:5" ht="15">
      <c r="B13" s="47" t="s">
        <v>10</v>
      </c>
      <c r="C13" s="4" t="s">
        <v>38</v>
      </c>
      <c r="D13" s="4" t="s">
        <v>39</v>
      </c>
      <c r="E13" s="5" t="s">
        <v>40</v>
      </c>
    </row>
    <row r="14" spans="2:5" ht="15">
      <c r="B14" s="6" t="s">
        <v>42</v>
      </c>
      <c r="C14" s="7">
        <f>-$C$5</f>
        <v>-30000</v>
      </c>
      <c r="D14" s="7">
        <f>-$C$5</f>
        <v>-30000</v>
      </c>
      <c r="E14" s="8">
        <f>-$C$5</f>
        <v>-30000</v>
      </c>
    </row>
    <row r="15" spans="2:5" ht="15">
      <c r="B15" s="6" t="s">
        <v>43</v>
      </c>
      <c r="C15" s="7">
        <v>0</v>
      </c>
      <c r="D15" s="7">
        <v>0</v>
      </c>
      <c r="E15" s="8">
        <f>+C6-E11</f>
        <v>-15000</v>
      </c>
    </row>
    <row r="16" spans="2:6" ht="15">
      <c r="B16" s="48" t="s">
        <v>41</v>
      </c>
      <c r="C16" s="49">
        <f>SUM(C14:C15)</f>
        <v>-30000</v>
      </c>
      <c r="D16" s="49">
        <f>SUM(D14:D15)</f>
        <v>-30000</v>
      </c>
      <c r="E16" s="50">
        <f>SUM(E14:E15)</f>
        <v>-45000</v>
      </c>
      <c r="F16" s="1">
        <f>SUM(C16:E16)</f>
        <v>-105000</v>
      </c>
    </row>
    <row r="18" spans="2:5" ht="15">
      <c r="B18" s="47" t="s">
        <v>44</v>
      </c>
      <c r="C18" s="4" t="s">
        <v>38</v>
      </c>
      <c r="D18" s="4" t="s">
        <v>39</v>
      </c>
      <c r="E18" s="5" t="s">
        <v>40</v>
      </c>
    </row>
    <row r="19" spans="2:5" ht="15">
      <c r="B19" s="6" t="s">
        <v>45</v>
      </c>
      <c r="C19" s="7">
        <f>-C2</f>
        <v>-350000</v>
      </c>
      <c r="D19" s="7">
        <v>0</v>
      </c>
      <c r="E19" s="8">
        <v>0</v>
      </c>
    </row>
    <row r="20" spans="2:5" ht="15">
      <c r="B20" s="6" t="s">
        <v>46</v>
      </c>
      <c r="C20" s="7">
        <v>0</v>
      </c>
      <c r="D20" s="7">
        <v>0</v>
      </c>
      <c r="E20" s="8">
        <f>+C6</f>
        <v>245000</v>
      </c>
    </row>
    <row r="21" spans="2:6" ht="15">
      <c r="B21" s="48" t="s">
        <v>41</v>
      </c>
      <c r="C21" s="49">
        <f>SUM(C19:C20)</f>
        <v>-350000</v>
      </c>
      <c r="D21" s="49">
        <f>SUM(D19:D20)</f>
        <v>0</v>
      </c>
      <c r="E21" s="50">
        <f>SUM(E19:E20)</f>
        <v>245000</v>
      </c>
      <c r="F21" s="1">
        <f>SUM(C21:E21)</f>
        <v>-105000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27"/>
  <sheetViews>
    <sheetView zoomScale="110" zoomScaleNormal="110" zoomScalePageLayoutView="0" workbookViewId="0" topLeftCell="B10">
      <selection activeCell="L27" sqref="L27"/>
    </sheetView>
  </sheetViews>
  <sheetFormatPr defaultColWidth="9.140625" defaultRowHeight="15"/>
  <cols>
    <col min="1" max="1" width="3.28125" style="241" customWidth="1"/>
    <col min="2" max="2" width="16.57421875" style="260" bestFit="1" customWidth="1"/>
    <col min="3" max="3" width="11.28125" style="241" bestFit="1" customWidth="1"/>
    <col min="4" max="4" width="11.7109375" style="241" bestFit="1" customWidth="1"/>
    <col min="5" max="5" width="10.28125" style="241" bestFit="1" customWidth="1"/>
    <col min="6" max="6" width="11.57421875" style="241" bestFit="1" customWidth="1"/>
    <col min="7" max="7" width="10.00390625" style="241" bestFit="1" customWidth="1"/>
    <col min="8" max="8" width="8.140625" style="241" bestFit="1" customWidth="1"/>
    <col min="9" max="9" width="9.28125" style="241" bestFit="1" customWidth="1"/>
    <col min="10" max="10" width="10.8515625" style="241" bestFit="1" customWidth="1"/>
    <col min="11" max="11" width="8.140625" style="241" bestFit="1" customWidth="1"/>
    <col min="12" max="16384" width="9.140625" style="241" customWidth="1"/>
  </cols>
  <sheetData>
    <row r="2" spans="2:3" ht="15">
      <c r="B2" s="239" t="s">
        <v>345</v>
      </c>
      <c r="C2" s="261"/>
    </row>
    <row r="3" spans="2:3" ht="15">
      <c r="B3" s="248" t="s">
        <v>346</v>
      </c>
      <c r="C3" s="249">
        <v>50000</v>
      </c>
    </row>
    <row r="4" spans="2:3" ht="15">
      <c r="B4" s="262" t="s">
        <v>347</v>
      </c>
      <c r="C4" s="263">
        <f>3*C3</f>
        <v>150000</v>
      </c>
    </row>
    <row r="6" spans="2:3" ht="15">
      <c r="B6" s="253" t="s">
        <v>348</v>
      </c>
      <c r="C6" s="261">
        <v>25000</v>
      </c>
    </row>
    <row r="7" spans="2:3" ht="15">
      <c r="B7" s="262" t="s">
        <v>349</v>
      </c>
      <c r="C7" s="263">
        <v>12500</v>
      </c>
    </row>
    <row r="9" spans="2:8" ht="30">
      <c r="B9" s="239" t="s">
        <v>350</v>
      </c>
      <c r="C9" s="265" t="s">
        <v>354</v>
      </c>
      <c r="D9" s="265" t="s">
        <v>355</v>
      </c>
      <c r="E9" s="240" t="s">
        <v>356</v>
      </c>
      <c r="F9" s="265" t="s">
        <v>357</v>
      </c>
      <c r="G9" s="239" t="s">
        <v>358</v>
      </c>
      <c r="H9" s="240" t="s">
        <v>359</v>
      </c>
    </row>
    <row r="10" spans="2:8" ht="15">
      <c r="B10" s="248" t="s">
        <v>351</v>
      </c>
      <c r="C10" s="260">
        <v>30000</v>
      </c>
      <c r="D10" s="260">
        <v>30000</v>
      </c>
      <c r="E10" s="255">
        <v>5</v>
      </c>
      <c r="F10" s="260">
        <f>+C10*E10</f>
        <v>150000</v>
      </c>
      <c r="G10" s="268">
        <f>+C10/C$13</f>
        <v>0.6</v>
      </c>
      <c r="H10" s="139">
        <f>+F10/$F$13</f>
        <v>0.5</v>
      </c>
    </row>
    <row r="11" spans="2:8" ht="15">
      <c r="B11" s="248" t="s">
        <v>352</v>
      </c>
      <c r="C11" s="260">
        <v>15000</v>
      </c>
      <c r="D11" s="260">
        <v>15000</v>
      </c>
      <c r="E11" s="255">
        <v>6.8</v>
      </c>
      <c r="F11" s="260">
        <f>+C11*E11</f>
        <v>102000</v>
      </c>
      <c r="G11" s="268">
        <f>+C11/C$13</f>
        <v>0.3</v>
      </c>
      <c r="H11" s="139">
        <f>+F11/$F$13</f>
        <v>0.34</v>
      </c>
    </row>
    <row r="12" spans="2:8" ht="15">
      <c r="B12" s="248" t="s">
        <v>353</v>
      </c>
      <c r="C12" s="260">
        <v>5000</v>
      </c>
      <c r="D12" s="260">
        <v>3800</v>
      </c>
      <c r="E12" s="255">
        <v>9.6</v>
      </c>
      <c r="F12" s="260">
        <f>+C12*E12</f>
        <v>48000</v>
      </c>
      <c r="G12" s="268">
        <f>+C12/C$13</f>
        <v>0.1</v>
      </c>
      <c r="H12" s="139">
        <f>+F12/$F$13</f>
        <v>0.16</v>
      </c>
    </row>
    <row r="13" spans="2:8" ht="15">
      <c r="B13" s="250" t="s">
        <v>41</v>
      </c>
      <c r="C13" s="266">
        <f>SUM(C10:C12)</f>
        <v>50000</v>
      </c>
      <c r="D13" s="266">
        <f>SUM(D10:D12)</f>
        <v>48800</v>
      </c>
      <c r="E13" s="251"/>
      <c r="F13" s="266">
        <f>SUM(F10:F12)</f>
        <v>300000</v>
      </c>
      <c r="G13" s="269">
        <f>SUM(G10:G12)</f>
        <v>0.9999999999999999</v>
      </c>
      <c r="H13" s="185">
        <f>SUM(H10:H12)</f>
        <v>1</v>
      </c>
    </row>
    <row r="15" spans="2:12" ht="15" customHeight="1">
      <c r="B15" s="433" t="s">
        <v>360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5"/>
    </row>
    <row r="16" spans="2:12" ht="30">
      <c r="B16" s="239" t="str">
        <f>+B9</f>
        <v>CO-PRODUTOS</v>
      </c>
      <c r="C16" s="265" t="s">
        <v>361</v>
      </c>
      <c r="D16" s="265" t="s">
        <v>362</v>
      </c>
      <c r="E16" s="265" t="s">
        <v>349</v>
      </c>
      <c r="F16" s="265" t="s">
        <v>41</v>
      </c>
      <c r="G16" s="265" t="s">
        <v>363</v>
      </c>
      <c r="H16" s="265" t="s">
        <v>118</v>
      </c>
      <c r="I16" s="240" t="s">
        <v>364</v>
      </c>
      <c r="J16" s="239" t="s">
        <v>366</v>
      </c>
      <c r="K16" s="432" t="s">
        <v>367</v>
      </c>
      <c r="L16" s="431"/>
    </row>
    <row r="17" spans="2:12" ht="15">
      <c r="B17" s="267" t="str">
        <f>+B10</f>
        <v>Quirera</v>
      </c>
      <c r="C17" s="260">
        <f>+$C$4*G10</f>
        <v>90000</v>
      </c>
      <c r="D17" s="260">
        <f>+$C$6*G10</f>
        <v>15000</v>
      </c>
      <c r="E17" s="260">
        <f>+$C$7*G10</f>
        <v>7500</v>
      </c>
      <c r="F17" s="264">
        <f>+SUM(C17:E17)</f>
        <v>112500</v>
      </c>
      <c r="G17" s="272">
        <f>+F17/C10</f>
        <v>3.75</v>
      </c>
      <c r="H17" s="260">
        <f>+G17*D10</f>
        <v>112500</v>
      </c>
      <c r="I17" s="249">
        <f>+G17*(C10-D10)</f>
        <v>0</v>
      </c>
      <c r="J17" s="267">
        <f>+E10*D10</f>
        <v>150000</v>
      </c>
      <c r="K17" s="260">
        <f>+J17-H17</f>
        <v>37500</v>
      </c>
      <c r="L17" s="139">
        <f>+K17/J17</f>
        <v>0.25</v>
      </c>
    </row>
    <row r="18" spans="2:12" ht="15">
      <c r="B18" s="267" t="str">
        <f>+B11</f>
        <v>Fubá</v>
      </c>
      <c r="C18" s="260">
        <f>+$C$4*G11</f>
        <v>45000</v>
      </c>
      <c r="D18" s="260">
        <f>+$C$6*G11</f>
        <v>7500</v>
      </c>
      <c r="E18" s="260">
        <f>+$C$7*G11</f>
        <v>3750</v>
      </c>
      <c r="F18" s="264">
        <f>+SUM(C18:E18)</f>
        <v>56250</v>
      </c>
      <c r="G18" s="272">
        <f>+F18/C11</f>
        <v>3.75</v>
      </c>
      <c r="H18" s="260">
        <f>+G18*D11</f>
        <v>56250</v>
      </c>
      <c r="I18" s="249">
        <f>+G18*(C11-D11)</f>
        <v>0</v>
      </c>
      <c r="J18" s="267">
        <f>+E11*D11</f>
        <v>102000</v>
      </c>
      <c r="K18" s="260">
        <f>+J18-H18</f>
        <v>45750</v>
      </c>
      <c r="L18" s="139">
        <f>+K18/J18</f>
        <v>0.4485294117647059</v>
      </c>
    </row>
    <row r="19" spans="2:12" ht="15">
      <c r="B19" s="267" t="str">
        <f>+B12</f>
        <v>Germe</v>
      </c>
      <c r="C19" s="260">
        <f>+$C$4*G12</f>
        <v>15000</v>
      </c>
      <c r="D19" s="260">
        <f>+$C$6*G12</f>
        <v>2500</v>
      </c>
      <c r="E19" s="260">
        <f>+$C$7*G12</f>
        <v>1250</v>
      </c>
      <c r="F19" s="264">
        <f>+SUM(C19:E19)</f>
        <v>18750</v>
      </c>
      <c r="G19" s="272">
        <f>+F19/C12</f>
        <v>3.75</v>
      </c>
      <c r="H19" s="260">
        <f>+G19*D12</f>
        <v>14250</v>
      </c>
      <c r="I19" s="249">
        <f>+G19*(C12-D12)</f>
        <v>4500</v>
      </c>
      <c r="J19" s="267">
        <f>+E12*D12</f>
        <v>36480</v>
      </c>
      <c r="K19" s="260">
        <f>+J19-H19</f>
        <v>22230</v>
      </c>
      <c r="L19" s="139">
        <f>+K19/J19</f>
        <v>0.609375</v>
      </c>
    </row>
    <row r="20" spans="2:12" ht="15">
      <c r="B20" s="273" t="s">
        <v>41</v>
      </c>
      <c r="C20" s="266">
        <f>SUM(C17:C19)</f>
        <v>150000</v>
      </c>
      <c r="D20" s="266">
        <f aca="true" t="shared" si="0" ref="D20:I20">SUM(D17:D19)</f>
        <v>25000</v>
      </c>
      <c r="E20" s="266">
        <f t="shared" si="0"/>
        <v>12500</v>
      </c>
      <c r="F20" s="266">
        <f t="shared" si="0"/>
        <v>187500</v>
      </c>
      <c r="G20" s="274"/>
      <c r="H20" s="266">
        <f t="shared" si="0"/>
        <v>183000</v>
      </c>
      <c r="I20" s="251">
        <f t="shared" si="0"/>
        <v>4500</v>
      </c>
      <c r="J20" s="273">
        <f>SUM(J17:J19)</f>
        <v>288480</v>
      </c>
      <c r="K20" s="266">
        <f>SUM(K17:K19)</f>
        <v>105480</v>
      </c>
      <c r="L20" s="185">
        <f>+K20/J20</f>
        <v>0.3656405990016639</v>
      </c>
    </row>
    <row r="22" spans="2:12" ht="15" customHeight="1">
      <c r="B22" s="433" t="s">
        <v>365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5"/>
    </row>
    <row r="23" spans="2:12" ht="30">
      <c r="B23" s="270" t="str">
        <f>+B16</f>
        <v>CO-PRODUTOS</v>
      </c>
      <c r="C23" s="264" t="s">
        <v>361</v>
      </c>
      <c r="D23" s="264" t="s">
        <v>362</v>
      </c>
      <c r="E23" s="264" t="s">
        <v>349</v>
      </c>
      <c r="F23" s="264" t="s">
        <v>41</v>
      </c>
      <c r="G23" s="264" t="s">
        <v>363</v>
      </c>
      <c r="H23" s="264" t="s">
        <v>118</v>
      </c>
      <c r="I23" s="271" t="s">
        <v>364</v>
      </c>
      <c r="J23" s="239" t="s">
        <v>366</v>
      </c>
      <c r="K23" s="432" t="s">
        <v>367</v>
      </c>
      <c r="L23" s="431"/>
    </row>
    <row r="24" spans="2:12" ht="15">
      <c r="B24" s="267" t="str">
        <f>+B17</f>
        <v>Quirera</v>
      </c>
      <c r="C24" s="260">
        <f>+$C$4*H10</f>
        <v>75000</v>
      </c>
      <c r="D24" s="260">
        <f>+$C$6*H10</f>
        <v>12500</v>
      </c>
      <c r="E24" s="260">
        <f>+$C$7*H10</f>
        <v>6250</v>
      </c>
      <c r="F24" s="264">
        <f>+SUM(C24:E24)</f>
        <v>93750</v>
      </c>
      <c r="G24" s="272">
        <f>+F24/C10</f>
        <v>3.125</v>
      </c>
      <c r="H24" s="260">
        <f>+G24*D10</f>
        <v>93750</v>
      </c>
      <c r="I24" s="249">
        <f>+G24*(C10-D10)</f>
        <v>0</v>
      </c>
      <c r="J24" s="267">
        <f>+D10*E10</f>
        <v>150000</v>
      </c>
      <c r="K24" s="260">
        <f>+J24-H24</f>
        <v>56250</v>
      </c>
      <c r="L24" s="139">
        <f>+K24/J24</f>
        <v>0.375</v>
      </c>
    </row>
    <row r="25" spans="2:12" ht="15">
      <c r="B25" s="267" t="str">
        <f>+B18</f>
        <v>Fubá</v>
      </c>
      <c r="C25" s="260">
        <f>+$C$4*H11</f>
        <v>51000.00000000001</v>
      </c>
      <c r="D25" s="260">
        <f>+$C$6*H11</f>
        <v>8500</v>
      </c>
      <c r="E25" s="260">
        <f>+$C$7*H11</f>
        <v>4250</v>
      </c>
      <c r="F25" s="264">
        <f>+SUM(C25:E25)</f>
        <v>63750.00000000001</v>
      </c>
      <c r="G25" s="272">
        <f>+F25/C11</f>
        <v>4.250000000000001</v>
      </c>
      <c r="H25" s="260">
        <f>+G25*D11</f>
        <v>63750.000000000015</v>
      </c>
      <c r="I25" s="249">
        <f>+G25*(C11-D11)</f>
        <v>0</v>
      </c>
      <c r="J25" s="267">
        <f>+D11*E11</f>
        <v>102000</v>
      </c>
      <c r="K25" s="260">
        <f>+J25-H25</f>
        <v>38249.999999999985</v>
      </c>
      <c r="L25" s="139">
        <f>+K25/J25</f>
        <v>0.37499999999999983</v>
      </c>
    </row>
    <row r="26" spans="2:12" ht="15">
      <c r="B26" s="267" t="str">
        <f>+B19</f>
        <v>Germe</v>
      </c>
      <c r="C26" s="260">
        <f>+$C$4*H12</f>
        <v>24000</v>
      </c>
      <c r="D26" s="260">
        <f>+$C$6*H12</f>
        <v>4000</v>
      </c>
      <c r="E26" s="260">
        <f>+$C$7*H12</f>
        <v>2000</v>
      </c>
      <c r="F26" s="264">
        <f>+SUM(C26:E26)</f>
        <v>30000</v>
      </c>
      <c r="G26" s="272">
        <f>+F26/C12</f>
        <v>6</v>
      </c>
      <c r="H26" s="260">
        <f>+G26*D12</f>
        <v>22800</v>
      </c>
      <c r="I26" s="249">
        <f>+G26*(C12-D12)</f>
        <v>7200</v>
      </c>
      <c r="J26" s="267">
        <f>+D12*E12</f>
        <v>36480</v>
      </c>
      <c r="K26" s="260">
        <f>+J26-H26</f>
        <v>13680</v>
      </c>
      <c r="L26" s="139">
        <f>+K26/J26</f>
        <v>0.375</v>
      </c>
    </row>
    <row r="27" spans="2:12" ht="15">
      <c r="B27" s="273" t="s">
        <v>41</v>
      </c>
      <c r="C27" s="266">
        <f>SUM(C24:C26)</f>
        <v>150000</v>
      </c>
      <c r="D27" s="266">
        <f>SUM(D24:D26)</f>
        <v>25000</v>
      </c>
      <c r="E27" s="266">
        <f>SUM(E24:E26)</f>
        <v>12500</v>
      </c>
      <c r="F27" s="266">
        <f>SUM(F24:F26)</f>
        <v>187500</v>
      </c>
      <c r="G27" s="274"/>
      <c r="H27" s="266">
        <f>SUM(H24:H26)</f>
        <v>180300</v>
      </c>
      <c r="I27" s="251">
        <f>SUM(I24:I26)</f>
        <v>7200</v>
      </c>
      <c r="J27" s="273">
        <f>SUM(J24:J26)</f>
        <v>288480</v>
      </c>
      <c r="K27" s="266">
        <f>SUM(K24:K26)</f>
        <v>108179.99999999999</v>
      </c>
      <c r="L27" s="185">
        <f>+K27/J27</f>
        <v>0.37499999999999994</v>
      </c>
    </row>
  </sheetData>
  <sheetProtection/>
  <mergeCells count="4">
    <mergeCell ref="K16:L16"/>
    <mergeCell ref="B15:L15"/>
    <mergeCell ref="B22:L22"/>
    <mergeCell ref="K23:L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51"/>
  <sheetViews>
    <sheetView zoomScale="140" zoomScaleNormal="140" zoomScalePageLayoutView="0" workbookViewId="0" topLeftCell="A20">
      <selection activeCell="F29" sqref="F29"/>
    </sheetView>
  </sheetViews>
  <sheetFormatPr defaultColWidth="24.8515625" defaultRowHeight="15" outlineLevelRow="1"/>
  <cols>
    <col min="1" max="1" width="3.28125" style="241" customWidth="1"/>
    <col min="2" max="2" width="24.8515625" style="260" customWidth="1"/>
    <col min="3" max="3" width="8.140625" style="241" bestFit="1" customWidth="1"/>
    <col min="4" max="4" width="8.8515625" style="241" bestFit="1" customWidth="1"/>
    <col min="5" max="5" width="5.8515625" style="241" bestFit="1" customWidth="1"/>
    <col min="6" max="6" width="7.140625" style="241" bestFit="1" customWidth="1"/>
    <col min="7" max="7" width="8.8515625" style="241" bestFit="1" customWidth="1"/>
    <col min="8" max="8" width="5.8515625" style="241" bestFit="1" customWidth="1"/>
    <col min="9" max="9" width="8.8515625" style="241" bestFit="1" customWidth="1"/>
    <col min="10" max="10" width="5.8515625" style="241" bestFit="1" customWidth="1"/>
    <col min="11" max="16384" width="24.8515625" style="241" customWidth="1"/>
  </cols>
  <sheetData>
    <row r="1" ht="15"/>
    <row r="2" spans="2:3" ht="15">
      <c r="B2" s="430" t="s">
        <v>372</v>
      </c>
      <c r="C2" s="431"/>
    </row>
    <row r="3" spans="2:3" ht="15">
      <c r="B3" s="248" t="s">
        <v>373</v>
      </c>
      <c r="C3" s="249">
        <v>60000</v>
      </c>
    </row>
    <row r="4" spans="2:3" ht="15">
      <c r="B4" s="248" t="s">
        <v>374</v>
      </c>
      <c r="C4" s="249">
        <v>200000</v>
      </c>
    </row>
    <row r="5" spans="2:3" ht="15">
      <c r="B5" s="248" t="s">
        <v>375</v>
      </c>
      <c r="C5" s="249">
        <v>36250</v>
      </c>
    </row>
    <row r="6" spans="2:3" ht="15">
      <c r="B6" s="250" t="s">
        <v>41</v>
      </c>
      <c r="C6" s="251">
        <f>SUM(C3:C5)</f>
        <v>296250</v>
      </c>
    </row>
    <row r="7" ht="15"/>
    <row r="8" spans="2:10" ht="15">
      <c r="B8" s="283"/>
      <c r="C8" s="430" t="s">
        <v>368</v>
      </c>
      <c r="D8" s="432"/>
      <c r="E8" s="431"/>
      <c r="F8" s="430" t="s">
        <v>369</v>
      </c>
      <c r="G8" s="432"/>
      <c r="H8" s="431"/>
      <c r="I8" s="430" t="s">
        <v>41</v>
      </c>
      <c r="J8" s="431"/>
    </row>
    <row r="9" spans="2:10" ht="15">
      <c r="B9" s="286" t="s">
        <v>370</v>
      </c>
      <c r="C9" s="449">
        <v>2000</v>
      </c>
      <c r="D9" s="450"/>
      <c r="E9" s="451"/>
      <c r="F9" s="449">
        <v>2000</v>
      </c>
      <c r="G9" s="450"/>
      <c r="H9" s="451"/>
      <c r="I9" s="452">
        <f>SUM(C9:H9)</f>
        <v>4000</v>
      </c>
      <c r="J9" s="453"/>
    </row>
    <row r="10" spans="2:10" ht="30">
      <c r="B10" s="284" t="s">
        <v>376</v>
      </c>
      <c r="C10" s="443">
        <v>0.75</v>
      </c>
      <c r="D10" s="444"/>
      <c r="E10" s="445"/>
      <c r="F10" s="446">
        <v>1.225</v>
      </c>
      <c r="G10" s="447"/>
      <c r="H10" s="448"/>
      <c r="I10" s="454"/>
      <c r="J10" s="455"/>
    </row>
    <row r="11" spans="2:10" ht="30">
      <c r="B11" s="287" t="s">
        <v>377</v>
      </c>
      <c r="C11" s="438">
        <f>+C10*C9</f>
        <v>1500</v>
      </c>
      <c r="D11" s="439"/>
      <c r="E11" s="440"/>
      <c r="F11" s="438">
        <f>+F10*F9</f>
        <v>2450</v>
      </c>
      <c r="G11" s="439"/>
      <c r="H11" s="440"/>
      <c r="I11" s="441">
        <f>SUM(C11:H11)</f>
        <v>3950</v>
      </c>
      <c r="J11" s="442"/>
    </row>
    <row r="12" ht="15"/>
    <row r="13" spans="2:10" ht="15">
      <c r="B13" s="436" t="s">
        <v>378</v>
      </c>
      <c r="C13" s="430" t="s">
        <v>368</v>
      </c>
      <c r="D13" s="432"/>
      <c r="E13" s="431"/>
      <c r="F13" s="430" t="s">
        <v>369</v>
      </c>
      <c r="G13" s="432"/>
      <c r="H13" s="431"/>
      <c r="I13" s="430" t="s">
        <v>41</v>
      </c>
      <c r="J13" s="431"/>
    </row>
    <row r="14" spans="2:10" ht="30">
      <c r="B14" s="437"/>
      <c r="C14" s="273" t="s">
        <v>181</v>
      </c>
      <c r="D14" s="266" t="s">
        <v>182</v>
      </c>
      <c r="E14" s="251" t="s">
        <v>194</v>
      </c>
      <c r="F14" s="273" t="s">
        <v>181</v>
      </c>
      <c r="G14" s="266" t="s">
        <v>182</v>
      </c>
      <c r="H14" s="251" t="s">
        <v>194</v>
      </c>
      <c r="I14" s="273" t="s">
        <v>182</v>
      </c>
      <c r="J14" s="251" t="s">
        <v>194</v>
      </c>
    </row>
    <row r="15" spans="2:10" ht="15" hidden="1" outlineLevel="1">
      <c r="B15" s="285" t="s">
        <v>106</v>
      </c>
      <c r="C15" s="282">
        <v>190</v>
      </c>
      <c r="D15" s="260">
        <f>+C15*C$9</f>
        <v>380000</v>
      </c>
      <c r="E15" s="139">
        <f>+C15/C$15</f>
        <v>1</v>
      </c>
      <c r="F15" s="282">
        <v>260</v>
      </c>
      <c r="G15" s="260">
        <f>+F15*F$9</f>
        <v>520000</v>
      </c>
      <c r="H15" s="139">
        <f>+F15/F$15</f>
        <v>1</v>
      </c>
      <c r="I15" s="270">
        <f>+SUM(G15,D15)</f>
        <v>900000</v>
      </c>
      <c r="J15" s="139">
        <f>+I15/I$15</f>
        <v>1</v>
      </c>
    </row>
    <row r="16" spans="2:10" ht="15" hidden="1" outlineLevel="1">
      <c r="B16" s="285" t="s">
        <v>183</v>
      </c>
      <c r="C16" s="282">
        <v>-30</v>
      </c>
      <c r="D16" s="260">
        <f>+C16*C$9</f>
        <v>-60000</v>
      </c>
      <c r="E16" s="139">
        <f>+C16/C$15</f>
        <v>-0.15789473684210525</v>
      </c>
      <c r="F16" s="282">
        <v>-40</v>
      </c>
      <c r="G16" s="260">
        <f>+F16*F$9</f>
        <v>-80000</v>
      </c>
      <c r="H16" s="139">
        <f>+F16/F$15</f>
        <v>-0.15384615384615385</v>
      </c>
      <c r="I16" s="270">
        <f>+SUM(G16,D16)</f>
        <v>-140000</v>
      </c>
      <c r="J16" s="139">
        <f>+I16/I$15</f>
        <v>-0.15555555555555556</v>
      </c>
    </row>
    <row r="17" spans="2:10" ht="15" hidden="1" outlineLevel="1">
      <c r="B17" s="285" t="s">
        <v>371</v>
      </c>
      <c r="C17" s="282">
        <v>-12</v>
      </c>
      <c r="D17" s="260">
        <f>+C17*C$9</f>
        <v>-24000</v>
      </c>
      <c r="E17" s="139">
        <f>+C17/C$15</f>
        <v>-0.06315789473684211</v>
      </c>
      <c r="F17" s="282">
        <v>-18</v>
      </c>
      <c r="G17" s="260">
        <f>+F17*F$9</f>
        <v>-36000</v>
      </c>
      <c r="H17" s="139">
        <f>+F17/F$15</f>
        <v>-0.06923076923076923</v>
      </c>
      <c r="I17" s="270">
        <f>+SUM(G17,D17)</f>
        <v>-60000</v>
      </c>
      <c r="J17" s="139">
        <f>+I17/I$15</f>
        <v>-0.06666666666666667</v>
      </c>
    </row>
    <row r="18" spans="2:10" ht="15" hidden="1" outlineLevel="1">
      <c r="B18" s="285" t="s">
        <v>184</v>
      </c>
      <c r="C18" s="282">
        <v>-35</v>
      </c>
      <c r="D18" s="260">
        <f>+C18*C$9</f>
        <v>-70000</v>
      </c>
      <c r="E18" s="139">
        <f>+C18/C$15</f>
        <v>-0.18421052631578946</v>
      </c>
      <c r="F18" s="282">
        <v>-60</v>
      </c>
      <c r="G18" s="260">
        <f>+F18*F$9</f>
        <v>-120000</v>
      </c>
      <c r="H18" s="139">
        <f>+F18/F$15</f>
        <v>-0.23076923076923078</v>
      </c>
      <c r="I18" s="270">
        <f>+SUM(G18,D18)</f>
        <v>-190000</v>
      </c>
      <c r="J18" s="139">
        <f>+I18/I$15</f>
        <v>-0.2111111111111111</v>
      </c>
    </row>
    <row r="19" spans="2:10" ht="15" hidden="1" outlineLevel="1">
      <c r="B19" s="285" t="s">
        <v>191</v>
      </c>
      <c r="C19" s="282">
        <f>+D19/C9</f>
        <v>-56.25</v>
      </c>
      <c r="D19" s="260">
        <f>-$C$6/$I$11*C11</f>
        <v>-112500</v>
      </c>
      <c r="E19" s="139">
        <f>+C19/C$15</f>
        <v>-0.29605263157894735</v>
      </c>
      <c r="F19" s="282">
        <f>+G19/F9</f>
        <v>-91.875</v>
      </c>
      <c r="G19" s="260">
        <f>-$C$6/$I$11*F11</f>
        <v>-183750</v>
      </c>
      <c r="H19" s="139">
        <f>+F19/F$15</f>
        <v>-0.35336538461538464</v>
      </c>
      <c r="I19" s="270">
        <f>+SUM(G19,D19)</f>
        <v>-296250</v>
      </c>
      <c r="J19" s="139">
        <f>+I19/I$15</f>
        <v>-0.32916666666666666</v>
      </c>
    </row>
    <row r="20" spans="2:10" ht="15" collapsed="1">
      <c r="B20" s="288" t="s">
        <v>193</v>
      </c>
      <c r="C20" s="289">
        <f aca="true" t="shared" si="0" ref="C20:H20">SUM(C15:C19)</f>
        <v>56.75</v>
      </c>
      <c r="D20" s="290">
        <f t="shared" si="0"/>
        <v>113500</v>
      </c>
      <c r="E20" s="291">
        <f t="shared" si="0"/>
        <v>0.2986842105263158</v>
      </c>
      <c r="F20" s="289">
        <f t="shared" si="0"/>
        <v>50.125</v>
      </c>
      <c r="G20" s="290">
        <f t="shared" si="0"/>
        <v>100250</v>
      </c>
      <c r="H20" s="291">
        <f t="shared" si="0"/>
        <v>0.19278846153846158</v>
      </c>
      <c r="I20" s="292">
        <f>+SUM(G20,D20)</f>
        <v>213750</v>
      </c>
      <c r="J20" s="291">
        <f>SUM(J15:J19)</f>
        <v>0.2375</v>
      </c>
    </row>
    <row r="21" spans="2:6" ht="15">
      <c r="B21" s="252"/>
      <c r="C21" s="281"/>
      <c r="F21" s="281"/>
    </row>
    <row r="22" spans="2:10" ht="15">
      <c r="B22" s="436" t="s">
        <v>378</v>
      </c>
      <c r="C22" s="430" t="s">
        <v>368</v>
      </c>
      <c r="D22" s="432"/>
      <c r="E22" s="431"/>
      <c r="F22" s="430" t="s">
        <v>369</v>
      </c>
      <c r="G22" s="432"/>
      <c r="H22" s="431"/>
      <c r="I22" s="430" t="s">
        <v>41</v>
      </c>
      <c r="J22" s="431"/>
    </row>
    <row r="23" spans="2:10" ht="30">
      <c r="B23" s="437"/>
      <c r="C23" s="273" t="s">
        <v>181</v>
      </c>
      <c r="D23" s="266" t="s">
        <v>182</v>
      </c>
      <c r="E23" s="251" t="s">
        <v>194</v>
      </c>
      <c r="F23" s="273" t="s">
        <v>181</v>
      </c>
      <c r="G23" s="266" t="s">
        <v>182</v>
      </c>
      <c r="H23" s="251" t="s">
        <v>194</v>
      </c>
      <c r="I23" s="273" t="s">
        <v>182</v>
      </c>
      <c r="J23" s="251" t="s">
        <v>194</v>
      </c>
    </row>
    <row r="24" spans="2:10" ht="15" hidden="1" outlineLevel="1">
      <c r="B24" s="285" t="s">
        <v>106</v>
      </c>
      <c r="C24" s="282">
        <v>190</v>
      </c>
      <c r="D24" s="260">
        <f>+C24*C$9</f>
        <v>380000</v>
      </c>
      <c r="E24" s="139">
        <f>+C24/C$15</f>
        <v>1</v>
      </c>
      <c r="F24" s="282">
        <v>260</v>
      </c>
      <c r="G24" s="260">
        <f>+F24*F$9</f>
        <v>520000</v>
      </c>
      <c r="H24" s="139">
        <f>+F24/F$15</f>
        <v>1</v>
      </c>
      <c r="I24" s="270">
        <f>+SUM(G24,D24)</f>
        <v>900000</v>
      </c>
      <c r="J24" s="139">
        <f>+I24/I$15</f>
        <v>1</v>
      </c>
    </row>
    <row r="25" spans="2:10" ht="15" hidden="1" outlineLevel="1">
      <c r="B25" s="285" t="s">
        <v>183</v>
      </c>
      <c r="C25" s="282">
        <v>-30</v>
      </c>
      <c r="D25" s="260">
        <f>+C25*C$9</f>
        <v>-60000</v>
      </c>
      <c r="E25" s="139">
        <f>+C25/C$15</f>
        <v>-0.15789473684210525</v>
      </c>
      <c r="F25" s="282">
        <v>-40</v>
      </c>
      <c r="G25" s="260">
        <f>+F25*F$9</f>
        <v>-80000</v>
      </c>
      <c r="H25" s="139">
        <f>+F25/F$15</f>
        <v>-0.15384615384615385</v>
      </c>
      <c r="I25" s="270">
        <f>+SUM(G25,D25)</f>
        <v>-140000</v>
      </c>
      <c r="J25" s="139">
        <f>+I25/I$15</f>
        <v>-0.15555555555555556</v>
      </c>
    </row>
    <row r="26" spans="2:10" ht="15" hidden="1" outlineLevel="1">
      <c r="B26" s="285" t="s">
        <v>371</v>
      </c>
      <c r="C26" s="282">
        <v>-12</v>
      </c>
      <c r="D26" s="260">
        <f>+C26*C$9</f>
        <v>-24000</v>
      </c>
      <c r="E26" s="139">
        <f>+C26/C$15</f>
        <v>-0.06315789473684211</v>
      </c>
      <c r="F26" s="282">
        <v>-18</v>
      </c>
      <c r="G26" s="260">
        <f>+F26*F$9</f>
        <v>-36000</v>
      </c>
      <c r="H26" s="139">
        <f>+F26/F$15</f>
        <v>-0.06923076923076923</v>
      </c>
      <c r="I26" s="270">
        <f>+SUM(G26,D26)</f>
        <v>-60000</v>
      </c>
      <c r="J26" s="139">
        <f>+I26/I$15</f>
        <v>-0.06666666666666667</v>
      </c>
    </row>
    <row r="27" spans="2:10" ht="15" hidden="1" outlineLevel="1">
      <c r="B27" s="285" t="s">
        <v>184</v>
      </c>
      <c r="C27" s="282">
        <v>-35</v>
      </c>
      <c r="D27" s="260">
        <f>+C27*C$9</f>
        <v>-70000</v>
      </c>
      <c r="E27" s="139">
        <f>+C27/C$15</f>
        <v>-0.18421052631578946</v>
      </c>
      <c r="F27" s="282">
        <v>-60</v>
      </c>
      <c r="G27" s="260">
        <f>+F27*F$9</f>
        <v>-120000</v>
      </c>
      <c r="H27" s="139">
        <f>+F27/F$15</f>
        <v>-0.23076923076923078</v>
      </c>
      <c r="I27" s="270">
        <f>+SUM(G27,D27)</f>
        <v>-190000</v>
      </c>
      <c r="J27" s="139">
        <f>+I27/I$15</f>
        <v>-0.2111111111111111</v>
      </c>
    </row>
    <row r="28" spans="2:10" ht="15" hidden="1" outlineLevel="1">
      <c r="B28" s="285" t="s">
        <v>191</v>
      </c>
      <c r="C28" s="282">
        <f>-$C$6/$I$9</f>
        <v>-74.0625</v>
      </c>
      <c r="D28" s="260">
        <f>+C28*C$9</f>
        <v>-148125</v>
      </c>
      <c r="E28" s="139">
        <f>+C28/C$15</f>
        <v>-0.38980263157894735</v>
      </c>
      <c r="F28" s="282">
        <f>-$C$6/$I$9</f>
        <v>-74.0625</v>
      </c>
      <c r="G28" s="260">
        <f>+F28*F$9</f>
        <v>-148125</v>
      </c>
      <c r="H28" s="139">
        <f>+F28/F$15</f>
        <v>-0.2848557692307692</v>
      </c>
      <c r="I28" s="270">
        <f>+SUM(G28,D28)</f>
        <v>-296250</v>
      </c>
      <c r="J28" s="139">
        <f>+I28/I$15</f>
        <v>-0.32916666666666666</v>
      </c>
    </row>
    <row r="29" spans="2:10" ht="15" collapsed="1">
      <c r="B29" s="288" t="s">
        <v>193</v>
      </c>
      <c r="C29" s="289">
        <f aca="true" t="shared" si="1" ref="C29:H29">SUM(C24:C28)</f>
        <v>38.9375</v>
      </c>
      <c r="D29" s="290">
        <f t="shared" si="1"/>
        <v>77875</v>
      </c>
      <c r="E29" s="291">
        <f t="shared" si="1"/>
        <v>0.20493421052631577</v>
      </c>
      <c r="F29" s="289">
        <f t="shared" si="1"/>
        <v>67.9375</v>
      </c>
      <c r="G29" s="290">
        <f t="shared" si="1"/>
        <v>135875</v>
      </c>
      <c r="H29" s="291">
        <f t="shared" si="1"/>
        <v>0.261298076923077</v>
      </c>
      <c r="I29" s="292">
        <f>+SUM(G29,D29)</f>
        <v>213750</v>
      </c>
      <c r="J29" s="291">
        <f>SUM(J24:J28)</f>
        <v>0.2375</v>
      </c>
    </row>
    <row r="30" spans="2:6" ht="15">
      <c r="B30" s="252"/>
      <c r="C30" s="281"/>
      <c r="F30" s="281"/>
    </row>
    <row r="31" spans="2:10" ht="15">
      <c r="B31" s="436" t="s">
        <v>379</v>
      </c>
      <c r="C31" s="430" t="s">
        <v>368</v>
      </c>
      <c r="D31" s="432"/>
      <c r="E31" s="431"/>
      <c r="F31" s="430" t="s">
        <v>369</v>
      </c>
      <c r="G31" s="432"/>
      <c r="H31" s="431"/>
      <c r="I31" s="430" t="s">
        <v>41</v>
      </c>
      <c r="J31" s="431"/>
    </row>
    <row r="32" spans="2:10" ht="30">
      <c r="B32" s="437"/>
      <c r="C32" s="273" t="s">
        <v>181</v>
      </c>
      <c r="D32" s="266" t="s">
        <v>182</v>
      </c>
      <c r="E32" s="251" t="s">
        <v>194</v>
      </c>
      <c r="F32" s="273" t="s">
        <v>181</v>
      </c>
      <c r="G32" s="266" t="s">
        <v>182</v>
      </c>
      <c r="H32" s="251" t="s">
        <v>194</v>
      </c>
      <c r="I32" s="273" t="s">
        <v>182</v>
      </c>
      <c r="J32" s="251" t="s">
        <v>194</v>
      </c>
    </row>
    <row r="33" spans="2:10" ht="15" outlineLevel="1">
      <c r="B33" s="285" t="s">
        <v>106</v>
      </c>
      <c r="C33" s="282">
        <v>190</v>
      </c>
      <c r="D33" s="260">
        <f>+C33*C$9</f>
        <v>380000</v>
      </c>
      <c r="E33" s="139">
        <f>+C33/C$15</f>
        <v>1</v>
      </c>
      <c r="F33" s="282">
        <v>260</v>
      </c>
      <c r="G33" s="260">
        <f>+F33*F$9</f>
        <v>520000</v>
      </c>
      <c r="H33" s="139">
        <f>+F33/F$15</f>
        <v>1</v>
      </c>
      <c r="I33" s="270">
        <f>+SUM(G33,D33)</f>
        <v>900000</v>
      </c>
      <c r="J33" s="139">
        <f>+I33/I$15</f>
        <v>1</v>
      </c>
    </row>
    <row r="34" spans="2:10" ht="15" outlineLevel="1">
      <c r="B34" s="285" t="s">
        <v>183</v>
      </c>
      <c r="C34" s="282">
        <v>-30</v>
      </c>
      <c r="D34" s="260">
        <f>+C34*C$9</f>
        <v>-60000</v>
      </c>
      <c r="E34" s="139">
        <f>+C34/C$15</f>
        <v>-0.15789473684210525</v>
      </c>
      <c r="F34" s="282">
        <v>-40</v>
      </c>
      <c r="G34" s="260">
        <f>+F34*F$9</f>
        <v>-80000</v>
      </c>
      <c r="H34" s="139">
        <f>+F34/F$15</f>
        <v>-0.15384615384615385</v>
      </c>
      <c r="I34" s="270">
        <f>+SUM(G34,D34)</f>
        <v>-140000</v>
      </c>
      <c r="J34" s="139">
        <f>+I34/I$15</f>
        <v>-0.15555555555555556</v>
      </c>
    </row>
    <row r="35" spans="2:10" ht="15" outlineLevel="1">
      <c r="B35" s="285" t="s">
        <v>371</v>
      </c>
      <c r="C35" s="282">
        <v>-12</v>
      </c>
      <c r="D35" s="260">
        <f>+C35*C$9</f>
        <v>-24000</v>
      </c>
      <c r="E35" s="139">
        <f>+C35/C$15</f>
        <v>-0.06315789473684211</v>
      </c>
      <c r="F35" s="282">
        <v>-18</v>
      </c>
      <c r="G35" s="260">
        <f>+F35*F$9</f>
        <v>-36000</v>
      </c>
      <c r="H35" s="139">
        <f>+F35/F$15</f>
        <v>-0.06923076923076923</v>
      </c>
      <c r="I35" s="270">
        <f>+SUM(G35,D35)</f>
        <v>-60000</v>
      </c>
      <c r="J35" s="139">
        <f>+I35/I$15</f>
        <v>-0.06666666666666667</v>
      </c>
    </row>
    <row r="36" spans="2:10" ht="15" outlineLevel="1">
      <c r="B36" s="285" t="s">
        <v>184</v>
      </c>
      <c r="C36" s="282">
        <v>-35</v>
      </c>
      <c r="D36" s="260">
        <f>+C36*C$9</f>
        <v>-70000</v>
      </c>
      <c r="E36" s="139">
        <f>+C36/C$15</f>
        <v>-0.18421052631578946</v>
      </c>
      <c r="F36" s="282">
        <v>-60</v>
      </c>
      <c r="G36" s="260">
        <f>+F36*F$9</f>
        <v>-120000</v>
      </c>
      <c r="H36" s="139">
        <f>+F36/F$15</f>
        <v>-0.23076923076923078</v>
      </c>
      <c r="I36" s="270">
        <f>+SUM(G36,D36)</f>
        <v>-190000</v>
      </c>
      <c r="J36" s="139">
        <f>+I36/I$15</f>
        <v>-0.2111111111111111</v>
      </c>
    </row>
    <row r="37" spans="2:10" ht="15">
      <c r="B37" s="293" t="s">
        <v>380</v>
      </c>
      <c r="C37" s="294">
        <f aca="true" t="shared" si="2" ref="C37:J37">SUM(C33:C36)</f>
        <v>113</v>
      </c>
      <c r="D37" s="264">
        <f t="shared" si="2"/>
        <v>226000</v>
      </c>
      <c r="E37" s="295">
        <f t="shared" si="2"/>
        <v>0.5947368421052631</v>
      </c>
      <c r="F37" s="294">
        <f t="shared" si="2"/>
        <v>142</v>
      </c>
      <c r="G37" s="264">
        <f t="shared" si="2"/>
        <v>284000</v>
      </c>
      <c r="H37" s="295">
        <f t="shared" si="2"/>
        <v>0.5461538461538462</v>
      </c>
      <c r="I37" s="264">
        <f t="shared" si="2"/>
        <v>510000</v>
      </c>
      <c r="J37" s="295">
        <f t="shared" si="2"/>
        <v>0.5666666666666667</v>
      </c>
    </row>
    <row r="38" spans="2:10" ht="15">
      <c r="B38" s="253" t="s">
        <v>191</v>
      </c>
      <c r="C38" s="296"/>
      <c r="D38" s="297"/>
      <c r="E38" s="298"/>
      <c r="F38" s="296"/>
      <c r="G38" s="297"/>
      <c r="H38" s="298"/>
      <c r="I38" s="277">
        <f>-C6</f>
        <v>-296250</v>
      </c>
      <c r="J38" s="299">
        <f>+I38/I$15</f>
        <v>-0.32916666666666666</v>
      </c>
    </row>
    <row r="39" spans="2:10" ht="15">
      <c r="B39" s="300" t="s">
        <v>193</v>
      </c>
      <c r="C39" s="301"/>
      <c r="D39" s="290"/>
      <c r="E39" s="302"/>
      <c r="F39" s="301"/>
      <c r="G39" s="290"/>
      <c r="H39" s="302"/>
      <c r="I39" s="290">
        <f>+SUM(I37:I38)</f>
        <v>213750</v>
      </c>
      <c r="J39" s="291">
        <f>+SUM(J37:J38)</f>
        <v>0.2375</v>
      </c>
    </row>
    <row r="40" spans="3:6" ht="15">
      <c r="C40" s="281"/>
      <c r="F40" s="281"/>
    </row>
    <row r="41" ht="15">
      <c r="C41" s="281"/>
    </row>
    <row r="42" ht="15">
      <c r="C42" s="281"/>
    </row>
    <row r="43" ht="15">
      <c r="C43" s="281"/>
    </row>
    <row r="44" ht="15">
      <c r="C44" s="281"/>
    </row>
    <row r="45" ht="15">
      <c r="C45" s="281"/>
    </row>
    <row r="46" ht="15">
      <c r="C46" s="281"/>
    </row>
    <row r="47" ht="15">
      <c r="C47" s="281"/>
    </row>
    <row r="48" ht="15">
      <c r="C48" s="281"/>
    </row>
    <row r="49" ht="15">
      <c r="C49" s="281"/>
    </row>
    <row r="50" ht="15">
      <c r="C50" s="281"/>
    </row>
    <row r="51" ht="15">
      <c r="C51" s="281"/>
    </row>
  </sheetData>
  <sheetProtection/>
  <mergeCells count="25">
    <mergeCell ref="B2:C2"/>
    <mergeCell ref="C8:E8"/>
    <mergeCell ref="F8:H8"/>
    <mergeCell ref="I8:J8"/>
    <mergeCell ref="C10:E10"/>
    <mergeCell ref="F10:H10"/>
    <mergeCell ref="C9:E9"/>
    <mergeCell ref="F9:H9"/>
    <mergeCell ref="I9:J9"/>
    <mergeCell ref="I10:J10"/>
    <mergeCell ref="B31:B32"/>
    <mergeCell ref="C31:E31"/>
    <mergeCell ref="F31:H31"/>
    <mergeCell ref="I31:J31"/>
    <mergeCell ref="C11:E11"/>
    <mergeCell ref="F11:H11"/>
    <mergeCell ref="I11:J11"/>
    <mergeCell ref="B13:B14"/>
    <mergeCell ref="B22:B23"/>
    <mergeCell ref="C22:E22"/>
    <mergeCell ref="F22:H22"/>
    <mergeCell ref="I22:J22"/>
    <mergeCell ref="C13:E13"/>
    <mergeCell ref="F13:H13"/>
    <mergeCell ref="I13:J1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3"/>
  <sheetViews>
    <sheetView zoomScale="140" zoomScaleNormal="140" zoomScalePageLayoutView="0" workbookViewId="0" topLeftCell="A1">
      <selection activeCell="B13" sqref="B13"/>
    </sheetView>
  </sheetViews>
  <sheetFormatPr defaultColWidth="24.8515625" defaultRowHeight="15"/>
  <cols>
    <col min="1" max="1" width="3.28125" style="241" customWidth="1"/>
    <col min="2" max="2" width="37.421875" style="260" customWidth="1"/>
    <col min="3" max="6" width="11.140625" style="241" customWidth="1"/>
    <col min="7" max="16384" width="24.8515625" style="241" customWidth="1"/>
  </cols>
  <sheetData>
    <row r="2" spans="2:6" ht="15">
      <c r="B2" s="275" t="s">
        <v>388</v>
      </c>
      <c r="C2" s="277" t="s">
        <v>381</v>
      </c>
      <c r="D2" s="277" t="s">
        <v>382</v>
      </c>
      <c r="E2" s="277" t="s">
        <v>383</v>
      </c>
      <c r="F2" s="276" t="s">
        <v>41</v>
      </c>
    </row>
    <row r="3" spans="2:6" ht="15">
      <c r="B3" s="253" t="s">
        <v>385</v>
      </c>
      <c r="C3" s="297">
        <v>2000</v>
      </c>
      <c r="D3" s="297">
        <v>3000</v>
      </c>
      <c r="E3" s="297">
        <v>5000</v>
      </c>
      <c r="F3" s="276">
        <f>SUM(C3:E3)</f>
        <v>10000</v>
      </c>
    </row>
    <row r="4" spans="2:6" ht="15">
      <c r="B4" s="248" t="s">
        <v>386</v>
      </c>
      <c r="C4" s="260">
        <f>-C3*0.35</f>
        <v>-700</v>
      </c>
      <c r="D4" s="260">
        <f>-D3*0.45</f>
        <v>-1350</v>
      </c>
      <c r="E4" s="260">
        <f>-E3*0.55</f>
        <v>-2750</v>
      </c>
      <c r="F4" s="271">
        <f>SUM(C4:E4)</f>
        <v>-4800</v>
      </c>
    </row>
    <row r="5" spans="2:6" ht="15">
      <c r="B5" s="262" t="s">
        <v>387</v>
      </c>
      <c r="C5" s="274">
        <f>-6000/$F$3*C3</f>
        <v>-1200</v>
      </c>
      <c r="D5" s="274">
        <f>-6000/$F$3*D3</f>
        <v>-1800</v>
      </c>
      <c r="E5" s="274">
        <f>-6000/$F$3*E3</f>
        <v>-3000</v>
      </c>
      <c r="F5" s="251">
        <f>SUM(C5:E5)</f>
        <v>-6000</v>
      </c>
    </row>
    <row r="6" spans="2:6" ht="15">
      <c r="B6" s="250" t="s">
        <v>384</v>
      </c>
      <c r="C6" s="266">
        <f>SUM(C3:C5)</f>
        <v>100</v>
      </c>
      <c r="D6" s="266">
        <f>SUM(D3:D5)</f>
        <v>-150</v>
      </c>
      <c r="E6" s="266">
        <f>SUM(E3:E5)</f>
        <v>-750</v>
      </c>
      <c r="F6" s="251">
        <f>SUM(F3:F5)</f>
        <v>-800</v>
      </c>
    </row>
    <row r="8" spans="2:6" ht="15">
      <c r="B8" s="275" t="s">
        <v>389</v>
      </c>
      <c r="C8" s="277" t="s">
        <v>381</v>
      </c>
      <c r="D8" s="277" t="s">
        <v>382</v>
      </c>
      <c r="E8" s="277" t="s">
        <v>383</v>
      </c>
      <c r="F8" s="276" t="s">
        <v>41</v>
      </c>
    </row>
    <row r="9" spans="2:6" ht="15">
      <c r="B9" s="248" t="s">
        <v>385</v>
      </c>
      <c r="C9" s="260">
        <v>2000</v>
      </c>
      <c r="D9" s="260">
        <v>3000</v>
      </c>
      <c r="E9" s="260">
        <v>5000</v>
      </c>
      <c r="F9" s="271">
        <f>SUM(C9:E9)</f>
        <v>10000</v>
      </c>
    </row>
    <row r="10" spans="2:6" ht="15">
      <c r="B10" s="248" t="s">
        <v>386</v>
      </c>
      <c r="C10" s="260">
        <f>-C9*0.35</f>
        <v>-700</v>
      </c>
      <c r="D10" s="260">
        <f>-D9*0.45</f>
        <v>-1350</v>
      </c>
      <c r="E10" s="260">
        <f>-E9*0.55</f>
        <v>-2750</v>
      </c>
      <c r="F10" s="271">
        <f>SUM(C10:E10)</f>
        <v>-4800</v>
      </c>
    </row>
    <row r="11" spans="2:6" ht="15">
      <c r="B11" s="250" t="s">
        <v>390</v>
      </c>
      <c r="C11" s="266">
        <f>SUM(C9:C10)</f>
        <v>1300</v>
      </c>
      <c r="D11" s="266">
        <f>SUM(D9:D10)</f>
        <v>1650</v>
      </c>
      <c r="E11" s="266">
        <f>SUM(E9:E10)</f>
        <v>2250</v>
      </c>
      <c r="F11" s="251">
        <f>SUM(F9:F10)</f>
        <v>5200</v>
      </c>
    </row>
    <row r="12" spans="2:6" ht="15">
      <c r="B12" s="253" t="s">
        <v>387</v>
      </c>
      <c r="C12" s="297"/>
      <c r="D12" s="297"/>
      <c r="E12" s="297"/>
      <c r="F12" s="276">
        <f>+F5</f>
        <v>-6000</v>
      </c>
    </row>
    <row r="13" spans="2:6" ht="15">
      <c r="B13" s="250" t="s">
        <v>384</v>
      </c>
      <c r="C13" s="266"/>
      <c r="D13" s="266"/>
      <c r="E13" s="266"/>
      <c r="F13" s="251">
        <f>SUM(F11:F12)</f>
        <v>-800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25"/>
  <sheetViews>
    <sheetView zoomScale="150" zoomScaleNormal="150" zoomScalePageLayoutView="0" workbookViewId="0" topLeftCell="A11">
      <selection activeCell="B29" sqref="B29"/>
    </sheetView>
  </sheetViews>
  <sheetFormatPr defaultColWidth="24.8515625" defaultRowHeight="15"/>
  <cols>
    <col min="1" max="1" width="3.28125" style="241" customWidth="1"/>
    <col min="2" max="2" width="39.57421875" style="260" bestFit="1" customWidth="1"/>
    <col min="3" max="3" width="11.00390625" style="241" bestFit="1" customWidth="1"/>
    <col min="4" max="4" width="8.421875" style="241" bestFit="1" customWidth="1"/>
    <col min="5" max="5" width="7.57421875" style="241" bestFit="1" customWidth="1"/>
    <col min="6" max="6" width="8.140625" style="241" bestFit="1" customWidth="1"/>
    <col min="7" max="16384" width="24.8515625" style="241" customWidth="1"/>
  </cols>
  <sheetData>
    <row r="2" spans="2:4" ht="30">
      <c r="B2" s="278" t="s">
        <v>396</v>
      </c>
      <c r="C2" s="280" t="s">
        <v>391</v>
      </c>
      <c r="D2" s="279" t="s">
        <v>392</v>
      </c>
    </row>
    <row r="3" spans="2:4" ht="15">
      <c r="B3" s="248" t="s">
        <v>393</v>
      </c>
      <c r="C3" s="304">
        <v>150</v>
      </c>
      <c r="D3" s="305">
        <v>500</v>
      </c>
    </row>
    <row r="4" spans="2:4" ht="15">
      <c r="B4" s="248" t="s">
        <v>394</v>
      </c>
      <c r="C4" s="304">
        <v>50</v>
      </c>
      <c r="D4" s="305">
        <v>150</v>
      </c>
    </row>
    <row r="5" spans="2:4" ht="15">
      <c r="B5" s="262" t="s">
        <v>395</v>
      </c>
      <c r="C5" s="306">
        <v>25</v>
      </c>
      <c r="D5" s="307">
        <v>55</v>
      </c>
    </row>
    <row r="6" ht="15">
      <c r="B6" s="252"/>
    </row>
    <row r="7" spans="2:3" ht="15">
      <c r="B7" s="252"/>
      <c r="C7" s="303" t="s">
        <v>399</v>
      </c>
    </row>
    <row r="8" spans="2:3" ht="15">
      <c r="B8" s="253" t="s">
        <v>397</v>
      </c>
      <c r="C8" s="261">
        <v>9600</v>
      </c>
    </row>
    <row r="9" spans="2:3" ht="15">
      <c r="B9" s="248" t="s">
        <v>398</v>
      </c>
      <c r="C9" s="249">
        <v>4200</v>
      </c>
    </row>
    <row r="10" spans="2:3" ht="15">
      <c r="B10" s="250" t="s">
        <v>41</v>
      </c>
      <c r="C10" s="251">
        <f>SUM(C8:C9)</f>
        <v>13800</v>
      </c>
    </row>
    <row r="12" spans="2:6" ht="15">
      <c r="B12" s="436" t="s">
        <v>404</v>
      </c>
      <c r="C12" s="430" t="s">
        <v>400</v>
      </c>
      <c r="D12" s="431"/>
      <c r="E12" s="430" t="s">
        <v>403</v>
      </c>
      <c r="F12" s="431"/>
    </row>
    <row r="13" spans="2:6" ht="15">
      <c r="B13" s="462"/>
      <c r="C13" s="456" t="str">
        <f>+C2</f>
        <v>Carrinhos de chá</v>
      </c>
      <c r="D13" s="457"/>
      <c r="E13" s="456" t="str">
        <f>+D2</f>
        <v>Estantes</v>
      </c>
      <c r="F13" s="457"/>
    </row>
    <row r="14" spans="2:6" ht="15">
      <c r="B14" s="284" t="s">
        <v>401</v>
      </c>
      <c r="C14" s="458">
        <v>200</v>
      </c>
      <c r="D14" s="459"/>
      <c r="E14" s="458">
        <v>110</v>
      </c>
      <c r="F14" s="459"/>
    </row>
    <row r="15" spans="2:6" ht="15">
      <c r="B15" s="284" t="s">
        <v>402</v>
      </c>
      <c r="C15" s="460">
        <v>3</v>
      </c>
      <c r="D15" s="461"/>
      <c r="E15" s="460">
        <v>4</v>
      </c>
      <c r="F15" s="461"/>
    </row>
    <row r="16" spans="2:6" ht="15">
      <c r="B16" s="309"/>
      <c r="C16" s="270" t="s">
        <v>63</v>
      </c>
      <c r="D16" s="271" t="s">
        <v>64</v>
      </c>
      <c r="E16" s="270" t="s">
        <v>63</v>
      </c>
      <c r="F16" s="271" t="s">
        <v>64</v>
      </c>
    </row>
    <row r="17" spans="2:6" ht="15">
      <c r="B17" s="311" t="s">
        <v>106</v>
      </c>
      <c r="C17" s="310">
        <v>550</v>
      </c>
      <c r="D17" s="261">
        <f>+C17*$C$14</f>
        <v>110000</v>
      </c>
      <c r="E17" s="310">
        <v>1400</v>
      </c>
      <c r="F17" s="261">
        <f>+E17*$E$14</f>
        <v>154000</v>
      </c>
    </row>
    <row r="18" spans="2:6" ht="15">
      <c r="B18" s="312" t="s">
        <v>405</v>
      </c>
      <c r="C18" s="308"/>
      <c r="D18" s="249"/>
      <c r="E18" s="308"/>
      <c r="F18" s="249"/>
    </row>
    <row r="19" spans="2:6" ht="15">
      <c r="B19" s="315" t="str">
        <f>+B3</f>
        <v>Materiais diretos</v>
      </c>
      <c r="C19" s="313">
        <f>-C3</f>
        <v>-150</v>
      </c>
      <c r="D19" s="314">
        <f>+C19*$C$14</f>
        <v>-30000</v>
      </c>
      <c r="E19" s="313">
        <f>-D3</f>
        <v>-500</v>
      </c>
      <c r="F19" s="314">
        <f>+E19*$E$14</f>
        <v>-55000</v>
      </c>
    </row>
    <row r="20" spans="2:6" ht="15">
      <c r="B20" s="315" t="str">
        <f>+B4</f>
        <v>Comissões de vendas</v>
      </c>
      <c r="C20" s="313">
        <f>-C4</f>
        <v>-50</v>
      </c>
      <c r="D20" s="314">
        <f>+C20*$C$14</f>
        <v>-10000</v>
      </c>
      <c r="E20" s="313">
        <f>-D4</f>
        <v>-150</v>
      </c>
      <c r="F20" s="314">
        <f>+E20*$E$14</f>
        <v>-16500</v>
      </c>
    </row>
    <row r="21" spans="2:6" ht="15">
      <c r="B21" s="315" t="str">
        <f>+B5</f>
        <v>Frete</v>
      </c>
      <c r="C21" s="313">
        <f>-C5</f>
        <v>-25</v>
      </c>
      <c r="D21" s="314">
        <f>+C21*$C$14</f>
        <v>-5000</v>
      </c>
      <c r="E21" s="313">
        <f>-D5</f>
        <v>-55</v>
      </c>
      <c r="F21" s="314">
        <f>+E21*$E$14</f>
        <v>-6050</v>
      </c>
    </row>
    <row r="22" spans="2:6" ht="15">
      <c r="B22" s="288" t="s">
        <v>406</v>
      </c>
      <c r="C22" s="317">
        <f>SUM(C17:C21)</f>
        <v>325</v>
      </c>
      <c r="D22" s="318">
        <f>SUM(D17:D21)</f>
        <v>65000</v>
      </c>
      <c r="E22" s="317">
        <f>SUM(E17:E21)</f>
        <v>695</v>
      </c>
      <c r="F22" s="318">
        <f>SUM(F17:F21)</f>
        <v>76450</v>
      </c>
    </row>
    <row r="23" spans="2:6" ht="15" hidden="1">
      <c r="B23" s="248" t="s">
        <v>409</v>
      </c>
      <c r="C23" s="316"/>
      <c r="D23" s="261">
        <f>-C10*C15</f>
        <v>-41400</v>
      </c>
      <c r="E23" s="260"/>
      <c r="F23" s="249">
        <f>-C10*E15</f>
        <v>-55200</v>
      </c>
    </row>
    <row r="24" spans="2:6" ht="15" hidden="1">
      <c r="B24" s="248" t="s">
        <v>408</v>
      </c>
      <c r="C24" s="267"/>
      <c r="D24" s="249">
        <f>-C10</f>
        <v>-13800</v>
      </c>
      <c r="E24" s="260"/>
      <c r="F24" s="249">
        <v>0</v>
      </c>
    </row>
    <row r="25" spans="2:6" ht="15" hidden="1">
      <c r="B25" s="250" t="s">
        <v>407</v>
      </c>
      <c r="C25" s="273"/>
      <c r="D25" s="251">
        <f>+SUM(D22:D24)</f>
        <v>9800</v>
      </c>
      <c r="E25" s="266"/>
      <c r="F25" s="251">
        <f>+SUM(F22:F24)</f>
        <v>21250</v>
      </c>
    </row>
    <row r="26" ht="15" hidden="1"/>
  </sheetData>
  <sheetProtection/>
  <mergeCells count="9">
    <mergeCell ref="E12:F12"/>
    <mergeCell ref="E13:F13"/>
    <mergeCell ref="E14:F14"/>
    <mergeCell ref="E15:F15"/>
    <mergeCell ref="B12:B13"/>
    <mergeCell ref="C12:D12"/>
    <mergeCell ref="C13:D13"/>
    <mergeCell ref="C14:D14"/>
    <mergeCell ref="C15:D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40"/>
  <sheetViews>
    <sheetView zoomScale="120" zoomScaleNormal="120" zoomScalePageLayoutView="0" workbookViewId="0" topLeftCell="A1">
      <selection activeCell="C30" sqref="C30"/>
    </sheetView>
  </sheetViews>
  <sheetFormatPr defaultColWidth="24.8515625" defaultRowHeight="15"/>
  <cols>
    <col min="1" max="1" width="3.28125" style="241" customWidth="1"/>
    <col min="2" max="2" width="31.00390625" style="260" customWidth="1"/>
    <col min="3" max="3" width="9.8515625" style="241" customWidth="1"/>
    <col min="4" max="13" width="7.28125" style="241" customWidth="1"/>
    <col min="14" max="16384" width="24.8515625" style="241" customWidth="1"/>
  </cols>
  <sheetData>
    <row r="1" ht="15"/>
    <row r="2" spans="2:3" ht="15">
      <c r="B2" s="252"/>
      <c r="C2" s="303" t="s">
        <v>410</v>
      </c>
    </row>
    <row r="3" spans="2:3" ht="15">
      <c r="B3" s="253" t="s">
        <v>192</v>
      </c>
      <c r="C3" s="321">
        <v>35</v>
      </c>
    </row>
    <row r="4" spans="2:3" ht="15">
      <c r="B4" s="248" t="s">
        <v>411</v>
      </c>
      <c r="C4" s="305">
        <v>-15</v>
      </c>
    </row>
    <row r="5" spans="2:3" ht="15">
      <c r="B5" s="250" t="s">
        <v>380</v>
      </c>
      <c r="C5" s="322">
        <f>SUM(C3:C4)</f>
        <v>20</v>
      </c>
    </row>
    <row r="6" ht="15">
      <c r="B6" s="252"/>
    </row>
    <row r="7" spans="2:3" ht="15">
      <c r="B7" s="323" t="s">
        <v>412</v>
      </c>
      <c r="C7" s="324">
        <v>120000</v>
      </c>
    </row>
    <row r="8" spans="2:3" ht="15">
      <c r="B8" s="253" t="s">
        <v>413</v>
      </c>
      <c r="C8" s="261">
        <v>60000</v>
      </c>
    </row>
    <row r="9" spans="2:3" ht="15">
      <c r="B9" s="248" t="s">
        <v>414</v>
      </c>
      <c r="C9" s="249">
        <v>60000</v>
      </c>
    </row>
    <row r="10" spans="2:3" ht="15">
      <c r="B10" s="250" t="s">
        <v>41</v>
      </c>
      <c r="C10" s="251">
        <f>+SUM(C8:C9)</f>
        <v>120000</v>
      </c>
    </row>
    <row r="11" ht="15"/>
    <row r="12" spans="2:3" ht="15">
      <c r="B12" s="430" t="s">
        <v>416</v>
      </c>
      <c r="C12" s="431"/>
    </row>
    <row r="13" spans="2:3" ht="15">
      <c r="B13" s="248" t="s">
        <v>417</v>
      </c>
      <c r="C13" s="249">
        <v>23000</v>
      </c>
    </row>
    <row r="14" spans="2:3" ht="15">
      <c r="B14" s="248" t="s">
        <v>374</v>
      </c>
      <c r="C14" s="249">
        <v>1000</v>
      </c>
    </row>
    <row r="15" spans="2:3" ht="15">
      <c r="B15" s="250" t="s">
        <v>41</v>
      </c>
      <c r="C15" s="251">
        <f>SUM(C13:C14)</f>
        <v>24000</v>
      </c>
    </row>
    <row r="16" ht="15"/>
    <row r="17" spans="2:3" ht="15">
      <c r="B17" s="430" t="s">
        <v>415</v>
      </c>
      <c r="C17" s="431"/>
    </row>
    <row r="18" spans="2:4" ht="15">
      <c r="B18" s="316" t="str">
        <f>+B8</f>
        <v>Terceiros</v>
      </c>
      <c r="C18" s="261">
        <v>720</v>
      </c>
      <c r="D18" s="325">
        <f>+C18/C8</f>
        <v>0.012</v>
      </c>
    </row>
    <row r="19" spans="2:4" ht="15">
      <c r="B19" s="267" t="str">
        <f>+B9</f>
        <v>Sócios</v>
      </c>
      <c r="C19" s="249">
        <v>1080</v>
      </c>
      <c r="D19" s="325">
        <f>+C19/C9</f>
        <v>0.018</v>
      </c>
    </row>
    <row r="20" spans="2:3" ht="15">
      <c r="B20" s="273" t="str">
        <f>+B10</f>
        <v>TOTAL</v>
      </c>
      <c r="C20" s="251">
        <f>+SUM(C18:C19)</f>
        <v>1800</v>
      </c>
    </row>
    <row r="21" spans="2:3" ht="15">
      <c r="B21" s="264"/>
      <c r="C21" s="264"/>
    </row>
    <row r="22" spans="2:3" ht="15">
      <c r="B22" s="328" t="s">
        <v>421</v>
      </c>
      <c r="C22" s="329">
        <v>8200</v>
      </c>
    </row>
    <row r="23" ht="15"/>
    <row r="24" spans="2:3" ht="15">
      <c r="B24" s="326" t="s">
        <v>418</v>
      </c>
      <c r="C24" s="327">
        <f>+C15/C5</f>
        <v>1200</v>
      </c>
    </row>
    <row r="25" ht="15"/>
    <row r="26" spans="2:3" ht="15">
      <c r="B26" s="326" t="s">
        <v>419</v>
      </c>
      <c r="C26" s="327">
        <f>+C20/C5+C24</f>
        <v>1290</v>
      </c>
    </row>
    <row r="27" ht="15"/>
    <row r="28" spans="2:3" ht="15">
      <c r="B28" s="326" t="s">
        <v>420</v>
      </c>
      <c r="C28" s="327">
        <f>+(C15-C14)/C5</f>
        <v>1150</v>
      </c>
    </row>
    <row r="29" ht="15"/>
    <row r="30" spans="2:3" ht="15">
      <c r="B30" s="326" t="s">
        <v>422</v>
      </c>
      <c r="C30" s="327">
        <f>+(C22+C15-C14)/C5</f>
        <v>1560</v>
      </c>
    </row>
    <row r="31" ht="15"/>
    <row r="32" spans="2:3" ht="15">
      <c r="B32" s="330" t="s">
        <v>423</v>
      </c>
      <c r="C32" s="331">
        <v>1500</v>
      </c>
    </row>
    <row r="33" ht="15"/>
    <row r="34" spans="2:3" ht="15">
      <c r="B34" s="332" t="s">
        <v>424</v>
      </c>
      <c r="C34" s="333">
        <f>+(C32-C24)*C5</f>
        <v>6000</v>
      </c>
    </row>
    <row r="35" ht="15"/>
    <row r="36" spans="2:3" ht="30">
      <c r="B36" s="332" t="s">
        <v>425</v>
      </c>
      <c r="C36" s="333">
        <f>+(C32-C26)*C5</f>
        <v>4200</v>
      </c>
    </row>
    <row r="38" spans="2:3" ht="15">
      <c r="B38" s="332" t="s">
        <v>426</v>
      </c>
      <c r="C38" s="333">
        <f>+(C32-C28)*C5</f>
        <v>7000</v>
      </c>
    </row>
    <row r="40" spans="2:3" ht="15">
      <c r="B40" s="332" t="s">
        <v>427</v>
      </c>
      <c r="C40" s="333">
        <f>+(C32-C30)*C5</f>
        <v>-1200</v>
      </c>
    </row>
  </sheetData>
  <sheetProtection/>
  <mergeCells count="2">
    <mergeCell ref="B17:C17"/>
    <mergeCell ref="B12:C1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54"/>
  <sheetViews>
    <sheetView zoomScale="120" zoomScaleNormal="120" zoomScalePageLayoutView="0" workbookViewId="0" topLeftCell="A1">
      <selection activeCell="K42" sqref="K42:K44"/>
    </sheetView>
  </sheetViews>
  <sheetFormatPr defaultColWidth="24.8515625" defaultRowHeight="15"/>
  <cols>
    <col min="1" max="1" width="3.28125" style="241" customWidth="1"/>
    <col min="2" max="2" width="37.28125" style="260" customWidth="1"/>
    <col min="3" max="3" width="9.8515625" style="241" customWidth="1"/>
    <col min="4" max="4" width="8.8515625" style="241" bestFit="1" customWidth="1"/>
    <col min="5" max="6" width="7.28125" style="241" customWidth="1"/>
    <col min="7" max="7" width="8.140625" style="241" bestFit="1" customWidth="1"/>
    <col min="8" max="13" width="7.28125" style="241" customWidth="1"/>
    <col min="14" max="16384" width="24.8515625" style="241" customWidth="1"/>
  </cols>
  <sheetData>
    <row r="1" ht="15"/>
    <row r="2" ht="15">
      <c r="C2" s="303" t="s">
        <v>428</v>
      </c>
    </row>
    <row r="3" spans="2:3" ht="15">
      <c r="B3" s="337" t="s">
        <v>429</v>
      </c>
      <c r="C3" s="338">
        <v>500</v>
      </c>
    </row>
    <row r="4" spans="2:3" ht="15">
      <c r="B4" s="248" t="s">
        <v>430</v>
      </c>
      <c r="C4" s="305">
        <f>-C3*10%</f>
        <v>-50</v>
      </c>
    </row>
    <row r="5" spans="2:3" ht="15">
      <c r="B5" s="339" t="s">
        <v>431</v>
      </c>
      <c r="C5" s="340">
        <f>SUM(C3:C4)</f>
        <v>450</v>
      </c>
    </row>
    <row r="6" spans="2:3" ht="15">
      <c r="B6" s="341" t="s">
        <v>433</v>
      </c>
      <c r="C6" s="342">
        <f>-C5*20%</f>
        <v>-90</v>
      </c>
    </row>
    <row r="7" spans="2:4" ht="15">
      <c r="B7" s="248" t="s">
        <v>405</v>
      </c>
      <c r="C7" s="305">
        <v>-210</v>
      </c>
      <c r="D7" s="241">
        <f>+SUM(C4,C6,C7)</f>
        <v>-350</v>
      </c>
    </row>
    <row r="8" spans="2:3" ht="15">
      <c r="B8" s="250" t="s">
        <v>432</v>
      </c>
      <c r="C8" s="322">
        <f>SUM(C5:C7)</f>
        <v>150</v>
      </c>
    </row>
    <row r="9" ht="15">
      <c r="C9" s="336"/>
    </row>
    <row r="10" spans="2:3" ht="15">
      <c r="B10" s="323" t="s">
        <v>412</v>
      </c>
      <c r="C10" s="324">
        <v>900000</v>
      </c>
    </row>
    <row r="11" ht="15"/>
    <row r="12" ht="15">
      <c r="C12" s="303" t="s">
        <v>434</v>
      </c>
    </row>
    <row r="13" spans="2:3" ht="30">
      <c r="B13" s="253" t="s">
        <v>437</v>
      </c>
      <c r="C13" s="261">
        <v>75000</v>
      </c>
    </row>
    <row r="14" spans="2:3" ht="15">
      <c r="B14" s="248" t="s">
        <v>435</v>
      </c>
      <c r="C14" s="249">
        <v>6000</v>
      </c>
    </row>
    <row r="15" spans="2:3" ht="15">
      <c r="B15" s="248" t="s">
        <v>436</v>
      </c>
      <c r="C15" s="249">
        <f>+C10*15%/12</f>
        <v>11250</v>
      </c>
    </row>
    <row r="16" spans="2:3" ht="15">
      <c r="B16" s="262" t="s">
        <v>459</v>
      </c>
      <c r="C16" s="263">
        <v>24000</v>
      </c>
    </row>
    <row r="17" ht="15">
      <c r="B17" s="252"/>
    </row>
    <row r="18" spans="2:4" ht="15">
      <c r="B18" s="430" t="s">
        <v>440</v>
      </c>
      <c r="C18" s="432"/>
      <c r="D18" s="431"/>
    </row>
    <row r="19" spans="2:4" ht="15">
      <c r="B19" s="244" t="s">
        <v>439</v>
      </c>
      <c r="C19" s="463">
        <v>650</v>
      </c>
      <c r="D19" s="459"/>
    </row>
    <row r="20" spans="2:4" ht="15">
      <c r="B20" s="267"/>
      <c r="C20" s="264" t="s">
        <v>438</v>
      </c>
      <c r="D20" s="320" t="s">
        <v>182</v>
      </c>
    </row>
    <row r="21" spans="2:4" ht="15">
      <c r="B21" s="337" t="s">
        <v>441</v>
      </c>
      <c r="C21" s="346">
        <f>+C3</f>
        <v>500</v>
      </c>
      <c r="D21" s="319">
        <f>+C21*$C$19</f>
        <v>325000</v>
      </c>
    </row>
    <row r="22" spans="2:4" ht="15">
      <c r="B22" s="248" t="s">
        <v>430</v>
      </c>
      <c r="C22" s="304">
        <f>-C21*10%</f>
        <v>-50</v>
      </c>
      <c r="D22" s="249">
        <f>+C22*$C$19</f>
        <v>-32500</v>
      </c>
    </row>
    <row r="23" spans="2:4" ht="15">
      <c r="B23" s="339" t="s">
        <v>442</v>
      </c>
      <c r="C23" s="344">
        <f>SUM(C21:C22)</f>
        <v>450</v>
      </c>
      <c r="D23" s="320">
        <f>+SUM(D21:D22)</f>
        <v>292500</v>
      </c>
    </row>
    <row r="24" spans="2:4" ht="15">
      <c r="B24" s="248" t="s">
        <v>433</v>
      </c>
      <c r="C24" s="304">
        <f>-C23*20%</f>
        <v>-90</v>
      </c>
      <c r="D24" s="249">
        <f>+C24*$C$19</f>
        <v>-58500</v>
      </c>
    </row>
    <row r="25" spans="2:4" ht="15">
      <c r="B25" s="248" t="s">
        <v>405</v>
      </c>
      <c r="C25" s="304">
        <f>+C7</f>
        <v>-210</v>
      </c>
      <c r="D25" s="249">
        <f>+C25*$C$19</f>
        <v>-136500</v>
      </c>
    </row>
    <row r="26" spans="2:4" ht="30">
      <c r="B26" s="250" t="s">
        <v>406</v>
      </c>
      <c r="C26" s="345">
        <f>SUM(C23:C25)</f>
        <v>150</v>
      </c>
      <c r="D26" s="251">
        <f>SUM(D23:D25)</f>
        <v>97500</v>
      </c>
    </row>
    <row r="27" spans="2:4" ht="30">
      <c r="B27" s="248" t="s">
        <v>443</v>
      </c>
      <c r="C27" s="260"/>
      <c r="D27" s="249">
        <f>-C13</f>
        <v>-75000</v>
      </c>
    </row>
    <row r="28" spans="2:4" ht="15">
      <c r="B28" s="300" t="s">
        <v>444</v>
      </c>
      <c r="C28" s="347"/>
      <c r="D28" s="318">
        <f>+SUM(D26:D27)</f>
        <v>22500</v>
      </c>
    </row>
    <row r="29" spans="2:4" ht="30">
      <c r="B29" s="248" t="s">
        <v>445</v>
      </c>
      <c r="C29" s="260"/>
      <c r="D29" s="249">
        <f>-C15</f>
        <v>-11250</v>
      </c>
    </row>
    <row r="30" spans="2:4" ht="15">
      <c r="B30" s="300" t="s">
        <v>446</v>
      </c>
      <c r="C30" s="347"/>
      <c r="D30" s="318">
        <f>+SUM(D28:D29)</f>
        <v>11250</v>
      </c>
    </row>
    <row r="31" ht="15">
      <c r="B31" s="252"/>
    </row>
    <row r="32" spans="2:4" ht="15">
      <c r="B32" s="253" t="s">
        <v>447</v>
      </c>
      <c r="C32" s="297"/>
      <c r="D32" s="261">
        <f>+D28</f>
        <v>22500</v>
      </c>
    </row>
    <row r="33" spans="2:4" ht="15">
      <c r="B33" s="248" t="s">
        <v>448</v>
      </c>
      <c r="C33" s="260"/>
      <c r="D33" s="249">
        <f>+C14</f>
        <v>6000</v>
      </c>
    </row>
    <row r="34" spans="2:4" ht="15">
      <c r="B34" s="300" t="s">
        <v>449</v>
      </c>
      <c r="C34" s="290"/>
      <c r="D34" s="318">
        <f>+SUM(D32:D33)</f>
        <v>28500</v>
      </c>
    </row>
    <row r="35" spans="2:4" ht="15">
      <c r="B35" s="248" t="s">
        <v>450</v>
      </c>
      <c r="C35" s="260"/>
      <c r="D35" s="249">
        <v>-24000</v>
      </c>
    </row>
    <row r="36" spans="2:4" ht="15">
      <c r="B36" s="300" t="s">
        <v>451</v>
      </c>
      <c r="C36" s="290"/>
      <c r="D36" s="318">
        <f>SUM(D34:D35)</f>
        <v>4500</v>
      </c>
    </row>
    <row r="37" ht="15">
      <c r="B37" s="252"/>
    </row>
    <row r="38" spans="2:3" ht="15">
      <c r="B38" s="323" t="s">
        <v>455</v>
      </c>
      <c r="C38" s="324">
        <f>+C13/C8</f>
        <v>500</v>
      </c>
    </row>
    <row r="39" ht="15">
      <c r="B39" s="252"/>
    </row>
    <row r="40" spans="2:3" ht="15">
      <c r="B40" s="323" t="s">
        <v>456</v>
      </c>
      <c r="C40" s="324">
        <f>+C15/C8+C38</f>
        <v>575</v>
      </c>
    </row>
    <row r="41" ht="15">
      <c r="B41" s="252"/>
    </row>
    <row r="42" spans="2:3" ht="15">
      <c r="B42" s="323" t="s">
        <v>457</v>
      </c>
      <c r="C42" s="324">
        <f>+(C13-C14)/C8</f>
        <v>460</v>
      </c>
    </row>
    <row r="43" spans="2:3" ht="15">
      <c r="B43" s="252"/>
      <c r="C43" s="260"/>
    </row>
    <row r="44" spans="2:3" ht="15">
      <c r="B44" s="323" t="s">
        <v>458</v>
      </c>
      <c r="C44" s="324">
        <f>+C16/C8+C42</f>
        <v>620</v>
      </c>
    </row>
    <row r="45" spans="2:3" ht="15">
      <c r="B45" s="252"/>
      <c r="C45" s="260"/>
    </row>
    <row r="46" spans="2:4" ht="15">
      <c r="B46" s="253"/>
      <c r="C46" s="359" t="s">
        <v>453</v>
      </c>
      <c r="D46" s="334" t="s">
        <v>434</v>
      </c>
    </row>
    <row r="47" spans="2:4" ht="15">
      <c r="B47" s="353" t="s">
        <v>452</v>
      </c>
      <c r="C47" s="352">
        <v>650</v>
      </c>
      <c r="D47" s="354">
        <f>+C47*C3</f>
        <v>325000</v>
      </c>
    </row>
    <row r="48" spans="2:4" ht="15">
      <c r="B48" s="355" t="s">
        <v>454</v>
      </c>
      <c r="C48" s="343">
        <f>+C47-C38</f>
        <v>150</v>
      </c>
      <c r="D48" s="357">
        <f>+C48*C8</f>
        <v>22500</v>
      </c>
    </row>
    <row r="49" spans="2:4" ht="15">
      <c r="B49" s="355" t="s">
        <v>460</v>
      </c>
      <c r="C49" s="343">
        <f>+(C47-C40)</f>
        <v>75</v>
      </c>
      <c r="D49" s="357">
        <f>+C49*C8</f>
        <v>11250</v>
      </c>
    </row>
    <row r="50" spans="2:4" ht="15">
      <c r="B50" s="355" t="s">
        <v>461</v>
      </c>
      <c r="C50" s="343">
        <f>+C47-C42</f>
        <v>190</v>
      </c>
      <c r="D50" s="357">
        <f>+C50*C8</f>
        <v>28500</v>
      </c>
    </row>
    <row r="51" spans="2:4" ht="15">
      <c r="B51" s="356" t="s">
        <v>462</v>
      </c>
      <c r="C51" s="335">
        <f>+C47-C44</f>
        <v>30</v>
      </c>
      <c r="D51" s="358">
        <f>+C51*C8</f>
        <v>4500</v>
      </c>
    </row>
    <row r="52" ht="15">
      <c r="B52" s="252"/>
    </row>
    <row r="53" ht="15">
      <c r="B53" s="252"/>
    </row>
    <row r="54" ht="15">
      <c r="B54" s="252"/>
    </row>
  </sheetData>
  <sheetProtection/>
  <mergeCells count="2">
    <mergeCell ref="B18:D18"/>
    <mergeCell ref="C19:D1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60"/>
  <sheetViews>
    <sheetView zoomScale="140" zoomScaleNormal="140" zoomScalePageLayoutView="0" workbookViewId="0" topLeftCell="A1">
      <selection activeCell="D40" sqref="D40"/>
    </sheetView>
  </sheetViews>
  <sheetFormatPr defaultColWidth="24.8515625" defaultRowHeight="15"/>
  <cols>
    <col min="1" max="1" width="3.28125" style="241" customWidth="1"/>
    <col min="2" max="2" width="37.28125" style="260" customWidth="1"/>
    <col min="3" max="3" width="9.8515625" style="241" customWidth="1"/>
    <col min="4" max="4" width="8.8515625" style="241" bestFit="1" customWidth="1"/>
    <col min="5" max="6" width="7.28125" style="241" customWidth="1"/>
    <col min="7" max="7" width="8.140625" style="241" bestFit="1" customWidth="1"/>
    <col min="8" max="13" width="7.28125" style="241" customWidth="1"/>
    <col min="14" max="16384" width="24.8515625" style="241" customWidth="1"/>
  </cols>
  <sheetData>
    <row r="1" ht="15"/>
    <row r="2" ht="15">
      <c r="C2" s="303" t="s">
        <v>428</v>
      </c>
    </row>
    <row r="3" spans="2:3" ht="15">
      <c r="B3" s="337" t="s">
        <v>429</v>
      </c>
      <c r="C3" s="338">
        <v>500</v>
      </c>
    </row>
    <row r="4" spans="2:3" ht="15">
      <c r="B4" s="248" t="s">
        <v>430</v>
      </c>
      <c r="C4" s="305">
        <f>-C3*10%</f>
        <v>-50</v>
      </c>
    </row>
    <row r="5" spans="2:3" ht="15">
      <c r="B5" s="339" t="s">
        <v>431</v>
      </c>
      <c r="C5" s="340">
        <f>SUM(C3:C4)</f>
        <v>450</v>
      </c>
    </row>
    <row r="6" spans="2:3" ht="15">
      <c r="B6" s="341" t="s">
        <v>433</v>
      </c>
      <c r="C6" s="342">
        <f>-C5*20%</f>
        <v>-90</v>
      </c>
    </row>
    <row r="7" spans="2:4" ht="15">
      <c r="B7" s="248" t="s">
        <v>405</v>
      </c>
      <c r="C7" s="305">
        <v>-210</v>
      </c>
      <c r="D7" s="241">
        <f>+SUM(C4,C6,C7)</f>
        <v>-350</v>
      </c>
    </row>
    <row r="8" spans="2:3" ht="30">
      <c r="B8" s="339" t="s">
        <v>463</v>
      </c>
      <c r="C8" s="340">
        <f>SUM(C5:C7)</f>
        <v>150</v>
      </c>
    </row>
    <row r="9" spans="2:4" ht="15">
      <c r="B9" s="248" t="s">
        <v>125</v>
      </c>
      <c r="C9" s="305">
        <f>-C8*40%</f>
        <v>-60</v>
      </c>
      <c r="D9" s="241">
        <f>+D7+C9</f>
        <v>-410</v>
      </c>
    </row>
    <row r="10" spans="2:3" ht="30">
      <c r="B10" s="250" t="s">
        <v>464</v>
      </c>
      <c r="C10" s="322">
        <f>+SUM(C8:C9)</f>
        <v>90</v>
      </c>
    </row>
    <row r="11" ht="15">
      <c r="C11" s="336"/>
    </row>
    <row r="12" spans="2:3" ht="15">
      <c r="B12" s="323" t="s">
        <v>412</v>
      </c>
      <c r="C12" s="324">
        <v>900000</v>
      </c>
    </row>
    <row r="13" ht="15"/>
    <row r="14" ht="15">
      <c r="C14" s="303" t="s">
        <v>434</v>
      </c>
    </row>
    <row r="15" spans="2:3" ht="30">
      <c r="B15" s="253" t="s">
        <v>437</v>
      </c>
      <c r="C15" s="261">
        <v>75000</v>
      </c>
    </row>
    <row r="16" spans="2:3" ht="15">
      <c r="B16" s="248" t="s">
        <v>435</v>
      </c>
      <c r="C16" s="249">
        <v>6000</v>
      </c>
    </row>
    <row r="17" spans="2:3" ht="15">
      <c r="B17" s="248" t="s">
        <v>436</v>
      </c>
      <c r="C17" s="249">
        <f>+C12*15%/12</f>
        <v>11250</v>
      </c>
    </row>
    <row r="18" spans="2:3" ht="15">
      <c r="B18" s="262" t="s">
        <v>459</v>
      </c>
      <c r="C18" s="263">
        <v>24000</v>
      </c>
    </row>
    <row r="19" ht="15">
      <c r="B19" s="252"/>
    </row>
    <row r="20" spans="2:4" ht="15">
      <c r="B20" s="430" t="s">
        <v>440</v>
      </c>
      <c r="C20" s="432"/>
      <c r="D20" s="431"/>
    </row>
    <row r="21" spans="2:4" ht="15">
      <c r="B21" s="244" t="s">
        <v>439</v>
      </c>
      <c r="C21" s="463">
        <v>650</v>
      </c>
      <c r="D21" s="459"/>
    </row>
    <row r="22" spans="2:4" ht="15">
      <c r="B22" s="267"/>
      <c r="C22" s="264" t="s">
        <v>438</v>
      </c>
      <c r="D22" s="350" t="s">
        <v>182</v>
      </c>
    </row>
    <row r="23" spans="2:4" ht="15">
      <c r="B23" s="337" t="s">
        <v>441</v>
      </c>
      <c r="C23" s="346">
        <f>+C3</f>
        <v>500</v>
      </c>
      <c r="D23" s="348">
        <f>+C23*$C$21</f>
        <v>325000</v>
      </c>
    </row>
    <row r="24" spans="2:4" ht="15">
      <c r="B24" s="248" t="s">
        <v>430</v>
      </c>
      <c r="C24" s="304">
        <f>-C23*10%</f>
        <v>-50</v>
      </c>
      <c r="D24" s="249">
        <f>+C24*$C$21</f>
        <v>-32500</v>
      </c>
    </row>
    <row r="25" spans="2:4" ht="15">
      <c r="B25" s="339" t="s">
        <v>442</v>
      </c>
      <c r="C25" s="344">
        <f>SUM(C23:C24)</f>
        <v>450</v>
      </c>
      <c r="D25" s="350">
        <f>+SUM(D23:D24)</f>
        <v>292500</v>
      </c>
    </row>
    <row r="26" spans="2:4" ht="15">
      <c r="B26" s="248" t="s">
        <v>433</v>
      </c>
      <c r="C26" s="304">
        <f>-C25*20%</f>
        <v>-90</v>
      </c>
      <c r="D26" s="249">
        <f>+C26*$C$21</f>
        <v>-58500</v>
      </c>
    </row>
    <row r="27" spans="2:4" ht="15">
      <c r="B27" s="248" t="s">
        <v>405</v>
      </c>
      <c r="C27" s="304">
        <f>+C7</f>
        <v>-210</v>
      </c>
      <c r="D27" s="249">
        <f>+C27*$C$21</f>
        <v>-136500</v>
      </c>
    </row>
    <row r="28" spans="2:4" ht="30">
      <c r="B28" s="250" t="s">
        <v>406</v>
      </c>
      <c r="C28" s="345">
        <f>SUM(C25:C27)</f>
        <v>150</v>
      </c>
      <c r="D28" s="251">
        <f>SUM(D25:D27)</f>
        <v>97500</v>
      </c>
    </row>
    <row r="29" spans="2:4" ht="30">
      <c r="B29" s="248" t="s">
        <v>443</v>
      </c>
      <c r="C29" s="260"/>
      <c r="D29" s="249">
        <f>-C15</f>
        <v>-75000</v>
      </c>
    </row>
    <row r="30" spans="2:4" ht="30">
      <c r="B30" s="300" t="s">
        <v>465</v>
      </c>
      <c r="C30" s="347"/>
      <c r="D30" s="318">
        <f>+SUM(D28:D29)</f>
        <v>22500</v>
      </c>
    </row>
    <row r="31" spans="2:4" ht="15">
      <c r="B31" s="248" t="s">
        <v>466</v>
      </c>
      <c r="C31" s="260"/>
      <c r="D31" s="249">
        <f>-D30*40%</f>
        <v>-9000</v>
      </c>
    </row>
    <row r="32" spans="2:4" ht="30">
      <c r="B32" s="300" t="s">
        <v>467</v>
      </c>
      <c r="C32" s="347"/>
      <c r="D32" s="318">
        <f>+SUM(D30:D31)</f>
        <v>13500</v>
      </c>
    </row>
    <row r="33" spans="2:4" ht="30">
      <c r="B33" s="248" t="s">
        <v>445</v>
      </c>
      <c r="C33" s="260"/>
      <c r="D33" s="249">
        <f>-C17</f>
        <v>-11250</v>
      </c>
    </row>
    <row r="34" spans="2:4" ht="15">
      <c r="B34" s="300" t="s">
        <v>446</v>
      </c>
      <c r="C34" s="347"/>
      <c r="D34" s="318">
        <f>SUM(D32:D33)</f>
        <v>2250</v>
      </c>
    </row>
    <row r="35" ht="15">
      <c r="B35" s="252"/>
    </row>
    <row r="36" spans="2:4" ht="15">
      <c r="B36" s="253" t="s">
        <v>447</v>
      </c>
      <c r="C36" s="297"/>
      <c r="D36" s="261">
        <f>+D32</f>
        <v>13500</v>
      </c>
    </row>
    <row r="37" spans="2:4" ht="15">
      <c r="B37" s="248" t="s">
        <v>448</v>
      </c>
      <c r="C37" s="260"/>
      <c r="D37" s="249">
        <f>+C16</f>
        <v>6000</v>
      </c>
    </row>
    <row r="38" spans="2:4" ht="15">
      <c r="B38" s="300" t="s">
        <v>449</v>
      </c>
      <c r="C38" s="290"/>
      <c r="D38" s="318">
        <f>+SUM(D36:D37)</f>
        <v>19500</v>
      </c>
    </row>
    <row r="39" spans="2:4" ht="15">
      <c r="B39" s="248" t="s">
        <v>450</v>
      </c>
      <c r="C39" s="260"/>
      <c r="D39" s="249">
        <v>-24000</v>
      </c>
    </row>
    <row r="40" spans="2:4" ht="15">
      <c r="B40" s="300" t="s">
        <v>451</v>
      </c>
      <c r="C40" s="290"/>
      <c r="D40" s="318">
        <f>SUM(D38:D39)</f>
        <v>-4500</v>
      </c>
    </row>
    <row r="41" ht="15">
      <c r="B41" s="252"/>
    </row>
    <row r="42" spans="2:3" ht="15">
      <c r="B42" s="323" t="s">
        <v>455</v>
      </c>
      <c r="C42" s="324">
        <f>+C15/C8</f>
        <v>500</v>
      </c>
    </row>
    <row r="43" ht="15">
      <c r="B43" s="252"/>
    </row>
    <row r="44" spans="2:3" ht="15">
      <c r="B44" s="323" t="s">
        <v>456</v>
      </c>
      <c r="C44" s="324">
        <f>+C17/90+C42</f>
        <v>625</v>
      </c>
    </row>
    <row r="45" ht="15">
      <c r="B45" s="252"/>
    </row>
    <row r="46" spans="2:3" ht="15">
      <c r="B46" s="323" t="s">
        <v>457</v>
      </c>
      <c r="C46" s="324">
        <f>+(C15-C16)/C8</f>
        <v>460</v>
      </c>
    </row>
    <row r="47" spans="2:3" ht="15">
      <c r="B47" s="252"/>
      <c r="C47" s="260"/>
    </row>
    <row r="48" spans="2:3" ht="15">
      <c r="B48" s="323" t="s">
        <v>458</v>
      </c>
      <c r="C48" s="324">
        <f>+(C18-C16)/C10+C42</f>
        <v>700</v>
      </c>
    </row>
    <row r="49" spans="2:3" ht="15">
      <c r="B49" s="252"/>
      <c r="C49" s="260"/>
    </row>
    <row r="50" spans="2:4" ht="15">
      <c r="B50" s="253"/>
      <c r="C50" s="359" t="s">
        <v>453</v>
      </c>
      <c r="D50" s="348" t="s">
        <v>434</v>
      </c>
    </row>
    <row r="51" spans="2:4" ht="15">
      <c r="B51" s="353" t="s">
        <v>452</v>
      </c>
      <c r="C51" s="352">
        <v>650</v>
      </c>
      <c r="D51" s="354">
        <f>+C51*C3</f>
        <v>325000</v>
      </c>
    </row>
    <row r="52" spans="2:4" ht="15">
      <c r="B52" s="355" t="s">
        <v>454</v>
      </c>
      <c r="C52" s="351">
        <f>+C51-C42</f>
        <v>150</v>
      </c>
      <c r="D52" s="357">
        <f>+C52*C10</f>
        <v>13500</v>
      </c>
    </row>
    <row r="53" spans="2:4" ht="15">
      <c r="B53" s="355" t="s">
        <v>460</v>
      </c>
      <c r="C53" s="351">
        <f>+(C51-C44)</f>
        <v>25</v>
      </c>
      <c r="D53" s="357">
        <f>+C53*C10</f>
        <v>2250</v>
      </c>
    </row>
    <row r="54" spans="2:4" ht="15">
      <c r="B54" s="375" t="s">
        <v>461</v>
      </c>
      <c r="C54" s="376">
        <f>+C51-C46</f>
        <v>190</v>
      </c>
      <c r="D54" s="377">
        <f>SUM(D55:D56)</f>
        <v>19500</v>
      </c>
    </row>
    <row r="55" spans="2:4" ht="15">
      <c r="B55" s="371" t="s">
        <v>454</v>
      </c>
      <c r="C55" s="369">
        <f>+C52</f>
        <v>150</v>
      </c>
      <c r="D55" s="370">
        <f>+C55*C10</f>
        <v>13500</v>
      </c>
    </row>
    <row r="56" spans="2:4" ht="15">
      <c r="B56" s="372" t="s">
        <v>374</v>
      </c>
      <c r="C56" s="373">
        <f>+C16/C8</f>
        <v>40</v>
      </c>
      <c r="D56" s="374">
        <f>+C56*C8</f>
        <v>6000</v>
      </c>
    </row>
    <row r="57" spans="2:4" ht="15">
      <c r="B57" s="356" t="s">
        <v>462</v>
      </c>
      <c r="C57" s="349">
        <f>+C51-C48</f>
        <v>-50</v>
      </c>
      <c r="D57" s="358">
        <f>+C57*C10</f>
        <v>-4500</v>
      </c>
    </row>
    <row r="58" ht="15">
      <c r="B58" s="252"/>
    </row>
    <row r="59" ht="15">
      <c r="B59" s="252"/>
    </row>
    <row r="60" ht="15">
      <c r="B60" s="252"/>
    </row>
  </sheetData>
  <sheetProtection/>
  <mergeCells count="2">
    <mergeCell ref="B20:D20"/>
    <mergeCell ref="C21:D2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85"/>
  <sheetViews>
    <sheetView tabSelected="1" zoomScale="140" zoomScaleNormal="140" zoomScalePageLayoutView="0" workbookViewId="0" topLeftCell="A1">
      <selection activeCell="F85" sqref="F85"/>
    </sheetView>
  </sheetViews>
  <sheetFormatPr defaultColWidth="24.8515625" defaultRowHeight="15"/>
  <cols>
    <col min="1" max="1" width="3.28125" style="241" customWidth="1"/>
    <col min="2" max="2" width="37.28125" style="260" customWidth="1"/>
    <col min="3" max="3" width="9.8515625" style="241" customWidth="1"/>
    <col min="4" max="4" width="8.8515625" style="241" bestFit="1" customWidth="1"/>
    <col min="5" max="5" width="8.28125" style="241" bestFit="1" customWidth="1"/>
    <col min="6" max="6" width="8.8515625" style="241" bestFit="1" customWidth="1"/>
    <col min="7" max="7" width="8.140625" style="241" bestFit="1" customWidth="1"/>
    <col min="8" max="13" width="7.28125" style="241" customWidth="1"/>
    <col min="14" max="16384" width="24.8515625" style="241" customWidth="1"/>
  </cols>
  <sheetData>
    <row r="2" spans="2:6" ht="15">
      <c r="B2" s="378"/>
      <c r="C2" s="378" t="s">
        <v>468</v>
      </c>
      <c r="D2" s="378" t="s">
        <v>469</v>
      </c>
      <c r="E2" s="378" t="s">
        <v>470</v>
      </c>
      <c r="F2" s="378" t="s">
        <v>41</v>
      </c>
    </row>
    <row r="3" spans="2:6" ht="15">
      <c r="B3" s="380" t="s">
        <v>471</v>
      </c>
      <c r="C3" s="381">
        <v>5000</v>
      </c>
      <c r="D3" s="381">
        <v>2000</v>
      </c>
      <c r="E3" s="381">
        <v>3000</v>
      </c>
      <c r="F3" s="385">
        <f>SUM(C3:E3)</f>
        <v>10000</v>
      </c>
    </row>
    <row r="4" spans="2:6" ht="15">
      <c r="B4" s="380" t="s">
        <v>476</v>
      </c>
      <c r="C4" s="382">
        <f>+C3/$F$3</f>
        <v>0.5</v>
      </c>
      <c r="D4" s="382">
        <f>+D3/$F$3</f>
        <v>0.2</v>
      </c>
      <c r="E4" s="382">
        <f>+E3/$F$3</f>
        <v>0.3</v>
      </c>
      <c r="F4" s="384">
        <f>SUM(C4:E4)</f>
        <v>1</v>
      </c>
    </row>
    <row r="5" spans="2:5" ht="15">
      <c r="B5" s="379" t="s">
        <v>472</v>
      </c>
      <c r="C5" s="383">
        <v>20</v>
      </c>
      <c r="D5" s="383">
        <v>50</v>
      </c>
      <c r="E5" s="383">
        <v>35</v>
      </c>
    </row>
    <row r="6" spans="2:5" ht="15">
      <c r="B6" s="379" t="s">
        <v>473</v>
      </c>
      <c r="C6" s="379">
        <v>15</v>
      </c>
      <c r="D6" s="379">
        <v>25</v>
      </c>
      <c r="E6" s="379">
        <v>20</v>
      </c>
    </row>
    <row r="7" spans="2:5" ht="15">
      <c r="B7" s="379" t="s">
        <v>474</v>
      </c>
      <c r="C7" s="468">
        <v>0.4</v>
      </c>
      <c r="D7" s="468"/>
      <c r="E7" s="468"/>
    </row>
    <row r="8" spans="2:5" ht="15">
      <c r="B8" s="379" t="s">
        <v>475</v>
      </c>
      <c r="C8" s="469">
        <v>1080000</v>
      </c>
      <c r="D8" s="469"/>
      <c r="E8" s="469"/>
    </row>
    <row r="9" spans="2:5" ht="15">
      <c r="B9" s="379" t="s">
        <v>483</v>
      </c>
      <c r="C9" s="469">
        <f>+C8/12</f>
        <v>90000</v>
      </c>
      <c r="D9" s="469"/>
      <c r="E9" s="469"/>
    </row>
    <row r="10" spans="2:5" ht="15">
      <c r="B10" s="379" t="s">
        <v>493</v>
      </c>
      <c r="C10" s="469">
        <f>72000/12</f>
        <v>6000</v>
      </c>
      <c r="D10" s="469"/>
      <c r="E10" s="469"/>
    </row>
    <row r="11" spans="2:5" ht="14.25" customHeight="1">
      <c r="B11" s="379" t="s">
        <v>412</v>
      </c>
      <c r="C11" s="469">
        <v>800000</v>
      </c>
      <c r="D11" s="469"/>
      <c r="E11" s="469"/>
    </row>
    <row r="12" spans="2:5" ht="15">
      <c r="B12" s="379" t="s">
        <v>489</v>
      </c>
      <c r="C12" s="469">
        <f>+C11*21.6%</f>
        <v>172800.00000000003</v>
      </c>
      <c r="D12" s="469"/>
      <c r="E12" s="469"/>
    </row>
    <row r="13" spans="2:5" ht="15">
      <c r="B13" s="379" t="s">
        <v>490</v>
      </c>
      <c r="C13" s="469">
        <f>+C12/12</f>
        <v>14400.000000000002</v>
      </c>
      <c r="D13" s="469"/>
      <c r="E13" s="469"/>
    </row>
    <row r="15" spans="3:7" ht="15">
      <c r="C15" s="260"/>
      <c r="D15" s="260"/>
      <c r="E15" s="260"/>
      <c r="F15" s="472" t="s">
        <v>478</v>
      </c>
      <c r="G15" s="472"/>
    </row>
    <row r="16" spans="2:7" ht="15">
      <c r="B16" s="253" t="s">
        <v>477</v>
      </c>
      <c r="C16" s="388">
        <f>+C5*C4</f>
        <v>10</v>
      </c>
      <c r="D16" s="388">
        <f>+D5*D4</f>
        <v>10</v>
      </c>
      <c r="E16" s="388">
        <f>+E5*E4</f>
        <v>10.5</v>
      </c>
      <c r="F16" s="470">
        <f>SUM(C16:E16)</f>
        <v>30.5</v>
      </c>
      <c r="G16" s="471"/>
    </row>
    <row r="17" spans="2:7" ht="15">
      <c r="B17" s="248" t="s">
        <v>479</v>
      </c>
      <c r="C17" s="386">
        <f>+C6*C4</f>
        <v>7.5</v>
      </c>
      <c r="D17" s="386">
        <f>+D6*D4</f>
        <v>5</v>
      </c>
      <c r="E17" s="386">
        <f>+E6*E4</f>
        <v>6</v>
      </c>
      <c r="F17" s="466">
        <f>SUM(C17:E17)</f>
        <v>18.5</v>
      </c>
      <c r="G17" s="467"/>
    </row>
    <row r="18" spans="2:7" ht="15">
      <c r="B18" s="250" t="s">
        <v>480</v>
      </c>
      <c r="C18" s="266"/>
      <c r="D18" s="266"/>
      <c r="E18" s="266"/>
      <c r="F18" s="464">
        <f>+F16-F17</f>
        <v>12</v>
      </c>
      <c r="G18" s="465"/>
    </row>
    <row r="19" spans="2:7" ht="15">
      <c r="B19" s="248" t="s">
        <v>481</v>
      </c>
      <c r="C19" s="386"/>
      <c r="D19" s="386"/>
      <c r="E19" s="386"/>
      <c r="F19" s="466">
        <f>F18*40%</f>
        <v>4.800000000000001</v>
      </c>
      <c r="G19" s="467"/>
    </row>
    <row r="20" spans="2:7" ht="15">
      <c r="B20" s="250" t="s">
        <v>482</v>
      </c>
      <c r="C20" s="266"/>
      <c r="D20" s="266"/>
      <c r="E20" s="266"/>
      <c r="F20" s="464">
        <f>+F18-F19</f>
        <v>7.199999999999999</v>
      </c>
      <c r="G20" s="465"/>
    </row>
    <row r="21" ht="15">
      <c r="B21" s="252"/>
    </row>
    <row r="22" spans="2:3" ht="15">
      <c r="B22" s="316"/>
      <c r="C22" s="366" t="s">
        <v>485</v>
      </c>
    </row>
    <row r="23" spans="2:3" ht="15">
      <c r="B23" s="273" t="s">
        <v>484</v>
      </c>
      <c r="C23" s="365">
        <f>+C9/F18</f>
        <v>7500</v>
      </c>
    </row>
    <row r="25" spans="2:6" ht="15">
      <c r="B25" s="360" t="s">
        <v>169</v>
      </c>
      <c r="C25" s="363" t="str">
        <f>+C2</f>
        <v>Camisas</v>
      </c>
      <c r="D25" s="363" t="str">
        <f>+D2</f>
        <v>Blusas</v>
      </c>
      <c r="E25" s="363" t="str">
        <f>+E2</f>
        <v>Calças</v>
      </c>
      <c r="F25" s="363" t="str">
        <f>+F2</f>
        <v>TOTAL</v>
      </c>
    </row>
    <row r="26" spans="2:6" ht="15">
      <c r="B26" s="367" t="s">
        <v>401</v>
      </c>
      <c r="C26" s="284">
        <f>+$F$26*C4</f>
        <v>3750</v>
      </c>
      <c r="D26" s="284">
        <f>+$F$26*D4</f>
        <v>1500</v>
      </c>
      <c r="E26" s="284">
        <f>+$F$26*E4</f>
        <v>2250</v>
      </c>
      <c r="F26" s="389">
        <f>+C23</f>
        <v>7500</v>
      </c>
    </row>
    <row r="27" spans="2:6" ht="15">
      <c r="B27" s="311" t="s">
        <v>106</v>
      </c>
      <c r="C27" s="283">
        <f>+C$26*C5</f>
        <v>75000</v>
      </c>
      <c r="D27" s="283">
        <f>+D$26*D5</f>
        <v>75000</v>
      </c>
      <c r="E27" s="283">
        <f>+E$26*E5</f>
        <v>78750</v>
      </c>
      <c r="F27" s="363">
        <f>SUM(C27:E27)</f>
        <v>228750</v>
      </c>
    </row>
    <row r="28" spans="2:6" ht="15">
      <c r="B28" s="285" t="s">
        <v>411</v>
      </c>
      <c r="C28" s="309">
        <f>-C$26*C6</f>
        <v>-56250</v>
      </c>
      <c r="D28" s="309">
        <f>-D$26*D6</f>
        <v>-37500</v>
      </c>
      <c r="E28" s="309">
        <f>-E$26*E6</f>
        <v>-45000</v>
      </c>
      <c r="F28" s="368">
        <f>SUM(C28:E28)</f>
        <v>-138750</v>
      </c>
    </row>
    <row r="29" spans="2:6" ht="15">
      <c r="B29" s="390" t="s">
        <v>380</v>
      </c>
      <c r="C29" s="364">
        <f>SUM(C27:C28)</f>
        <v>18750</v>
      </c>
      <c r="D29" s="364">
        <f>SUM(D27:D28)</f>
        <v>37500</v>
      </c>
      <c r="E29" s="364">
        <f>SUM(E27:E28)</f>
        <v>33750</v>
      </c>
      <c r="F29" s="364">
        <f>SUM(C29:E29)</f>
        <v>90000</v>
      </c>
    </row>
    <row r="30" spans="2:6" ht="15">
      <c r="B30" s="253" t="s">
        <v>486</v>
      </c>
      <c r="C30" s="297"/>
      <c r="D30" s="297"/>
      <c r="E30" s="297"/>
      <c r="F30" s="261">
        <f>-C9</f>
        <v>-90000</v>
      </c>
    </row>
    <row r="31" spans="2:6" ht="15">
      <c r="B31" s="250" t="s">
        <v>487</v>
      </c>
      <c r="C31" s="266"/>
      <c r="D31" s="266"/>
      <c r="E31" s="266"/>
      <c r="F31" s="251">
        <f>+SUM(F29:F30)</f>
        <v>0</v>
      </c>
    </row>
    <row r="32" spans="2:6" ht="15">
      <c r="B32" s="248" t="s">
        <v>125</v>
      </c>
      <c r="C32" s="260"/>
      <c r="D32" s="260"/>
      <c r="E32" s="260"/>
      <c r="F32" s="249">
        <f>IF(F31&gt;0,-F31*40%,0)</f>
        <v>0</v>
      </c>
    </row>
    <row r="33" spans="2:6" ht="15">
      <c r="B33" s="250" t="s">
        <v>488</v>
      </c>
      <c r="C33" s="266"/>
      <c r="D33" s="266"/>
      <c r="E33" s="266"/>
      <c r="F33" s="251">
        <f>+SUM(F31:F32)</f>
        <v>0</v>
      </c>
    </row>
    <row r="34" spans="2:6" ht="15">
      <c r="B34" s="387"/>
      <c r="C34" s="264"/>
      <c r="D34" s="264"/>
      <c r="E34" s="264"/>
      <c r="F34" s="264"/>
    </row>
    <row r="35" ht="15">
      <c r="B35" s="252"/>
    </row>
    <row r="36" spans="2:3" ht="15">
      <c r="B36" s="316"/>
      <c r="C36" s="366" t="s">
        <v>485</v>
      </c>
    </row>
    <row r="37" spans="2:3" ht="15">
      <c r="B37" s="273" t="s">
        <v>491</v>
      </c>
      <c r="C37" s="365">
        <f>+C13/F20+C23</f>
        <v>9500</v>
      </c>
    </row>
    <row r="39" spans="2:6" ht="15">
      <c r="B39" s="360" t="s">
        <v>169</v>
      </c>
      <c r="C39" s="363" t="str">
        <f>+C25</f>
        <v>Camisas</v>
      </c>
      <c r="D39" s="363" t="str">
        <f>+D25</f>
        <v>Blusas</v>
      </c>
      <c r="E39" s="363" t="str">
        <f>+E25</f>
        <v>Calças</v>
      </c>
      <c r="F39" s="363" t="str">
        <f>+F25</f>
        <v>TOTAL</v>
      </c>
    </row>
    <row r="40" spans="2:6" ht="15">
      <c r="B40" s="367" t="s">
        <v>401</v>
      </c>
      <c r="C40" s="284">
        <f>+$F$40*C4</f>
        <v>4750</v>
      </c>
      <c r="D40" s="284">
        <f>+$F$40*D4</f>
        <v>1900</v>
      </c>
      <c r="E40" s="284">
        <f>+$F$40*E4</f>
        <v>2850</v>
      </c>
      <c r="F40" s="389">
        <f>+C37</f>
        <v>9500</v>
      </c>
    </row>
    <row r="41" spans="2:6" ht="15">
      <c r="B41" s="311" t="s">
        <v>106</v>
      </c>
      <c r="C41" s="283">
        <f>+C$40*C5</f>
        <v>95000</v>
      </c>
      <c r="D41" s="283">
        <f>+D$40*D5</f>
        <v>95000</v>
      </c>
      <c r="E41" s="283">
        <f>+E$40*E5</f>
        <v>99750</v>
      </c>
      <c r="F41" s="363">
        <f>SUM(C41:E41)</f>
        <v>289750</v>
      </c>
    </row>
    <row r="42" spans="2:6" ht="15">
      <c r="B42" s="285" t="s">
        <v>411</v>
      </c>
      <c r="C42" s="309">
        <f>-C$40*C6</f>
        <v>-71250</v>
      </c>
      <c r="D42" s="309">
        <f>-D$40*D6</f>
        <v>-47500</v>
      </c>
      <c r="E42" s="309">
        <f>-E$40*E6</f>
        <v>-57000</v>
      </c>
      <c r="F42" s="368">
        <f>SUM(C42:E42)</f>
        <v>-175750</v>
      </c>
    </row>
    <row r="43" spans="2:6" ht="15">
      <c r="B43" s="390" t="s">
        <v>380</v>
      </c>
      <c r="C43" s="364">
        <f>SUM(C41:C42)</f>
        <v>23750</v>
      </c>
      <c r="D43" s="364">
        <f>SUM(D41:D42)</f>
        <v>47500</v>
      </c>
      <c r="E43" s="364">
        <f>SUM(E41:E42)</f>
        <v>42750</v>
      </c>
      <c r="F43" s="364">
        <f>SUM(C43:E43)</f>
        <v>114000</v>
      </c>
    </row>
    <row r="44" spans="2:6" ht="15">
      <c r="B44" s="253" t="s">
        <v>486</v>
      </c>
      <c r="C44" s="297"/>
      <c r="D44" s="297"/>
      <c r="E44" s="297"/>
      <c r="F44" s="261">
        <f>+F30</f>
        <v>-90000</v>
      </c>
    </row>
    <row r="45" spans="2:6" ht="15">
      <c r="B45" s="250" t="s">
        <v>487</v>
      </c>
      <c r="C45" s="266"/>
      <c r="D45" s="266"/>
      <c r="E45" s="266"/>
      <c r="F45" s="251">
        <f>+SUM(F43:F44)</f>
        <v>24000</v>
      </c>
    </row>
    <row r="46" spans="2:6" ht="15">
      <c r="B46" s="248" t="s">
        <v>125</v>
      </c>
      <c r="C46" s="260"/>
      <c r="D46" s="260"/>
      <c r="E46" s="260"/>
      <c r="F46" s="249">
        <f>IF(F45&gt;0,-F45*40%,0)</f>
        <v>-9600</v>
      </c>
    </row>
    <row r="47" spans="2:6" ht="15">
      <c r="B47" s="250" t="s">
        <v>488</v>
      </c>
      <c r="C47" s="266"/>
      <c r="D47" s="266"/>
      <c r="E47" s="266"/>
      <c r="F47" s="251">
        <f>+SUM(F45:F46)</f>
        <v>14400</v>
      </c>
    </row>
    <row r="48" spans="2:6" ht="15">
      <c r="B48" s="248" t="s">
        <v>492</v>
      </c>
      <c r="C48" s="260"/>
      <c r="D48" s="260"/>
      <c r="E48" s="260"/>
      <c r="F48" s="249">
        <f>-C13</f>
        <v>-14400.000000000002</v>
      </c>
    </row>
    <row r="49" spans="2:6" ht="15">
      <c r="B49" s="250" t="s">
        <v>446</v>
      </c>
      <c r="C49" s="266"/>
      <c r="D49" s="266"/>
      <c r="E49" s="266"/>
      <c r="F49" s="251">
        <f>+SUM(F47:F48)</f>
        <v>0</v>
      </c>
    </row>
    <row r="52" spans="2:3" ht="15">
      <c r="B52" s="316"/>
      <c r="C52" s="366" t="s">
        <v>485</v>
      </c>
    </row>
    <row r="53" spans="2:3" ht="15">
      <c r="B53" s="273" t="s">
        <v>494</v>
      </c>
      <c r="C53" s="365">
        <f>+(C9-C10)/F18</f>
        <v>7000</v>
      </c>
    </row>
    <row r="55" spans="2:6" ht="15">
      <c r="B55" s="360" t="s">
        <v>169</v>
      </c>
      <c r="C55" s="363" t="str">
        <f>+C39</f>
        <v>Camisas</v>
      </c>
      <c r="D55" s="363" t="str">
        <f>+D39</f>
        <v>Blusas</v>
      </c>
      <c r="E55" s="363" t="str">
        <f>+E39</f>
        <v>Calças</v>
      </c>
      <c r="F55" s="363" t="str">
        <f>+F39</f>
        <v>TOTAL</v>
      </c>
    </row>
    <row r="56" spans="2:6" ht="15">
      <c r="B56" s="367" t="s">
        <v>401</v>
      </c>
      <c r="C56" s="284">
        <f>+$F$56*C4</f>
        <v>3500</v>
      </c>
      <c r="D56" s="284">
        <f>+$F$56*D4</f>
        <v>1400</v>
      </c>
      <c r="E56" s="284">
        <f>+$F$56*E4</f>
        <v>2100</v>
      </c>
      <c r="F56" s="389">
        <f>+C53</f>
        <v>7000</v>
      </c>
    </row>
    <row r="57" spans="2:6" ht="15">
      <c r="B57" s="311" t="s">
        <v>106</v>
      </c>
      <c r="C57" s="283">
        <f>+C56*C5</f>
        <v>70000</v>
      </c>
      <c r="D57" s="283">
        <f>+D56*D5</f>
        <v>70000</v>
      </c>
      <c r="E57" s="283">
        <f>+E56*E5</f>
        <v>73500</v>
      </c>
      <c r="F57" s="363">
        <f>SUM(C57:E57)</f>
        <v>213500</v>
      </c>
    </row>
    <row r="58" spans="2:6" ht="15">
      <c r="B58" s="285" t="s">
        <v>411</v>
      </c>
      <c r="C58" s="309">
        <f>-C56*C6</f>
        <v>-52500</v>
      </c>
      <c r="D58" s="309">
        <f>-D56*D6</f>
        <v>-35000</v>
      </c>
      <c r="E58" s="309">
        <f>-E56*E6</f>
        <v>-42000</v>
      </c>
      <c r="F58" s="368">
        <f>SUM(C58:E58)</f>
        <v>-129500</v>
      </c>
    </row>
    <row r="59" spans="2:6" ht="15">
      <c r="B59" s="390" t="s">
        <v>380</v>
      </c>
      <c r="C59" s="364">
        <f>SUM(C57:C58)</f>
        <v>17500</v>
      </c>
      <c r="D59" s="364">
        <f>SUM(D57:D58)</f>
        <v>35000</v>
      </c>
      <c r="E59" s="364">
        <f>SUM(E57:E58)</f>
        <v>31500</v>
      </c>
      <c r="F59" s="364">
        <f>SUM(C59:E59)</f>
        <v>84000</v>
      </c>
    </row>
    <row r="60" spans="2:6" ht="15">
      <c r="B60" s="253" t="s">
        <v>486</v>
      </c>
      <c r="C60" s="297"/>
      <c r="D60" s="297"/>
      <c r="E60" s="297"/>
      <c r="F60" s="261">
        <f>+F44</f>
        <v>-90000</v>
      </c>
    </row>
    <row r="61" spans="2:6" ht="15">
      <c r="B61" s="250" t="s">
        <v>487</v>
      </c>
      <c r="C61" s="266"/>
      <c r="D61" s="266"/>
      <c r="E61" s="266"/>
      <c r="F61" s="251">
        <f>+SUM(F59:F60)</f>
        <v>-6000</v>
      </c>
    </row>
    <row r="62" spans="2:6" ht="15">
      <c r="B62" s="248" t="s">
        <v>125</v>
      </c>
      <c r="C62" s="260"/>
      <c r="D62" s="260"/>
      <c r="E62" s="260"/>
      <c r="F62" s="249">
        <f>IF(F61&gt;0,-F61*40%,0)</f>
        <v>0</v>
      </c>
    </row>
    <row r="63" spans="2:6" ht="15">
      <c r="B63" s="250" t="s">
        <v>488</v>
      </c>
      <c r="C63" s="266"/>
      <c r="D63" s="266"/>
      <c r="E63" s="266"/>
      <c r="F63" s="251">
        <f>+SUM(F61:F62)</f>
        <v>-6000</v>
      </c>
    </row>
    <row r="64" spans="2:6" ht="15">
      <c r="B64" s="248" t="s">
        <v>448</v>
      </c>
      <c r="C64" s="260"/>
      <c r="D64" s="260"/>
      <c r="E64" s="260"/>
      <c r="F64" s="249">
        <f>+C10</f>
        <v>6000</v>
      </c>
    </row>
    <row r="65" spans="2:6" ht="15">
      <c r="B65" s="250" t="s">
        <v>495</v>
      </c>
      <c r="C65" s="266"/>
      <c r="D65" s="266"/>
      <c r="E65" s="266"/>
      <c r="F65" s="251">
        <f>+SUM(F63:F64)</f>
        <v>0</v>
      </c>
    </row>
    <row r="68" spans="2:3" ht="15">
      <c r="B68" s="316"/>
      <c r="C68" s="366" t="s">
        <v>485</v>
      </c>
    </row>
    <row r="69" spans="2:3" ht="15">
      <c r="B69" s="273" t="s">
        <v>496</v>
      </c>
      <c r="C69" s="365">
        <f>+F3</f>
        <v>10000</v>
      </c>
    </row>
    <row r="71" spans="2:6" ht="15">
      <c r="B71" s="360" t="s">
        <v>169</v>
      </c>
      <c r="C71" s="363" t="str">
        <f>+C55</f>
        <v>Camisas</v>
      </c>
      <c r="D71" s="363" t="str">
        <f>+D55</f>
        <v>Blusas</v>
      </c>
      <c r="E71" s="363" t="str">
        <f>+E55</f>
        <v>Calças</v>
      </c>
      <c r="F71" s="363" t="str">
        <f>+F55</f>
        <v>TOTAL</v>
      </c>
    </row>
    <row r="72" spans="2:6" ht="15">
      <c r="B72" s="367" t="s">
        <v>401</v>
      </c>
      <c r="C72" s="284">
        <f>+$C$69*C4</f>
        <v>5000</v>
      </c>
      <c r="D72" s="284">
        <f>+$C$69*D4</f>
        <v>2000</v>
      </c>
      <c r="E72" s="284">
        <f>+$C$69*E4</f>
        <v>3000</v>
      </c>
      <c r="F72" s="389">
        <f>SUM(C72:E72)</f>
        <v>10000</v>
      </c>
    </row>
    <row r="73" spans="2:6" ht="15">
      <c r="B73" s="311" t="s">
        <v>106</v>
      </c>
      <c r="C73" s="283">
        <f>+C72*C5</f>
        <v>100000</v>
      </c>
      <c r="D73" s="283">
        <f>+D72*D5</f>
        <v>100000</v>
      </c>
      <c r="E73" s="283">
        <f>+E72*E5</f>
        <v>105000</v>
      </c>
      <c r="F73" s="363">
        <f>SUM(C73:E73)</f>
        <v>305000</v>
      </c>
    </row>
    <row r="74" spans="2:6" ht="15">
      <c r="B74" s="285" t="s">
        <v>411</v>
      </c>
      <c r="C74" s="309">
        <f>-C72*C6</f>
        <v>-75000</v>
      </c>
      <c r="D74" s="309">
        <f>-D72*D6</f>
        <v>-50000</v>
      </c>
      <c r="E74" s="309">
        <f>-E72*E6</f>
        <v>-60000</v>
      </c>
      <c r="F74" s="368">
        <f>SUM(C74:E74)</f>
        <v>-185000</v>
      </c>
    </row>
    <row r="75" spans="2:6" ht="15">
      <c r="B75" s="390" t="s">
        <v>380</v>
      </c>
      <c r="C75" s="364">
        <f>SUM(C73:C74)</f>
        <v>25000</v>
      </c>
      <c r="D75" s="364">
        <f>SUM(D73:D74)</f>
        <v>50000</v>
      </c>
      <c r="E75" s="364">
        <f>SUM(E73:E74)</f>
        <v>45000</v>
      </c>
      <c r="F75" s="364">
        <f>SUM(C75:E75)</f>
        <v>120000</v>
      </c>
    </row>
    <row r="76" spans="2:6" ht="15">
      <c r="B76" s="253" t="s">
        <v>486</v>
      </c>
      <c r="C76" s="297"/>
      <c r="D76" s="297"/>
      <c r="E76" s="297"/>
      <c r="F76" s="261">
        <f>+F60</f>
        <v>-90000</v>
      </c>
    </row>
    <row r="77" spans="2:6" ht="15">
      <c r="B77" s="250" t="s">
        <v>487</v>
      </c>
      <c r="C77" s="266"/>
      <c r="D77" s="266"/>
      <c r="E77" s="266"/>
      <c r="F77" s="251">
        <f>+SUM(F75:F76)</f>
        <v>30000</v>
      </c>
    </row>
    <row r="78" spans="2:6" ht="15">
      <c r="B78" s="248" t="s">
        <v>125</v>
      </c>
      <c r="C78" s="260"/>
      <c r="D78" s="260"/>
      <c r="E78" s="260"/>
      <c r="F78" s="249">
        <f>IF(F77&gt;0,-F77*40%,0)</f>
        <v>-12000</v>
      </c>
    </row>
    <row r="79" spans="2:6" ht="15">
      <c r="B79" s="250" t="s">
        <v>488</v>
      </c>
      <c r="C79" s="266"/>
      <c r="D79" s="266"/>
      <c r="E79" s="266"/>
      <c r="F79" s="251">
        <f>+SUM(F77:F78)</f>
        <v>18000</v>
      </c>
    </row>
    <row r="80" spans="2:6" ht="15">
      <c r="B80" s="248" t="s">
        <v>492</v>
      </c>
      <c r="C80" s="260"/>
      <c r="D80" s="260"/>
      <c r="E80" s="260"/>
      <c r="F80" s="249">
        <f>+F48</f>
        <v>-14400.000000000002</v>
      </c>
    </row>
    <row r="81" spans="2:6" ht="15">
      <c r="B81" s="250" t="s">
        <v>446</v>
      </c>
      <c r="C81" s="266"/>
      <c r="D81" s="266"/>
      <c r="E81" s="266"/>
      <c r="F81" s="251">
        <f>+SUM(F79:F80)</f>
        <v>3599.999999999998</v>
      </c>
    </row>
    <row r="83" spans="2:6" ht="15">
      <c r="B83" s="337" t="s">
        <v>488</v>
      </c>
      <c r="C83" s="362"/>
      <c r="D83" s="362"/>
      <c r="E83" s="362"/>
      <c r="F83" s="361">
        <f>+F79</f>
        <v>18000</v>
      </c>
    </row>
    <row r="84" spans="2:6" ht="15">
      <c r="B84" s="248" t="s">
        <v>448</v>
      </c>
      <c r="C84" s="260"/>
      <c r="D84" s="260"/>
      <c r="E84" s="260"/>
      <c r="F84" s="249">
        <f>+F64</f>
        <v>6000</v>
      </c>
    </row>
    <row r="85" spans="2:6" ht="15">
      <c r="B85" s="250" t="s">
        <v>495</v>
      </c>
      <c r="C85" s="266"/>
      <c r="D85" s="266"/>
      <c r="E85" s="266"/>
      <c r="F85" s="251">
        <f>+SUM(F83:F84)</f>
        <v>24000</v>
      </c>
    </row>
  </sheetData>
  <sheetProtection/>
  <mergeCells count="13">
    <mergeCell ref="F18:G18"/>
    <mergeCell ref="F19:G19"/>
    <mergeCell ref="F20:G20"/>
    <mergeCell ref="C7:E7"/>
    <mergeCell ref="C8:E8"/>
    <mergeCell ref="F16:G16"/>
    <mergeCell ref="F15:G15"/>
    <mergeCell ref="F17:G17"/>
    <mergeCell ref="C9:E9"/>
    <mergeCell ref="C11:E11"/>
    <mergeCell ref="C12:E12"/>
    <mergeCell ref="C13:E13"/>
    <mergeCell ref="C10:E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"/>
  <sheetViews>
    <sheetView zoomScale="150" zoomScaleNormal="150" zoomScalePageLayoutView="0" workbookViewId="0" topLeftCell="A7">
      <selection activeCell="C15" sqref="C15"/>
    </sheetView>
  </sheetViews>
  <sheetFormatPr defaultColWidth="9.140625" defaultRowHeight="15"/>
  <cols>
    <col min="1" max="1" width="2.28125" style="1" customWidth="1"/>
    <col min="2" max="2" width="50.421875" style="1" customWidth="1"/>
    <col min="3" max="3" width="8.00390625" style="1" bestFit="1" customWidth="1"/>
    <col min="4" max="5" width="9.140625" style="1" customWidth="1"/>
    <col min="6" max="6" width="9.421875" style="1" bestFit="1" customWidth="1"/>
    <col min="7" max="16384" width="9.140625" style="1" customWidth="1"/>
  </cols>
  <sheetData>
    <row r="2" spans="2:3" ht="15">
      <c r="B2" s="397" t="s">
        <v>73</v>
      </c>
      <c r="C2" s="398"/>
    </row>
    <row r="3" spans="2:3" ht="15">
      <c r="B3" s="6" t="s">
        <v>69</v>
      </c>
      <c r="C3" s="8">
        <v>5000</v>
      </c>
    </row>
    <row r="4" spans="2:3" ht="15">
      <c r="B4" s="6" t="s">
        <v>70</v>
      </c>
      <c r="C4" s="8">
        <v>12000</v>
      </c>
    </row>
    <row r="5" spans="2:3" ht="15">
      <c r="B5" s="6" t="s">
        <v>71</v>
      </c>
      <c r="C5" s="8">
        <v>-7000</v>
      </c>
    </row>
    <row r="6" spans="2:3" ht="15">
      <c r="B6" s="48" t="s">
        <v>72</v>
      </c>
      <c r="C6" s="50">
        <f>SUM(C3:C5)</f>
        <v>10000</v>
      </c>
    </row>
    <row r="7" ht="15">
      <c r="B7" s="2"/>
    </row>
    <row r="8" spans="2:3" ht="15">
      <c r="B8" s="397" t="s">
        <v>74</v>
      </c>
      <c r="C8" s="398"/>
    </row>
    <row r="9" spans="2:3" ht="15">
      <c r="B9" s="6" t="s">
        <v>65</v>
      </c>
      <c r="C9" s="8">
        <f>+C6</f>
        <v>10000</v>
      </c>
    </row>
    <row r="10" spans="2:3" ht="15">
      <c r="B10" s="6" t="s">
        <v>55</v>
      </c>
      <c r="C10" s="8">
        <v>10000</v>
      </c>
    </row>
    <row r="11" spans="2:3" ht="15">
      <c r="B11" s="6" t="s">
        <v>66</v>
      </c>
      <c r="C11" s="8">
        <v>8000</v>
      </c>
    </row>
    <row r="12" spans="2:3" ht="15">
      <c r="B12" s="48" t="s">
        <v>75</v>
      </c>
      <c r="C12" s="50">
        <f>SUM(C9:C11)</f>
        <v>28000</v>
      </c>
    </row>
    <row r="13" ht="15">
      <c r="B13" s="2"/>
    </row>
    <row r="14" spans="2:3" ht="15">
      <c r="B14" s="397" t="s">
        <v>76</v>
      </c>
      <c r="C14" s="398"/>
    </row>
    <row r="15" spans="2:3" ht="15">
      <c r="B15" s="6" t="s">
        <v>77</v>
      </c>
      <c r="C15" s="8">
        <v>4000</v>
      </c>
    </row>
    <row r="16" spans="2:3" ht="15">
      <c r="B16" s="6" t="s">
        <v>78</v>
      </c>
      <c r="C16" s="8">
        <f>+C12</f>
        <v>28000</v>
      </c>
    </row>
    <row r="17" spans="2:3" ht="15">
      <c r="B17" s="6" t="s">
        <v>79</v>
      </c>
      <c r="C17" s="8">
        <v>-5000</v>
      </c>
    </row>
    <row r="18" spans="2:3" ht="15">
      <c r="B18" s="48" t="s">
        <v>80</v>
      </c>
      <c r="C18" s="50">
        <f>SUM(C15:C17)</f>
        <v>27000</v>
      </c>
    </row>
    <row r="19" ht="15">
      <c r="B19" s="2"/>
    </row>
    <row r="20" spans="2:3" ht="15">
      <c r="B20" s="397" t="s">
        <v>81</v>
      </c>
      <c r="C20" s="398"/>
    </row>
    <row r="21" spans="2:3" ht="15">
      <c r="B21" s="6" t="s">
        <v>82</v>
      </c>
      <c r="C21" s="8">
        <v>6000</v>
      </c>
    </row>
    <row r="22" spans="2:3" ht="15">
      <c r="B22" s="6" t="s">
        <v>83</v>
      </c>
      <c r="C22" s="73">
        <f>+C18</f>
        <v>27000</v>
      </c>
    </row>
    <row r="23" spans="2:3" ht="15">
      <c r="B23" s="6" t="s">
        <v>84</v>
      </c>
      <c r="C23" s="8">
        <f>SUM(C21:C22)</f>
        <v>33000</v>
      </c>
    </row>
    <row r="24" spans="2:3" ht="15">
      <c r="B24" s="6" t="s">
        <v>85</v>
      </c>
      <c r="C24" s="8">
        <f>-C23*80%</f>
        <v>-26400</v>
      </c>
    </row>
    <row r="25" spans="2:3" ht="15">
      <c r="B25" s="48" t="s">
        <v>86</v>
      </c>
      <c r="C25" s="50">
        <f>+SUM(C23:C24)</f>
        <v>6600</v>
      </c>
    </row>
  </sheetData>
  <sheetProtection/>
  <mergeCells count="4">
    <mergeCell ref="B20:C20"/>
    <mergeCell ref="B2:C2"/>
    <mergeCell ref="B8:C8"/>
    <mergeCell ref="B14:C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"/>
  <sheetViews>
    <sheetView zoomScale="150" zoomScaleNormal="150" zoomScalePageLayoutView="0" workbookViewId="0" topLeftCell="A10">
      <selection activeCell="E15" sqref="E15"/>
    </sheetView>
  </sheetViews>
  <sheetFormatPr defaultColWidth="9.140625" defaultRowHeight="15"/>
  <cols>
    <col min="1" max="1" width="2.28125" style="1" customWidth="1"/>
    <col min="2" max="2" width="35.140625" style="1" customWidth="1"/>
    <col min="3" max="3" width="9.421875" style="1" bestFit="1" customWidth="1"/>
    <col min="4" max="5" width="9.140625" style="1" customWidth="1"/>
    <col min="6" max="6" width="9.421875" style="1" bestFit="1" customWidth="1"/>
    <col min="7" max="16384" width="9.140625" style="1" customWidth="1"/>
  </cols>
  <sheetData>
    <row r="2" spans="2:7" ht="15">
      <c r="B2" s="47" t="s">
        <v>49</v>
      </c>
      <c r="C2" s="399" t="s">
        <v>47</v>
      </c>
      <c r="D2" s="399"/>
      <c r="E2" s="399" t="s">
        <v>48</v>
      </c>
      <c r="F2" s="399"/>
      <c r="G2" s="5" t="s">
        <v>41</v>
      </c>
    </row>
    <row r="3" spans="2:7" ht="15">
      <c r="B3" s="54" t="s">
        <v>50</v>
      </c>
      <c r="C3" s="55">
        <v>20000</v>
      </c>
      <c r="D3" s="56" t="s">
        <v>51</v>
      </c>
      <c r="E3" s="55">
        <v>16000</v>
      </c>
      <c r="F3" s="56" t="s">
        <v>52</v>
      </c>
      <c r="G3" s="57"/>
    </row>
    <row r="4" spans="2:7" ht="15">
      <c r="B4" s="54" t="s">
        <v>53</v>
      </c>
      <c r="C4" s="55">
        <v>12000</v>
      </c>
      <c r="D4" s="56" t="s">
        <v>54</v>
      </c>
      <c r="E4" s="55">
        <v>8000</v>
      </c>
      <c r="F4" s="56" t="s">
        <v>54</v>
      </c>
      <c r="G4" s="58">
        <f>+C4+E4</f>
        <v>20000</v>
      </c>
    </row>
    <row r="5" spans="2:7" ht="15">
      <c r="B5" s="54" t="s">
        <v>55</v>
      </c>
      <c r="C5" s="55">
        <v>6000</v>
      </c>
      <c r="D5" s="56" t="s">
        <v>56</v>
      </c>
      <c r="E5" s="55">
        <v>3000</v>
      </c>
      <c r="F5" s="56" t="s">
        <v>56</v>
      </c>
      <c r="G5" s="58">
        <f>+C5+E5</f>
        <v>9000</v>
      </c>
    </row>
    <row r="6" spans="2:7" ht="15">
      <c r="B6" s="54"/>
      <c r="C6" s="55"/>
      <c r="D6" s="56"/>
      <c r="E6" s="55"/>
      <c r="F6" s="56"/>
      <c r="G6" s="57"/>
    </row>
    <row r="7" spans="2:7" ht="15">
      <c r="B7" s="59"/>
      <c r="C7" s="60"/>
      <c r="D7" s="60"/>
      <c r="E7" s="60"/>
      <c r="F7" s="60"/>
      <c r="G7" s="61"/>
    </row>
    <row r="9" spans="2:3" ht="15">
      <c r="B9" s="397" t="s">
        <v>57</v>
      </c>
      <c r="C9" s="398"/>
    </row>
    <row r="10" spans="2:3" ht="15">
      <c r="B10" s="6" t="s">
        <v>58</v>
      </c>
      <c r="C10" s="8">
        <v>3600</v>
      </c>
    </row>
    <row r="11" spans="2:3" ht="15">
      <c r="B11" s="6" t="s">
        <v>59</v>
      </c>
      <c r="C11" s="8">
        <v>12000</v>
      </c>
    </row>
    <row r="12" spans="2:3" ht="15">
      <c r="B12" s="6" t="s">
        <v>60</v>
      </c>
      <c r="C12" s="8">
        <v>4500</v>
      </c>
    </row>
    <row r="13" spans="2:3" ht="15">
      <c r="B13" s="6" t="s">
        <v>61</v>
      </c>
      <c r="C13" s="8">
        <v>1500</v>
      </c>
    </row>
    <row r="14" spans="2:3" ht="15">
      <c r="B14" s="6" t="s">
        <v>62</v>
      </c>
      <c r="C14" s="8">
        <v>2400</v>
      </c>
    </row>
    <row r="15" spans="2:3" ht="15">
      <c r="B15" s="48" t="s">
        <v>41</v>
      </c>
      <c r="C15" s="50">
        <f>SUM(C10:C14)</f>
        <v>24000</v>
      </c>
    </row>
    <row r="17" spans="2:7" ht="30">
      <c r="B17" s="47" t="s">
        <v>67</v>
      </c>
      <c r="C17" s="399" t="str">
        <f>+C2</f>
        <v>SABÃO EM PÓ</v>
      </c>
      <c r="D17" s="399"/>
      <c r="E17" s="399" t="str">
        <f>+E2</f>
        <v>SABÃO LÍQUIDO</v>
      </c>
      <c r="F17" s="399"/>
      <c r="G17" s="5" t="str">
        <f>+G2</f>
        <v>TOTAL</v>
      </c>
    </row>
    <row r="18" spans="2:7" ht="15">
      <c r="B18" s="6"/>
      <c r="C18" s="62" t="s">
        <v>63</v>
      </c>
      <c r="D18" s="62" t="s">
        <v>64</v>
      </c>
      <c r="E18" s="62" t="s">
        <v>63</v>
      </c>
      <c r="F18" s="62" t="s">
        <v>64</v>
      </c>
      <c r="G18" s="63" t="s">
        <v>64</v>
      </c>
    </row>
    <row r="19" spans="2:7" ht="15">
      <c r="B19" s="45" t="s">
        <v>65</v>
      </c>
      <c r="C19" s="66">
        <f>+D19/C$3</f>
        <v>1.2</v>
      </c>
      <c r="D19" s="67">
        <f>+C4*2</f>
        <v>24000</v>
      </c>
      <c r="E19" s="66">
        <f>+F19/E$3</f>
        <v>1</v>
      </c>
      <c r="F19" s="67">
        <f>+E4*2</f>
        <v>16000</v>
      </c>
      <c r="G19" s="5">
        <f>+D19+F19</f>
        <v>40000</v>
      </c>
    </row>
    <row r="20" spans="2:7" ht="15">
      <c r="B20" s="6" t="s">
        <v>55</v>
      </c>
      <c r="C20" s="64">
        <f>+D20/C$3</f>
        <v>1.5</v>
      </c>
      <c r="D20" s="7">
        <f>5*C5</f>
        <v>30000</v>
      </c>
      <c r="E20" s="64">
        <f>+F20/E$3</f>
        <v>0.9375</v>
      </c>
      <c r="F20" s="7">
        <f>5*E5</f>
        <v>15000</v>
      </c>
      <c r="G20" s="63">
        <f>+D20+F20</f>
        <v>45000</v>
      </c>
    </row>
    <row r="21" spans="2:7" ht="15">
      <c r="B21" s="9" t="s">
        <v>68</v>
      </c>
      <c r="C21" s="68">
        <f>+D21/C$3</f>
        <v>0.48</v>
      </c>
      <c r="D21" s="10">
        <f>320000/400000*C4</f>
        <v>9600</v>
      </c>
      <c r="E21" s="68">
        <f>+F21/E$3</f>
        <v>0.4</v>
      </c>
      <c r="F21" s="10">
        <f>320000/400000*E4</f>
        <v>6400</v>
      </c>
      <c r="G21" s="50">
        <f>+D21+F21</f>
        <v>16000</v>
      </c>
    </row>
    <row r="22" spans="2:7" ht="15">
      <c r="B22" s="69" t="s">
        <v>66</v>
      </c>
      <c r="C22" s="70">
        <f>+D22/C$3</f>
        <v>0.8</v>
      </c>
      <c r="D22" s="71">
        <f>+C15/$G$5*C5</f>
        <v>16000</v>
      </c>
      <c r="E22" s="70">
        <f>+F22/E$3</f>
        <v>0.5</v>
      </c>
      <c r="F22" s="71">
        <f>+C15/$G$5*E5</f>
        <v>8000</v>
      </c>
      <c r="G22" s="72">
        <f>+D22+F22</f>
        <v>24000</v>
      </c>
    </row>
    <row r="23" spans="2:7" ht="15">
      <c r="B23" s="48" t="s">
        <v>41</v>
      </c>
      <c r="C23" s="65">
        <f>SUM(C19:C22)</f>
        <v>3.9800000000000004</v>
      </c>
      <c r="D23" s="49">
        <f>SUM(D19:D22)</f>
        <v>79600</v>
      </c>
      <c r="E23" s="65">
        <f>SUM(E19:E22)</f>
        <v>2.8375</v>
      </c>
      <c r="F23" s="49">
        <f>SUM(F19:F22)</f>
        <v>45400</v>
      </c>
      <c r="G23" s="50">
        <f>+D23+F23</f>
        <v>125000</v>
      </c>
    </row>
  </sheetData>
  <sheetProtection/>
  <mergeCells count="5">
    <mergeCell ref="C2:D2"/>
    <mergeCell ref="E2:F2"/>
    <mergeCell ref="B9:C9"/>
    <mergeCell ref="C17:D17"/>
    <mergeCell ref="E17:F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80"/>
  <sheetViews>
    <sheetView zoomScale="150" zoomScaleNormal="150" zoomScalePageLayoutView="0" workbookViewId="0" topLeftCell="A1">
      <selection activeCell="C71" sqref="C71"/>
    </sheetView>
  </sheetViews>
  <sheetFormatPr defaultColWidth="9.140625" defaultRowHeight="15"/>
  <cols>
    <col min="1" max="1" width="2.28125" style="1" customWidth="1"/>
    <col min="2" max="2" width="35.140625" style="1" customWidth="1"/>
    <col min="3" max="4" width="10.8515625" style="1" customWidth="1"/>
    <col min="5" max="5" width="9.140625" style="1" customWidth="1"/>
    <col min="6" max="6" width="9.421875" style="1" bestFit="1" customWidth="1"/>
    <col min="7" max="16384" width="9.140625" style="1" customWidth="1"/>
  </cols>
  <sheetData>
    <row r="2" spans="2:4" ht="30">
      <c r="B2" s="51" t="s">
        <v>87</v>
      </c>
      <c r="C2" s="53" t="s">
        <v>88</v>
      </c>
      <c r="D2" s="52" t="s">
        <v>89</v>
      </c>
    </row>
    <row r="3" spans="2:4" ht="15">
      <c r="B3" s="6" t="s">
        <v>90</v>
      </c>
      <c r="C3" s="7">
        <v>1460</v>
      </c>
      <c r="D3" s="8"/>
    </row>
    <row r="4" spans="2:4" ht="15">
      <c r="B4" s="6" t="s">
        <v>22</v>
      </c>
      <c r="C4" s="7">
        <v>6060</v>
      </c>
      <c r="D4" s="8"/>
    </row>
    <row r="5" spans="2:4" ht="15">
      <c r="B5" s="6" t="s">
        <v>91</v>
      </c>
      <c r="C5" s="7">
        <v>5000</v>
      </c>
      <c r="D5" s="8"/>
    </row>
    <row r="6" spans="2:4" ht="15">
      <c r="B6" s="6" t="s">
        <v>92</v>
      </c>
      <c r="C6" s="7">
        <v>2000</v>
      </c>
      <c r="D6" s="8"/>
    </row>
    <row r="7" spans="2:4" ht="15">
      <c r="B7" s="6" t="s">
        <v>93</v>
      </c>
      <c r="C7" s="7"/>
      <c r="D7" s="8">
        <v>300</v>
      </c>
    </row>
    <row r="8" spans="2:4" ht="15">
      <c r="B8" s="6" t="s">
        <v>35</v>
      </c>
      <c r="C8" s="7">
        <v>1000</v>
      </c>
      <c r="D8" s="8"/>
    </row>
    <row r="9" spans="2:4" ht="15">
      <c r="B9" s="6" t="s">
        <v>94</v>
      </c>
      <c r="C9" s="7"/>
      <c r="D9" s="8">
        <v>100</v>
      </c>
    </row>
    <row r="10" spans="2:4" ht="15">
      <c r="B10" s="6" t="s">
        <v>95</v>
      </c>
      <c r="C10" s="7"/>
      <c r="D10" s="8">
        <v>3520</v>
      </c>
    </row>
    <row r="11" spans="2:4" ht="15">
      <c r="B11" s="6" t="s">
        <v>23</v>
      </c>
      <c r="C11" s="7"/>
      <c r="D11" s="8">
        <v>15000</v>
      </c>
    </row>
    <row r="12" spans="2:4" ht="15">
      <c r="B12" s="75" t="s">
        <v>96</v>
      </c>
      <c r="C12" s="76">
        <v>7000</v>
      </c>
      <c r="D12" s="77"/>
    </row>
    <row r="13" spans="2:4" ht="15">
      <c r="B13" s="78" t="s">
        <v>97</v>
      </c>
      <c r="C13" s="79">
        <v>6000</v>
      </c>
      <c r="D13" s="80"/>
    </row>
    <row r="14" spans="2:4" ht="15">
      <c r="B14" s="78" t="s">
        <v>98</v>
      </c>
      <c r="C14" s="79">
        <v>790</v>
      </c>
      <c r="D14" s="80"/>
    </row>
    <row r="15" spans="2:4" ht="15">
      <c r="B15" s="78" t="s">
        <v>58</v>
      </c>
      <c r="C15" s="79">
        <v>2880</v>
      </c>
      <c r="D15" s="80"/>
    </row>
    <row r="16" spans="2:4" ht="15">
      <c r="B16" s="78" t="s">
        <v>99</v>
      </c>
      <c r="C16" s="79">
        <v>600</v>
      </c>
      <c r="D16" s="80"/>
    </row>
    <row r="17" spans="2:4" ht="15">
      <c r="B17" s="78" t="s">
        <v>100</v>
      </c>
      <c r="C17" s="79">
        <v>350</v>
      </c>
      <c r="D17" s="80"/>
    </row>
    <row r="18" spans="2:4" ht="15">
      <c r="B18" s="78" t="s">
        <v>101</v>
      </c>
      <c r="C18" s="79">
        <v>500</v>
      </c>
      <c r="D18" s="80"/>
    </row>
    <row r="19" spans="2:4" ht="15">
      <c r="B19" s="78" t="s">
        <v>102</v>
      </c>
      <c r="C19" s="79">
        <v>1440</v>
      </c>
      <c r="D19" s="80"/>
    </row>
    <row r="20" spans="2:4" ht="15">
      <c r="B20" s="78" t="s">
        <v>103</v>
      </c>
      <c r="C20" s="79">
        <v>300</v>
      </c>
      <c r="D20" s="80"/>
    </row>
    <row r="21" spans="2:4" ht="15">
      <c r="B21" s="81" t="s">
        <v>104</v>
      </c>
      <c r="C21" s="82">
        <v>340</v>
      </c>
      <c r="D21" s="83"/>
    </row>
    <row r="22" spans="2:4" ht="15">
      <c r="B22" s="6" t="s">
        <v>122</v>
      </c>
      <c r="C22" s="7">
        <v>8100</v>
      </c>
      <c r="D22" s="8"/>
    </row>
    <row r="23" spans="2:4" ht="15">
      <c r="B23" s="6" t="s">
        <v>105</v>
      </c>
      <c r="C23" s="7">
        <v>200</v>
      </c>
      <c r="D23" s="8"/>
    </row>
    <row r="24" spans="2:4" ht="15">
      <c r="B24" s="6" t="s">
        <v>106</v>
      </c>
      <c r="C24" s="7"/>
      <c r="D24" s="8">
        <v>25100</v>
      </c>
    </row>
    <row r="25" spans="2:4" ht="15">
      <c r="B25" s="6"/>
      <c r="C25" s="7"/>
      <c r="D25" s="8"/>
    </row>
    <row r="26" spans="2:4" ht="15">
      <c r="B26" s="48" t="s">
        <v>41</v>
      </c>
      <c r="C26" s="49">
        <f>SUM(C3:C25)</f>
        <v>44020</v>
      </c>
      <c r="D26" s="50">
        <f>SUM(D3:D25)</f>
        <v>44020</v>
      </c>
    </row>
    <row r="27" ht="15">
      <c r="B27" s="2"/>
    </row>
    <row r="28" spans="2:6" ht="15">
      <c r="B28" s="51" t="s">
        <v>49</v>
      </c>
      <c r="C28" s="53" t="str">
        <f>+C38</f>
        <v>X</v>
      </c>
      <c r="D28" s="53" t="str">
        <f>+D38</f>
        <v>Y</v>
      </c>
      <c r="E28" s="53" t="str">
        <f>+E38</f>
        <v>Z</v>
      </c>
      <c r="F28" s="52" t="str">
        <f>+F38</f>
        <v>TOTAL</v>
      </c>
    </row>
    <row r="29" spans="2:6" ht="15">
      <c r="B29" s="54" t="s">
        <v>50</v>
      </c>
      <c r="C29" s="55">
        <v>50000</v>
      </c>
      <c r="D29" s="55">
        <v>30000</v>
      </c>
      <c r="E29" s="55">
        <v>20000</v>
      </c>
      <c r="F29" s="58">
        <f>SUM(C29:E29)</f>
        <v>100000</v>
      </c>
    </row>
    <row r="30" spans="2:6" ht="15">
      <c r="B30" s="54" t="s">
        <v>110</v>
      </c>
      <c r="C30" s="55">
        <v>40000</v>
      </c>
      <c r="D30" s="55">
        <v>18000</v>
      </c>
      <c r="E30" s="55">
        <v>16000</v>
      </c>
      <c r="F30" s="58">
        <f aca="true" t="shared" si="0" ref="F30:F36">SUM(C30:E30)</f>
        <v>74000</v>
      </c>
    </row>
    <row r="31" spans="2:6" ht="15">
      <c r="B31" s="54" t="s">
        <v>111</v>
      </c>
      <c r="C31" s="84">
        <v>1</v>
      </c>
      <c r="D31" s="84">
        <v>1</v>
      </c>
      <c r="E31" s="84">
        <v>1</v>
      </c>
      <c r="F31" s="85"/>
    </row>
    <row r="32" spans="2:6" ht="15">
      <c r="B32" s="54" t="s">
        <v>112</v>
      </c>
      <c r="C32" s="55">
        <f>+C31*C29</f>
        <v>50000</v>
      </c>
      <c r="D32" s="55">
        <f>+D31*D29</f>
        <v>30000</v>
      </c>
      <c r="E32" s="55">
        <f>+E31*E29</f>
        <v>20000</v>
      </c>
      <c r="F32" s="58">
        <f t="shared" si="0"/>
        <v>100000</v>
      </c>
    </row>
    <row r="33" spans="2:6" ht="15">
      <c r="B33" s="54" t="s">
        <v>113</v>
      </c>
      <c r="C33" s="84">
        <v>1</v>
      </c>
      <c r="D33" s="84">
        <v>2</v>
      </c>
      <c r="E33" s="84">
        <v>2.5</v>
      </c>
      <c r="F33" s="58"/>
    </row>
    <row r="34" spans="2:6" ht="15">
      <c r="B34" s="54" t="s">
        <v>114</v>
      </c>
      <c r="C34" s="55">
        <f>+C33*C29</f>
        <v>50000</v>
      </c>
      <c r="D34" s="55">
        <f>+D33*D29</f>
        <v>60000</v>
      </c>
      <c r="E34" s="55">
        <f>+E33*E29</f>
        <v>50000</v>
      </c>
      <c r="F34" s="58">
        <f t="shared" si="0"/>
        <v>160000</v>
      </c>
    </row>
    <row r="35" spans="2:6" ht="15">
      <c r="B35" s="54" t="s">
        <v>115</v>
      </c>
      <c r="C35" s="84">
        <v>0.6</v>
      </c>
      <c r="D35" s="84">
        <v>1.5</v>
      </c>
      <c r="E35" s="84">
        <v>3.75</v>
      </c>
      <c r="F35" s="58"/>
    </row>
    <row r="36" spans="2:6" ht="15">
      <c r="B36" s="59" t="s">
        <v>116</v>
      </c>
      <c r="C36" s="60">
        <f>+C35*C29</f>
        <v>30000</v>
      </c>
      <c r="D36" s="60">
        <f>+D35*D29</f>
        <v>45000</v>
      </c>
      <c r="E36" s="60">
        <f>+E35*E29</f>
        <v>75000</v>
      </c>
      <c r="F36" s="86">
        <f t="shared" si="0"/>
        <v>150000</v>
      </c>
    </row>
    <row r="37" ht="15">
      <c r="B37" s="2"/>
    </row>
    <row r="38" spans="2:6" ht="15">
      <c r="B38" s="45"/>
      <c r="C38" s="53" t="s">
        <v>107</v>
      </c>
      <c r="D38" s="53" t="s">
        <v>108</v>
      </c>
      <c r="E38" s="53" t="s">
        <v>109</v>
      </c>
      <c r="F38" s="52" t="s">
        <v>41</v>
      </c>
    </row>
    <row r="39" spans="2:6" ht="15">
      <c r="B39" s="45" t="str">
        <f aca="true" t="shared" si="1" ref="B39:B48">+B12</f>
        <v>MP consumida</v>
      </c>
      <c r="C39" s="67">
        <f>+$C$12/$F$32*C32</f>
        <v>3500.0000000000005</v>
      </c>
      <c r="D39" s="67">
        <f>+$C$12/$F$32*D32</f>
        <v>2100</v>
      </c>
      <c r="E39" s="67">
        <f>+$C$12/$F$32*E32</f>
        <v>1400.0000000000002</v>
      </c>
      <c r="F39" s="52">
        <f>+SUM(C39:E39)</f>
        <v>7000</v>
      </c>
    </row>
    <row r="40" spans="2:6" ht="15">
      <c r="B40" s="6" t="str">
        <f t="shared" si="1"/>
        <v>MOD</v>
      </c>
      <c r="C40" s="7">
        <f>+$C$13/$F$34*C34</f>
        <v>1875</v>
      </c>
      <c r="D40" s="7">
        <f>+$C$13/$F$34*D34</f>
        <v>2250</v>
      </c>
      <c r="E40" s="7">
        <f>+$C$13/$F$34*E34</f>
        <v>1875</v>
      </c>
      <c r="F40" s="63">
        <f aca="true" t="shared" si="2" ref="F40:F48">+SUM(C40:E40)</f>
        <v>6000</v>
      </c>
    </row>
    <row r="41" spans="2:6" ht="15">
      <c r="B41" s="9" t="str">
        <f t="shared" si="1"/>
        <v>Energia elétrica</v>
      </c>
      <c r="C41" s="10">
        <f>+$C$14/$F$36*C36</f>
        <v>158</v>
      </c>
      <c r="D41" s="10">
        <f>+$C$14/$F$36*D36</f>
        <v>237</v>
      </c>
      <c r="E41" s="10">
        <f>+$C$14/$F$36*E36</f>
        <v>395</v>
      </c>
      <c r="F41" s="50">
        <f t="shared" si="2"/>
        <v>790</v>
      </c>
    </row>
    <row r="42" spans="2:6" ht="15">
      <c r="B42" s="6" t="str">
        <f t="shared" si="1"/>
        <v>Supervisão da produção</v>
      </c>
      <c r="C42" s="7">
        <f>+$C$15/$F$34*C34</f>
        <v>899.9999999999999</v>
      </c>
      <c r="D42" s="7">
        <f>+$C$15/$F$34*D34</f>
        <v>1080</v>
      </c>
      <c r="E42" s="7">
        <f>+$C$15/$F$34*E34</f>
        <v>899.9999999999999</v>
      </c>
      <c r="F42" s="63">
        <f t="shared" si="2"/>
        <v>2880</v>
      </c>
    </row>
    <row r="43" spans="2:6" ht="15">
      <c r="B43" s="6" t="str">
        <f t="shared" si="1"/>
        <v>Aluguel galpão fábrica</v>
      </c>
      <c r="C43" s="7">
        <f>+$C16/$F$34*C34</f>
        <v>187.5</v>
      </c>
      <c r="D43" s="7">
        <f>+$C16/$F$34*D34</f>
        <v>225</v>
      </c>
      <c r="E43" s="7">
        <f>+$C16/$F$34*E34</f>
        <v>187.5</v>
      </c>
      <c r="F43" s="63">
        <f t="shared" si="2"/>
        <v>600</v>
      </c>
    </row>
    <row r="44" spans="2:6" ht="15">
      <c r="B44" s="6" t="str">
        <f t="shared" si="1"/>
        <v>Lubrificantes consum fáb</v>
      </c>
      <c r="C44" s="7">
        <f>+$C17/$F$36*$C$36</f>
        <v>70</v>
      </c>
      <c r="D44" s="7">
        <f>+$C17/$F$36*$D$36</f>
        <v>105.00000000000001</v>
      </c>
      <c r="E44" s="7">
        <f>+$C17/$F$36*$E$36</f>
        <v>175.00000000000003</v>
      </c>
      <c r="F44" s="63">
        <f t="shared" si="2"/>
        <v>350</v>
      </c>
    </row>
    <row r="45" spans="2:6" ht="15">
      <c r="B45" s="6" t="str">
        <f t="shared" si="1"/>
        <v>Manutenção equipam fábrica</v>
      </c>
      <c r="C45" s="7">
        <f>+$C18/$F$36*$C$36</f>
        <v>100</v>
      </c>
      <c r="D45" s="7">
        <f>+$C18/$F$36*$D$36</f>
        <v>150</v>
      </c>
      <c r="E45" s="7">
        <f>+$C18/$F$36*$E$36</f>
        <v>250.00000000000003</v>
      </c>
      <c r="F45" s="63">
        <f t="shared" si="2"/>
        <v>500</v>
      </c>
    </row>
    <row r="46" spans="2:6" ht="15">
      <c r="B46" s="6" t="str">
        <f t="shared" si="1"/>
        <v>Supervisão almoxarifado</v>
      </c>
      <c r="C46" s="7">
        <f>+$C$19/$F$32*C32</f>
        <v>720</v>
      </c>
      <c r="D46" s="7">
        <f>+$C$19/$F$32*D32</f>
        <v>432</v>
      </c>
      <c r="E46" s="7">
        <f>+$C$19/$F$32*E32</f>
        <v>288</v>
      </c>
      <c r="F46" s="63">
        <f t="shared" si="2"/>
        <v>1440</v>
      </c>
    </row>
    <row r="47" spans="2:6" ht="15">
      <c r="B47" s="6" t="str">
        <f t="shared" si="1"/>
        <v>Deprec equipam produç</v>
      </c>
      <c r="C47" s="7">
        <f>+$C20/$F$36*$C$36</f>
        <v>60</v>
      </c>
      <c r="D47" s="7">
        <f>+$C20/$F$36*$D$36</f>
        <v>90</v>
      </c>
      <c r="E47" s="7">
        <f>+$C20/$F$36*$E$36</f>
        <v>150</v>
      </c>
      <c r="F47" s="63">
        <f t="shared" si="2"/>
        <v>300</v>
      </c>
    </row>
    <row r="48" spans="2:6" ht="15">
      <c r="B48" s="9" t="str">
        <f t="shared" si="1"/>
        <v>Seguro equipam fábr</v>
      </c>
      <c r="C48" s="7">
        <f>+$C21/$F$36*$C$36</f>
        <v>68</v>
      </c>
      <c r="D48" s="7">
        <f>+$C21/$F$36*$D$36</f>
        <v>102.00000000000001</v>
      </c>
      <c r="E48" s="7">
        <f>+$C21/$F$36*$E$36</f>
        <v>170</v>
      </c>
      <c r="F48" s="50">
        <f t="shared" si="2"/>
        <v>340</v>
      </c>
    </row>
    <row r="49" spans="2:7" ht="15">
      <c r="B49" s="88" t="s">
        <v>41</v>
      </c>
      <c r="C49" s="89">
        <f>+SUM(C39:C48)</f>
        <v>7638.5</v>
      </c>
      <c r="D49" s="89">
        <f>+SUM(D39:D48)</f>
        <v>6771</v>
      </c>
      <c r="E49" s="89">
        <f>+SUM(E39:E48)</f>
        <v>5790.5</v>
      </c>
      <c r="F49" s="72">
        <f>+SUM(F39:F48)</f>
        <v>20200</v>
      </c>
      <c r="G49" s="74"/>
    </row>
    <row r="51" spans="2:6" ht="15">
      <c r="B51" s="3"/>
      <c r="C51" s="53" t="str">
        <f>+C38</f>
        <v>X</v>
      </c>
      <c r="D51" s="53" t="str">
        <f>+D38</f>
        <v>Y</v>
      </c>
      <c r="E51" s="53" t="str">
        <f>+E38</f>
        <v>Z</v>
      </c>
      <c r="F51" s="52" t="str">
        <f>+F38</f>
        <v>TOTAL</v>
      </c>
    </row>
    <row r="52" spans="2:6" ht="15">
      <c r="B52" s="6" t="s">
        <v>117</v>
      </c>
      <c r="C52" s="87">
        <f>+C49/C29</f>
        <v>0.15277</v>
      </c>
      <c r="D52" s="87">
        <f>+D49/D29</f>
        <v>0.2257</v>
      </c>
      <c r="E52" s="87">
        <f>+E49/E29</f>
        <v>0.289525</v>
      </c>
      <c r="F52" s="8"/>
    </row>
    <row r="53" spans="2:6" ht="15">
      <c r="B53" s="6" t="s">
        <v>118</v>
      </c>
      <c r="C53" s="7">
        <f>+C52*C30</f>
        <v>6110.799999999999</v>
      </c>
      <c r="D53" s="7">
        <f>+D52*D30</f>
        <v>4062.6000000000004</v>
      </c>
      <c r="E53" s="7">
        <f>+E52*E30</f>
        <v>4632.4</v>
      </c>
      <c r="F53" s="63">
        <f>SUM(C53:E53)</f>
        <v>14805.8</v>
      </c>
    </row>
    <row r="54" spans="2:6" ht="15">
      <c r="B54" s="9" t="s">
        <v>119</v>
      </c>
      <c r="C54" s="10">
        <f>+C52*(C29-C30)</f>
        <v>1527.6999999999998</v>
      </c>
      <c r="D54" s="10">
        <f>+D52*(D29-D30)</f>
        <v>2708.4</v>
      </c>
      <c r="E54" s="10">
        <f>+E52*(E29-E30)</f>
        <v>1158.1</v>
      </c>
      <c r="F54" s="50">
        <f>SUM(C54:E54)</f>
        <v>5394.200000000001</v>
      </c>
    </row>
    <row r="55" ht="15">
      <c r="B55" s="2"/>
    </row>
    <row r="56" spans="2:3" ht="15">
      <c r="B56" s="397" t="s">
        <v>120</v>
      </c>
      <c r="C56" s="398"/>
    </row>
    <row r="57" spans="2:3" ht="15">
      <c r="B57" s="91" t="str">
        <f>+B24</f>
        <v>Receita de venda</v>
      </c>
      <c r="C57" s="52">
        <f>+D24</f>
        <v>25100</v>
      </c>
    </row>
    <row r="58" spans="2:3" ht="15">
      <c r="B58" s="6" t="s">
        <v>85</v>
      </c>
      <c r="C58" s="8">
        <f>-F53</f>
        <v>-14805.8</v>
      </c>
    </row>
    <row r="59" spans="2:3" ht="15">
      <c r="B59" s="90" t="s">
        <v>13</v>
      </c>
      <c r="C59" s="63">
        <f>SUM(C57:C58)</f>
        <v>10294.2</v>
      </c>
    </row>
    <row r="60" spans="2:3" ht="15">
      <c r="B60" s="6" t="s">
        <v>123</v>
      </c>
      <c r="C60" s="8">
        <f>-C22</f>
        <v>-8100</v>
      </c>
    </row>
    <row r="61" spans="2:3" ht="15">
      <c r="B61" s="6" t="s">
        <v>121</v>
      </c>
      <c r="C61" s="8">
        <f>-C23</f>
        <v>-200</v>
      </c>
    </row>
    <row r="62" spans="2:3" ht="15">
      <c r="B62" s="90" t="s">
        <v>124</v>
      </c>
      <c r="C62" s="63">
        <f>SUM(C59:C61)</f>
        <v>1994.2000000000007</v>
      </c>
    </row>
    <row r="63" spans="2:3" ht="15">
      <c r="B63" s="6" t="s">
        <v>125</v>
      </c>
      <c r="C63" s="8">
        <f>-C62*30%</f>
        <v>-598.2600000000002</v>
      </c>
    </row>
    <row r="64" spans="2:3" ht="15">
      <c r="B64" s="48" t="s">
        <v>126</v>
      </c>
      <c r="C64" s="50">
        <f>+SUM(C62:C63)</f>
        <v>1395.9400000000005</v>
      </c>
    </row>
    <row r="65" ht="15">
      <c r="B65" s="2"/>
    </row>
    <row r="66" spans="2:3" ht="15">
      <c r="B66" s="397" t="s">
        <v>127</v>
      </c>
      <c r="C66" s="398"/>
    </row>
    <row r="67" spans="2:3" ht="15">
      <c r="B67" s="397" t="s">
        <v>17</v>
      </c>
      <c r="C67" s="398"/>
    </row>
    <row r="68" spans="2:3" ht="15">
      <c r="B68" s="92" t="str">
        <f>+B3</f>
        <v>Disponibilidades</v>
      </c>
      <c r="C68" s="93">
        <f>+C3</f>
        <v>1460</v>
      </c>
    </row>
    <row r="69" spans="2:3" ht="15">
      <c r="B69" s="92" t="str">
        <f>+B4</f>
        <v>Contas a receber</v>
      </c>
      <c r="C69" s="93">
        <f>+C4</f>
        <v>6060</v>
      </c>
    </row>
    <row r="70" spans="2:3" ht="15">
      <c r="B70" s="92" t="s">
        <v>132</v>
      </c>
      <c r="C70" s="93">
        <f>+F54</f>
        <v>5394.200000000001</v>
      </c>
    </row>
    <row r="71" spans="2:3" ht="15">
      <c r="B71" s="92" t="str">
        <f>+B5</f>
        <v>Estoque de MP</v>
      </c>
      <c r="C71" s="93">
        <f>+C5</f>
        <v>5000</v>
      </c>
    </row>
    <row r="72" spans="2:3" ht="15">
      <c r="B72" s="92" t="s">
        <v>128</v>
      </c>
      <c r="C72" s="93">
        <f>+SUM(C6,C8)</f>
        <v>3000</v>
      </c>
    </row>
    <row r="73" spans="2:3" ht="15">
      <c r="B73" s="92" t="s">
        <v>129</v>
      </c>
      <c r="C73" s="93">
        <f>-SUM(D7,D9)</f>
        <v>-400</v>
      </c>
    </row>
    <row r="74" spans="2:3" ht="15">
      <c r="B74" s="48" t="s">
        <v>41</v>
      </c>
      <c r="C74" s="50">
        <f>SUM(C68:C73)</f>
        <v>20514.2</v>
      </c>
    </row>
    <row r="75" spans="2:3" ht="15">
      <c r="B75" s="397" t="s">
        <v>19</v>
      </c>
      <c r="C75" s="398"/>
    </row>
    <row r="76" spans="2:3" ht="15">
      <c r="B76" s="92" t="str">
        <f>+B10</f>
        <v>Empréstimos a pagar</v>
      </c>
      <c r="C76" s="93">
        <f>+D10</f>
        <v>3520</v>
      </c>
    </row>
    <row r="77" spans="2:3" ht="15">
      <c r="B77" s="92" t="s">
        <v>131</v>
      </c>
      <c r="C77" s="93">
        <f>-C63</f>
        <v>598.2600000000002</v>
      </c>
    </row>
    <row r="78" spans="2:3" ht="15">
      <c r="B78" s="92" t="str">
        <f>+B11</f>
        <v>Capital social</v>
      </c>
      <c r="C78" s="93">
        <f>+D11</f>
        <v>15000</v>
      </c>
    </row>
    <row r="79" spans="2:3" ht="15">
      <c r="B79" s="92" t="s">
        <v>130</v>
      </c>
      <c r="C79" s="93">
        <f>+C64</f>
        <v>1395.9400000000005</v>
      </c>
    </row>
    <row r="80" spans="2:3" ht="15">
      <c r="B80" s="48" t="s">
        <v>41</v>
      </c>
      <c r="C80" s="50">
        <f>SUM(C76:C79)</f>
        <v>20514.200000000004</v>
      </c>
    </row>
  </sheetData>
  <sheetProtection/>
  <mergeCells count="4">
    <mergeCell ref="B66:C66"/>
    <mergeCell ref="B67:C67"/>
    <mergeCell ref="B75:C75"/>
    <mergeCell ref="B56:C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3"/>
  <sheetViews>
    <sheetView zoomScale="130" zoomScaleNormal="130" zoomScalePageLayoutView="0" workbookViewId="0" topLeftCell="A7">
      <selection activeCell="F31" sqref="F31"/>
    </sheetView>
  </sheetViews>
  <sheetFormatPr defaultColWidth="9.140625" defaultRowHeight="15"/>
  <cols>
    <col min="1" max="1" width="2.28125" style="1" customWidth="1"/>
    <col min="2" max="2" width="35.140625" style="1" customWidth="1"/>
    <col min="3" max="4" width="10.8515625" style="1" customWidth="1"/>
    <col min="5" max="5" width="9.140625" style="1" customWidth="1"/>
    <col min="6" max="6" width="9.421875" style="1" bestFit="1" customWidth="1"/>
    <col min="7" max="16384" width="9.140625" style="1" customWidth="1"/>
  </cols>
  <sheetData>
    <row r="2" spans="2:9" ht="15">
      <c r="B2" s="74" t="s">
        <v>49</v>
      </c>
      <c r="C2" s="74" t="str">
        <f>+C8</f>
        <v>Estamp</v>
      </c>
      <c r="D2" s="74" t="str">
        <f>+D8</f>
        <v>Furaç</v>
      </c>
      <c r="E2" s="74" t="str">
        <f>+E8</f>
        <v>Montag</v>
      </c>
      <c r="F2" s="74" t="str">
        <f>+F8</f>
        <v>Almox</v>
      </c>
      <c r="G2" s="74" t="str">
        <f>+G8</f>
        <v>Manut</v>
      </c>
      <c r="H2" s="74" t="str">
        <f>+H8</f>
        <v>AGP</v>
      </c>
      <c r="I2" s="74" t="str">
        <f>+I7</f>
        <v>TOTAL</v>
      </c>
    </row>
    <row r="3" spans="2:9" ht="15">
      <c r="B3" s="104" t="s">
        <v>145</v>
      </c>
      <c r="C3" s="105">
        <v>35</v>
      </c>
      <c r="D3" s="105">
        <v>30</v>
      </c>
      <c r="E3" s="105">
        <v>15</v>
      </c>
      <c r="F3" s="105">
        <v>10</v>
      </c>
      <c r="G3" s="105">
        <v>10</v>
      </c>
      <c r="H3" s="105"/>
      <c r="I3" s="106">
        <f>SUM(C3:H3)</f>
        <v>100</v>
      </c>
    </row>
    <row r="4" spans="2:9" ht="15">
      <c r="B4" s="104" t="s">
        <v>147</v>
      </c>
      <c r="C4" s="105">
        <v>4800</v>
      </c>
      <c r="D4" s="105">
        <v>4200</v>
      </c>
      <c r="E4" s="105">
        <v>3000</v>
      </c>
      <c r="F4" s="105">
        <v>0</v>
      </c>
      <c r="G4" s="105">
        <v>0</v>
      </c>
      <c r="H4" s="105">
        <v>0</v>
      </c>
      <c r="I4" s="106">
        <f>SUM(C4:H4)</f>
        <v>12000</v>
      </c>
    </row>
    <row r="5" spans="2:9" ht="15">
      <c r="B5" s="104" t="s">
        <v>149</v>
      </c>
      <c r="C5" s="105">
        <v>600</v>
      </c>
      <c r="D5" s="105">
        <v>300</v>
      </c>
      <c r="E5" s="105">
        <v>300</v>
      </c>
      <c r="F5" s="105"/>
      <c r="G5" s="105"/>
      <c r="H5" s="105"/>
      <c r="I5" s="106">
        <f>SUM(C5:H5)</f>
        <v>1200</v>
      </c>
    </row>
    <row r="7" spans="2:9" ht="15">
      <c r="B7" s="407" t="s">
        <v>57</v>
      </c>
      <c r="C7" s="404" t="s">
        <v>142</v>
      </c>
      <c r="D7" s="405"/>
      <c r="E7" s="406"/>
      <c r="F7" s="404" t="s">
        <v>143</v>
      </c>
      <c r="G7" s="405"/>
      <c r="H7" s="406"/>
      <c r="I7" s="407" t="s">
        <v>41</v>
      </c>
    </row>
    <row r="8" spans="2:9" ht="15">
      <c r="B8" s="408"/>
      <c r="C8" s="99" t="s">
        <v>133</v>
      </c>
      <c r="D8" s="89" t="s">
        <v>134</v>
      </c>
      <c r="E8" s="72" t="s">
        <v>135</v>
      </c>
      <c r="F8" s="99" t="s">
        <v>136</v>
      </c>
      <c r="G8" s="89" t="s">
        <v>137</v>
      </c>
      <c r="H8" s="72" t="s">
        <v>138</v>
      </c>
      <c r="I8" s="408"/>
    </row>
    <row r="9" spans="2:9" ht="15">
      <c r="B9" s="6" t="s">
        <v>139</v>
      </c>
      <c r="C9" s="101">
        <v>159</v>
      </c>
      <c r="D9" s="7">
        <v>57</v>
      </c>
      <c r="E9" s="8">
        <v>46</v>
      </c>
      <c r="F9" s="101">
        <v>90</v>
      </c>
      <c r="G9" s="7">
        <v>112</v>
      </c>
      <c r="H9" s="8">
        <v>336</v>
      </c>
      <c r="I9" s="108">
        <f aca="true" t="shared" si="0" ref="I9:I15">+SUM(C9:H9)</f>
        <v>800</v>
      </c>
    </row>
    <row r="10" spans="2:9" ht="15">
      <c r="B10" s="6" t="s">
        <v>98</v>
      </c>
      <c r="C10" s="101">
        <v>2400</v>
      </c>
      <c r="D10" s="7">
        <v>432</v>
      </c>
      <c r="E10" s="8">
        <v>1340</v>
      </c>
      <c r="F10" s="101">
        <v>240</v>
      </c>
      <c r="G10" s="7">
        <v>240</v>
      </c>
      <c r="H10" s="8">
        <v>148</v>
      </c>
      <c r="I10" s="108">
        <f t="shared" si="0"/>
        <v>4800</v>
      </c>
    </row>
    <row r="11" spans="2:9" ht="15">
      <c r="B11" s="6" t="s">
        <v>140</v>
      </c>
      <c r="C11" s="101">
        <v>532</v>
      </c>
      <c r="D11" s="7">
        <v>672</v>
      </c>
      <c r="E11" s="8">
        <v>390</v>
      </c>
      <c r="F11" s="101">
        <v>140</v>
      </c>
      <c r="G11" s="7">
        <v>170</v>
      </c>
      <c r="H11" s="8">
        <v>896</v>
      </c>
      <c r="I11" s="108">
        <f t="shared" si="0"/>
        <v>2800</v>
      </c>
    </row>
    <row r="12" spans="2:9" ht="15">
      <c r="B12" s="6" t="s">
        <v>141</v>
      </c>
      <c r="C12" s="101">
        <v>0</v>
      </c>
      <c r="D12" s="7">
        <v>0</v>
      </c>
      <c r="E12" s="8">
        <v>0</v>
      </c>
      <c r="F12" s="101">
        <v>0</v>
      </c>
      <c r="G12" s="7">
        <v>0</v>
      </c>
      <c r="H12" s="8">
        <v>3200</v>
      </c>
      <c r="I12" s="108">
        <f t="shared" si="0"/>
        <v>3200</v>
      </c>
    </row>
    <row r="13" spans="2:9" ht="15">
      <c r="B13" s="90" t="s">
        <v>41</v>
      </c>
      <c r="C13" s="107">
        <f aca="true" t="shared" si="1" ref="C13:I13">+SUM(C9:C12)</f>
        <v>3091</v>
      </c>
      <c r="D13" s="62">
        <f t="shared" si="1"/>
        <v>1161</v>
      </c>
      <c r="E13" s="63">
        <f t="shared" si="1"/>
        <v>1776</v>
      </c>
      <c r="F13" s="107">
        <f t="shared" si="1"/>
        <v>470</v>
      </c>
      <c r="G13" s="62">
        <f t="shared" si="1"/>
        <v>522</v>
      </c>
      <c r="H13" s="63">
        <f t="shared" si="1"/>
        <v>4580</v>
      </c>
      <c r="I13" s="108">
        <f t="shared" si="1"/>
        <v>11600</v>
      </c>
    </row>
    <row r="14" spans="2:9" ht="15">
      <c r="B14" s="45" t="s">
        <v>144</v>
      </c>
      <c r="C14" s="3">
        <f>-$H$14/$I$3*C3</f>
        <v>1603</v>
      </c>
      <c r="D14" s="67">
        <f>-$H$14/$I$3*D3</f>
        <v>1374</v>
      </c>
      <c r="E14" s="46">
        <f>-$H$14/$I$3*E3</f>
        <v>687</v>
      </c>
      <c r="F14" s="67">
        <f>-$H$14/$I$3*F3</f>
        <v>458</v>
      </c>
      <c r="G14" s="67">
        <f>-$H$14/$I$3*G3</f>
        <v>458</v>
      </c>
      <c r="H14" s="67">
        <f>-H13</f>
        <v>-4580</v>
      </c>
      <c r="I14" s="109">
        <f t="shared" si="0"/>
        <v>0</v>
      </c>
    </row>
    <row r="15" spans="2:9" ht="15">
      <c r="B15" s="48" t="s">
        <v>41</v>
      </c>
      <c r="C15" s="102">
        <f aca="true" t="shared" si="2" ref="C15:H15">+SUM(C13:C14)</f>
        <v>4694</v>
      </c>
      <c r="D15" s="49">
        <f t="shared" si="2"/>
        <v>2535</v>
      </c>
      <c r="E15" s="50">
        <f t="shared" si="2"/>
        <v>2463</v>
      </c>
      <c r="F15" s="49">
        <f t="shared" si="2"/>
        <v>928</v>
      </c>
      <c r="G15" s="49">
        <f t="shared" si="2"/>
        <v>980</v>
      </c>
      <c r="H15" s="49">
        <f t="shared" si="2"/>
        <v>0</v>
      </c>
      <c r="I15" s="110">
        <f t="shared" si="0"/>
        <v>11600</v>
      </c>
    </row>
    <row r="16" spans="2:9" ht="15">
      <c r="B16" s="45" t="s">
        <v>146</v>
      </c>
      <c r="C16" s="3">
        <f>-$G$16/$I$4*C4</f>
        <v>392</v>
      </c>
      <c r="D16" s="67">
        <f>-$G$16/$I$4*D4</f>
        <v>343</v>
      </c>
      <c r="E16" s="46">
        <f>-$G$16/$I$4*E4</f>
        <v>245</v>
      </c>
      <c r="F16" s="67">
        <f>-$G$16/$I$4*F4</f>
        <v>0</v>
      </c>
      <c r="G16" s="67">
        <f>-G15</f>
        <v>-980</v>
      </c>
      <c r="H16" s="67">
        <v>0</v>
      </c>
      <c r="I16" s="109">
        <f>+SUM(C16:H16)</f>
        <v>0</v>
      </c>
    </row>
    <row r="17" spans="2:9" ht="15">
      <c r="B17" s="48" t="s">
        <v>41</v>
      </c>
      <c r="C17" s="102">
        <f aca="true" t="shared" si="3" ref="C17:H17">+SUM(C15:C16)</f>
        <v>5086</v>
      </c>
      <c r="D17" s="49">
        <f t="shared" si="3"/>
        <v>2878</v>
      </c>
      <c r="E17" s="50">
        <f t="shared" si="3"/>
        <v>2708</v>
      </c>
      <c r="F17" s="49">
        <f t="shared" si="3"/>
        <v>928</v>
      </c>
      <c r="G17" s="49">
        <f t="shared" si="3"/>
        <v>0</v>
      </c>
      <c r="H17" s="49">
        <f t="shared" si="3"/>
        <v>0</v>
      </c>
      <c r="I17" s="110">
        <f>+SUM(C17:H17)</f>
        <v>11600</v>
      </c>
    </row>
    <row r="18" spans="2:9" ht="15">
      <c r="B18" s="45" t="s">
        <v>148</v>
      </c>
      <c r="C18" s="3">
        <f>-$F$18/$I$5*C5</f>
        <v>464</v>
      </c>
      <c r="D18" s="67">
        <f>-$F$18/$I$5*D5</f>
        <v>232</v>
      </c>
      <c r="E18" s="46">
        <f>-$F$18/$I$5*E5</f>
        <v>232</v>
      </c>
      <c r="F18" s="67">
        <f>-F17</f>
        <v>-928</v>
      </c>
      <c r="G18" s="67">
        <f>-G17</f>
        <v>0</v>
      </c>
      <c r="H18" s="67">
        <v>0</v>
      </c>
      <c r="I18" s="109">
        <f>+SUM(C18:H18)</f>
        <v>0</v>
      </c>
    </row>
    <row r="19" spans="2:9" ht="15">
      <c r="B19" s="48" t="s">
        <v>41</v>
      </c>
      <c r="C19" s="102">
        <f aca="true" t="shared" si="4" ref="C19:H19">+SUM(C17:C18)</f>
        <v>5550</v>
      </c>
      <c r="D19" s="49">
        <f t="shared" si="4"/>
        <v>3110</v>
      </c>
      <c r="E19" s="50">
        <f t="shared" si="4"/>
        <v>2940</v>
      </c>
      <c r="F19" s="49">
        <f t="shared" si="4"/>
        <v>0</v>
      </c>
      <c r="G19" s="49">
        <f t="shared" si="4"/>
        <v>0</v>
      </c>
      <c r="H19" s="49">
        <f t="shared" si="4"/>
        <v>0</v>
      </c>
      <c r="I19" s="110">
        <f>+SUM(C19:H19)</f>
        <v>11600</v>
      </c>
    </row>
    <row r="20" ht="15">
      <c r="B20" s="2"/>
    </row>
    <row r="21" spans="2:5" ht="15">
      <c r="B21" s="99" t="s">
        <v>152</v>
      </c>
      <c r="C21" s="89" t="s">
        <v>150</v>
      </c>
      <c r="D21" s="89" t="s">
        <v>151</v>
      </c>
      <c r="E21" s="72" t="s">
        <v>41</v>
      </c>
    </row>
    <row r="22" spans="2:7" ht="15">
      <c r="B22" s="45" t="s">
        <v>153</v>
      </c>
      <c r="C22" s="67">
        <v>8352</v>
      </c>
      <c r="D22" s="67">
        <v>5568</v>
      </c>
      <c r="E22" s="94">
        <f>+SUM(C22:D22)</f>
        <v>13920</v>
      </c>
      <c r="F22" s="397" t="s">
        <v>154</v>
      </c>
      <c r="G22" s="398"/>
    </row>
    <row r="23" spans="2:7" ht="15">
      <c r="B23" s="9" t="s">
        <v>55</v>
      </c>
      <c r="C23" s="10">
        <v>6048</v>
      </c>
      <c r="D23" s="10">
        <v>4032</v>
      </c>
      <c r="E23" s="50">
        <f>+SUM(C23:D23)</f>
        <v>10080</v>
      </c>
      <c r="F23" s="402"/>
      <c r="G23" s="403"/>
    </row>
    <row r="24" spans="2:7" ht="15" customHeight="1">
      <c r="B24" s="45" t="s">
        <v>155</v>
      </c>
      <c r="C24" s="67">
        <f>+$C$19/$E$22*C22</f>
        <v>3330</v>
      </c>
      <c r="D24" s="67">
        <f>+$C$19/$E$22*D22</f>
        <v>2220</v>
      </c>
      <c r="E24" s="95">
        <f>+SUM(C24:D24)</f>
        <v>5550</v>
      </c>
      <c r="F24" s="397" t="s">
        <v>57</v>
      </c>
      <c r="G24" s="398"/>
    </row>
    <row r="25" spans="2:7" ht="15">
      <c r="B25" s="6" t="s">
        <v>156</v>
      </c>
      <c r="C25" s="7">
        <f>+$D$19/$E$22*C22</f>
        <v>1866</v>
      </c>
      <c r="D25" s="7">
        <f>+$D$19/$E$22*D22</f>
        <v>1244</v>
      </c>
      <c r="E25" s="62">
        <f>+SUM(C25:D25)</f>
        <v>3110</v>
      </c>
      <c r="F25" s="400"/>
      <c r="G25" s="401"/>
    </row>
    <row r="26" spans="2:7" ht="15">
      <c r="B26" s="9" t="s">
        <v>157</v>
      </c>
      <c r="C26" s="10">
        <v>0</v>
      </c>
      <c r="D26" s="10">
        <f>+E19</f>
        <v>2940</v>
      </c>
      <c r="E26" s="49">
        <f>+SUM(C26:D26)</f>
        <v>2940</v>
      </c>
      <c r="F26" s="402"/>
      <c r="G26" s="403"/>
    </row>
    <row r="27" spans="2:5" ht="15">
      <c r="B27" s="88" t="s">
        <v>41</v>
      </c>
      <c r="C27" s="89">
        <f>SUM(C22:C26)</f>
        <v>19596</v>
      </c>
      <c r="D27" s="89">
        <f>SUM(D22:D26)</f>
        <v>16004</v>
      </c>
      <c r="E27" s="72">
        <f>+SUM(C27:D27)</f>
        <v>35600</v>
      </c>
    </row>
    <row r="29" spans="2:5" ht="15">
      <c r="B29" s="3"/>
      <c r="C29" s="95" t="str">
        <f>+C21</f>
        <v>DOBRAD</v>
      </c>
      <c r="D29" s="94" t="str">
        <f>+D21</f>
        <v>FECHAD</v>
      </c>
      <c r="E29" s="74"/>
    </row>
    <row r="30" spans="2:5" ht="15">
      <c r="B30" s="112" t="s">
        <v>158</v>
      </c>
      <c r="C30" s="60">
        <v>12000</v>
      </c>
      <c r="D30" s="61">
        <v>4000</v>
      </c>
      <c r="E30" s="103"/>
    </row>
    <row r="32" spans="2:4" ht="15">
      <c r="B32" s="3"/>
      <c r="C32" s="95" t="str">
        <f>+C29</f>
        <v>DOBRAD</v>
      </c>
      <c r="D32" s="94" t="str">
        <f>+D29</f>
        <v>FECHAD</v>
      </c>
    </row>
    <row r="33" spans="2:4" ht="15">
      <c r="B33" s="113" t="s">
        <v>159</v>
      </c>
      <c r="C33" s="114">
        <f>+C27/C30</f>
        <v>1.633</v>
      </c>
      <c r="D33" s="115">
        <f>+D27/D30</f>
        <v>4.001</v>
      </c>
    </row>
  </sheetData>
  <sheetProtection/>
  <mergeCells count="6">
    <mergeCell ref="F24:G26"/>
    <mergeCell ref="C7:E7"/>
    <mergeCell ref="F7:H7"/>
    <mergeCell ref="I7:I8"/>
    <mergeCell ref="B7:B8"/>
    <mergeCell ref="F22:G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3"/>
  <sheetViews>
    <sheetView zoomScale="130" zoomScaleNormal="130" zoomScalePageLayoutView="0" workbookViewId="0" topLeftCell="A2">
      <selection activeCell="E31" sqref="E31"/>
    </sheetView>
  </sheetViews>
  <sheetFormatPr defaultColWidth="9.140625" defaultRowHeight="15"/>
  <cols>
    <col min="1" max="1" width="2.28125" style="1" customWidth="1"/>
    <col min="2" max="2" width="27.421875" style="1" customWidth="1"/>
    <col min="3" max="4" width="10.8515625" style="1" customWidth="1"/>
    <col min="5" max="5" width="9.140625" style="1" customWidth="1"/>
    <col min="6" max="6" width="9.421875" style="1" bestFit="1" customWidth="1"/>
    <col min="7" max="16384" width="9.140625" style="1" customWidth="1"/>
  </cols>
  <sheetData>
    <row r="1" ht="15"/>
    <row r="2" spans="2:3" ht="15">
      <c r="B2" s="397" t="s">
        <v>160</v>
      </c>
      <c r="C2" s="398"/>
    </row>
    <row r="3" spans="2:3" ht="15">
      <c r="B3" s="101" t="s">
        <v>90</v>
      </c>
      <c r="C3" s="8">
        <v>10000</v>
      </c>
    </row>
    <row r="4" spans="2:3" ht="15">
      <c r="B4" s="113" t="s">
        <v>161</v>
      </c>
      <c r="C4" s="11">
        <v>10000</v>
      </c>
    </row>
    <row r="5" ht="15"/>
    <row r="6" spans="2:7" ht="15" customHeight="1">
      <c r="B6" s="397" t="s">
        <v>162</v>
      </c>
      <c r="C6" s="399"/>
      <c r="D6" s="399"/>
      <c r="E6" s="399"/>
      <c r="F6" s="399"/>
      <c r="G6" s="398"/>
    </row>
    <row r="7" spans="2:7" ht="30">
      <c r="B7" s="101"/>
      <c r="C7" s="62" t="s">
        <v>164</v>
      </c>
      <c r="D7" s="62" t="s">
        <v>165</v>
      </c>
      <c r="E7" s="62" t="s">
        <v>166</v>
      </c>
      <c r="F7" s="62" t="s">
        <v>167</v>
      </c>
      <c r="G7" s="111" t="s">
        <v>41</v>
      </c>
    </row>
    <row r="8" spans="2:7" ht="15">
      <c r="B8" s="101" t="s">
        <v>163</v>
      </c>
      <c r="C8" s="7">
        <v>5000</v>
      </c>
      <c r="D8" s="7">
        <v>1000</v>
      </c>
      <c r="E8" s="7">
        <v>1000</v>
      </c>
      <c r="F8" s="7">
        <v>3000</v>
      </c>
      <c r="G8" s="111">
        <f>SUM(C8:F8)</f>
        <v>10000</v>
      </c>
    </row>
    <row r="9" spans="2:7" ht="30">
      <c r="B9" s="113" t="s">
        <v>168</v>
      </c>
      <c r="C9" s="10">
        <v>2500</v>
      </c>
      <c r="D9" s="10">
        <v>1800</v>
      </c>
      <c r="E9" s="10">
        <v>1700</v>
      </c>
      <c r="F9" s="10"/>
      <c r="G9" s="100">
        <f>SUM(C9:F9)</f>
        <v>6000</v>
      </c>
    </row>
    <row r="10" ht="15"/>
    <row r="11" spans="2:7" ht="30">
      <c r="B11" s="96" t="s">
        <v>169</v>
      </c>
      <c r="C11" s="98" t="str">
        <f>+C7</f>
        <v>ANO X1</v>
      </c>
      <c r="D11" s="98" t="str">
        <f>+D7</f>
        <v>ANO X2</v>
      </c>
      <c r="E11" s="97" t="str">
        <f>+E7</f>
        <v>ANO X3</v>
      </c>
      <c r="F11" s="74"/>
      <c r="G11" s="74"/>
    </row>
    <row r="12" spans="2:5" ht="15">
      <c r="B12" s="6" t="s">
        <v>106</v>
      </c>
      <c r="C12" s="7">
        <v>0</v>
      </c>
      <c r="D12" s="7">
        <v>0</v>
      </c>
      <c r="E12" s="8">
        <f>+G8</f>
        <v>10000</v>
      </c>
    </row>
    <row r="13" spans="2:5" ht="15">
      <c r="B13" s="6" t="s">
        <v>170</v>
      </c>
      <c r="C13" s="7">
        <v>0</v>
      </c>
      <c r="D13" s="7">
        <v>0</v>
      </c>
      <c r="E13" s="8">
        <f>-G9</f>
        <v>-6000</v>
      </c>
    </row>
    <row r="14" spans="2:5" ht="15">
      <c r="B14" s="48" t="s">
        <v>13</v>
      </c>
      <c r="C14" s="49">
        <f>SUM(C12:C13)</f>
        <v>0</v>
      </c>
      <c r="D14" s="49">
        <f>SUM(D12:D13)</f>
        <v>0</v>
      </c>
      <c r="E14" s="100">
        <f>SUM(E12:E13)</f>
        <v>4000</v>
      </c>
    </row>
    <row r="16" spans="2:7" ht="15">
      <c r="B16" s="96" t="s">
        <v>4</v>
      </c>
      <c r="C16" s="98" t="str">
        <f>+C11</f>
        <v>ANO X1</v>
      </c>
      <c r="D16" s="98" t="str">
        <f>+D11</f>
        <v>ANO X2</v>
      </c>
      <c r="E16" s="98" t="str">
        <f>+E11</f>
        <v>ANO X3</v>
      </c>
      <c r="F16" s="98" t="str">
        <f>+F7</f>
        <v>ANO X4</v>
      </c>
      <c r="G16" s="97" t="str">
        <f>+G7</f>
        <v>TOTAL</v>
      </c>
    </row>
    <row r="17" spans="2:7" ht="15">
      <c r="B17" s="6" t="s">
        <v>5</v>
      </c>
      <c r="C17" s="7">
        <f>+C8</f>
        <v>5000</v>
      </c>
      <c r="D17" s="7">
        <f>+D8</f>
        <v>1000</v>
      </c>
      <c r="E17" s="7">
        <f>+E8</f>
        <v>1000</v>
      </c>
      <c r="F17" s="7">
        <f>+F8</f>
        <v>3000</v>
      </c>
      <c r="G17" s="111">
        <f>+G8</f>
        <v>10000</v>
      </c>
    </row>
    <row r="18" spans="2:7" ht="15">
      <c r="B18" s="6" t="s">
        <v>6</v>
      </c>
      <c r="C18" s="7">
        <f>-C9</f>
        <v>-2500</v>
      </c>
      <c r="D18" s="7">
        <f>-D9</f>
        <v>-1800</v>
      </c>
      <c r="E18" s="7">
        <f>-E9</f>
        <v>-1700</v>
      </c>
      <c r="F18" s="7">
        <f>-F9</f>
        <v>0</v>
      </c>
      <c r="G18" s="8">
        <f>-G9</f>
        <v>-6000</v>
      </c>
    </row>
    <row r="19" spans="2:7" ht="15">
      <c r="B19" s="48" t="s">
        <v>171</v>
      </c>
      <c r="C19" s="49">
        <f>SUM(C17:C18)</f>
        <v>2500</v>
      </c>
      <c r="D19" s="49">
        <f>SUM(D17:D18)</f>
        <v>-800</v>
      </c>
      <c r="E19" s="49">
        <f>SUM(E17:E18)</f>
        <v>-700</v>
      </c>
      <c r="F19" s="49">
        <f>SUM(F17:F18)</f>
        <v>3000</v>
      </c>
      <c r="G19" s="100">
        <f>SUM(G17:G18)</f>
        <v>4000</v>
      </c>
    </row>
    <row r="20" spans="2:7" ht="15">
      <c r="B20" s="120" t="s">
        <v>8</v>
      </c>
      <c r="C20" s="21">
        <v>10000</v>
      </c>
      <c r="D20" s="21">
        <f>+C21</f>
        <v>12500</v>
      </c>
      <c r="E20" s="21">
        <f>+D21</f>
        <v>11700</v>
      </c>
      <c r="F20" s="21">
        <f>+E21</f>
        <v>11000</v>
      </c>
      <c r="G20" s="21"/>
    </row>
    <row r="21" spans="2:7" ht="15">
      <c r="B21" s="120" t="s">
        <v>9</v>
      </c>
      <c r="C21" s="21">
        <f>+C20+C19</f>
        <v>12500</v>
      </c>
      <c r="D21" s="21">
        <f>+D20+D19</f>
        <v>11700</v>
      </c>
      <c r="E21" s="21">
        <f>+E20+E19</f>
        <v>11000</v>
      </c>
      <c r="F21" s="21">
        <f>+F20+F19</f>
        <v>14000</v>
      </c>
      <c r="G21" s="21"/>
    </row>
    <row r="23" spans="2:5" ht="15">
      <c r="B23" s="404" t="s">
        <v>172</v>
      </c>
      <c r="C23" s="405"/>
      <c r="D23" s="405"/>
      <c r="E23" s="406"/>
    </row>
    <row r="24" spans="2:5" ht="15">
      <c r="B24" s="96" t="s">
        <v>17</v>
      </c>
      <c r="C24" s="98" t="s">
        <v>32</v>
      </c>
      <c r="D24" s="98" t="s">
        <v>33</v>
      </c>
      <c r="E24" s="97" t="s">
        <v>34</v>
      </c>
    </row>
    <row r="25" spans="2:5" ht="15">
      <c r="B25" s="6" t="s">
        <v>173</v>
      </c>
      <c r="C25" s="7">
        <f>+C21</f>
        <v>12500</v>
      </c>
      <c r="D25" s="7">
        <f>+D21</f>
        <v>11700</v>
      </c>
      <c r="E25" s="8">
        <f>+E21</f>
        <v>11000</v>
      </c>
    </row>
    <row r="26" spans="2:5" ht="15">
      <c r="B26" s="6" t="s">
        <v>22</v>
      </c>
      <c r="C26" s="7">
        <v>0</v>
      </c>
      <c r="D26" s="7">
        <v>0</v>
      </c>
      <c r="E26" s="8">
        <f>+F17</f>
        <v>3000</v>
      </c>
    </row>
    <row r="27" spans="2:5" ht="15">
      <c r="B27" s="6" t="s">
        <v>174</v>
      </c>
      <c r="C27" s="7">
        <f>+C9</f>
        <v>2500</v>
      </c>
      <c r="D27" s="7">
        <f>+C27+D9</f>
        <v>4300</v>
      </c>
      <c r="E27" s="8">
        <f>+D27+E9+E13</f>
        <v>0</v>
      </c>
    </row>
    <row r="28" spans="2:5" ht="15">
      <c r="B28" s="48" t="s">
        <v>41</v>
      </c>
      <c r="C28" s="49">
        <f>SUM(C25:C27)</f>
        <v>15000</v>
      </c>
      <c r="D28" s="49">
        <f>SUM(D25:D27)</f>
        <v>16000</v>
      </c>
      <c r="E28" s="100">
        <f>SUM(E25:E27)</f>
        <v>14000</v>
      </c>
    </row>
    <row r="29" spans="2:5" ht="15">
      <c r="B29" s="96" t="s">
        <v>19</v>
      </c>
      <c r="C29" s="98" t="s">
        <v>32</v>
      </c>
      <c r="D29" s="98" t="s">
        <v>33</v>
      </c>
      <c r="E29" s="97" t="s">
        <v>34</v>
      </c>
    </row>
    <row r="30" spans="2:5" ht="15">
      <c r="B30" s="6" t="s">
        <v>177</v>
      </c>
      <c r="C30" s="7">
        <f>+C8</f>
        <v>5000</v>
      </c>
      <c r="D30" s="7">
        <f>+C30+D8</f>
        <v>6000</v>
      </c>
      <c r="E30" s="8">
        <v>0</v>
      </c>
    </row>
    <row r="31" spans="2:5" ht="15">
      <c r="B31" s="6" t="s">
        <v>175</v>
      </c>
      <c r="C31" s="7">
        <v>10000</v>
      </c>
      <c r="D31" s="7">
        <v>10000</v>
      </c>
      <c r="E31" s="8">
        <v>10000</v>
      </c>
    </row>
    <row r="32" spans="2:5" ht="15">
      <c r="B32" s="6" t="s">
        <v>176</v>
      </c>
      <c r="C32" s="7">
        <f>+C14</f>
        <v>0</v>
      </c>
      <c r="D32" s="7">
        <f>+C32+D14</f>
        <v>0</v>
      </c>
      <c r="E32" s="8">
        <f>+D32+E14</f>
        <v>4000</v>
      </c>
    </row>
    <row r="33" spans="2:5" ht="15">
      <c r="B33" s="48" t="s">
        <v>41</v>
      </c>
      <c r="C33" s="49">
        <f>SUM(C30:C32)</f>
        <v>15000</v>
      </c>
      <c r="D33" s="49">
        <f>SUM(D30:D32)</f>
        <v>16000</v>
      </c>
      <c r="E33" s="100">
        <f>SUM(E30:E32)</f>
        <v>14000</v>
      </c>
    </row>
  </sheetData>
  <sheetProtection/>
  <mergeCells count="3">
    <mergeCell ref="B2:C2"/>
    <mergeCell ref="B6:G6"/>
    <mergeCell ref="B23:E2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5"/>
  <sheetViews>
    <sheetView zoomScale="130" zoomScaleNormal="130" zoomScalePageLayoutView="0" workbookViewId="0" topLeftCell="A7">
      <selection activeCell="E29" sqref="E29"/>
    </sheetView>
  </sheetViews>
  <sheetFormatPr defaultColWidth="9.140625" defaultRowHeight="15"/>
  <cols>
    <col min="1" max="1" width="2.28125" style="1" customWidth="1"/>
    <col min="2" max="2" width="27.421875" style="1" customWidth="1"/>
    <col min="3" max="4" width="10.8515625" style="1" customWidth="1"/>
    <col min="5" max="5" width="9.140625" style="1" customWidth="1"/>
    <col min="6" max="6" width="9.421875" style="1" bestFit="1" customWidth="1"/>
    <col min="7" max="16384" width="9.140625" style="1" customWidth="1"/>
  </cols>
  <sheetData>
    <row r="1" ht="15"/>
    <row r="2" spans="2:3" ht="15">
      <c r="B2" s="397" t="s">
        <v>160</v>
      </c>
      <c r="C2" s="398"/>
    </row>
    <row r="3" spans="2:3" ht="15">
      <c r="B3" s="101" t="s">
        <v>90</v>
      </c>
      <c r="C3" s="8">
        <v>10000</v>
      </c>
    </row>
    <row r="4" spans="2:3" ht="15">
      <c r="B4" s="113" t="s">
        <v>161</v>
      </c>
      <c r="C4" s="11">
        <v>10000</v>
      </c>
    </row>
    <row r="5" ht="15"/>
    <row r="6" spans="2:7" ht="15" customHeight="1">
      <c r="B6" s="397" t="s">
        <v>162</v>
      </c>
      <c r="C6" s="399"/>
      <c r="D6" s="399"/>
      <c r="E6" s="399"/>
      <c r="F6" s="399"/>
      <c r="G6" s="398"/>
    </row>
    <row r="7" spans="2:7" ht="30">
      <c r="B7" s="101"/>
      <c r="C7" s="62" t="s">
        <v>164</v>
      </c>
      <c r="D7" s="62" t="s">
        <v>165</v>
      </c>
      <c r="E7" s="62" t="s">
        <v>166</v>
      </c>
      <c r="F7" s="62" t="s">
        <v>167</v>
      </c>
      <c r="G7" s="111" t="s">
        <v>41</v>
      </c>
    </row>
    <row r="8" spans="2:7" ht="15">
      <c r="B8" s="411" t="s">
        <v>163</v>
      </c>
      <c r="C8" s="76">
        <v>5000</v>
      </c>
      <c r="D8" s="76">
        <v>1000</v>
      </c>
      <c r="E8" s="76">
        <v>1000</v>
      </c>
      <c r="F8" s="76">
        <v>3000</v>
      </c>
      <c r="G8" s="126">
        <f>SUM(C8:F8)</f>
        <v>10000</v>
      </c>
    </row>
    <row r="9" spans="2:7" ht="15">
      <c r="B9" s="410"/>
      <c r="C9" s="122">
        <f>+C8/$G$8</f>
        <v>0.5</v>
      </c>
      <c r="D9" s="122">
        <f>+D8/$G$8</f>
        <v>0.1</v>
      </c>
      <c r="E9" s="122">
        <f>+E8/$G$8</f>
        <v>0.1</v>
      </c>
      <c r="F9" s="122">
        <f>+F8/$G$8</f>
        <v>0.3</v>
      </c>
      <c r="G9" s="123">
        <f>SUM(C9:F9)</f>
        <v>1</v>
      </c>
    </row>
    <row r="10" spans="2:7" ht="15">
      <c r="B10" s="409" t="s">
        <v>168</v>
      </c>
      <c r="C10" s="79">
        <v>2500</v>
      </c>
      <c r="D10" s="79">
        <v>1800</v>
      </c>
      <c r="E10" s="79">
        <v>1700</v>
      </c>
      <c r="F10" s="79"/>
      <c r="G10" s="121">
        <f>SUM(C10:F10)</f>
        <v>6000</v>
      </c>
    </row>
    <row r="11" spans="2:7" ht="15">
      <c r="B11" s="410"/>
      <c r="C11" s="122">
        <f>+C10/$G$10</f>
        <v>0.4166666666666667</v>
      </c>
      <c r="D11" s="122">
        <f>+D10/$G$10</f>
        <v>0.3</v>
      </c>
      <c r="E11" s="122">
        <f>+E10/$G$10</f>
        <v>0.2833333333333333</v>
      </c>
      <c r="F11" s="82"/>
      <c r="G11" s="123">
        <f>SUM(C11:F11)</f>
        <v>1</v>
      </c>
    </row>
    <row r="12" ht="15"/>
    <row r="13" spans="2:7" ht="30">
      <c r="B13" s="96" t="s">
        <v>169</v>
      </c>
      <c r="C13" s="98" t="str">
        <f>+C7</f>
        <v>ANO X1</v>
      </c>
      <c r="D13" s="98" t="str">
        <f>+D7</f>
        <v>ANO X2</v>
      </c>
      <c r="E13" s="97" t="str">
        <f>+E7</f>
        <v>ANO X3</v>
      </c>
      <c r="F13" s="74"/>
      <c r="G13" s="74"/>
    </row>
    <row r="14" spans="2:5" ht="15">
      <c r="B14" s="6" t="s">
        <v>106</v>
      </c>
      <c r="C14" s="7">
        <f>+$G$8*C11</f>
        <v>4166.666666666667</v>
      </c>
      <c r="D14" s="7">
        <f>+$G$8*D11</f>
        <v>3000</v>
      </c>
      <c r="E14" s="8">
        <f>+$G$8*E11</f>
        <v>2833.3333333333335</v>
      </c>
    </row>
    <row r="15" spans="2:5" ht="15">
      <c r="B15" s="6" t="s">
        <v>170</v>
      </c>
      <c r="C15" s="7">
        <f>-C10</f>
        <v>-2500</v>
      </c>
      <c r="D15" s="7">
        <f>-D10</f>
        <v>-1800</v>
      </c>
      <c r="E15" s="8">
        <f>-E10</f>
        <v>-1700</v>
      </c>
    </row>
    <row r="16" spans="2:5" ht="15">
      <c r="B16" s="48" t="s">
        <v>13</v>
      </c>
      <c r="C16" s="49">
        <f>SUM(C14:C15)</f>
        <v>1666.666666666667</v>
      </c>
      <c r="D16" s="49">
        <f>SUM(D14:D15)</f>
        <v>1200</v>
      </c>
      <c r="E16" s="100">
        <f>SUM(E14:E15)</f>
        <v>1133.3333333333335</v>
      </c>
    </row>
    <row r="18" spans="2:7" ht="15">
      <c r="B18" s="96" t="s">
        <v>4</v>
      </c>
      <c r="C18" s="98" t="str">
        <f>+C13</f>
        <v>ANO X1</v>
      </c>
      <c r="D18" s="98" t="str">
        <f>+D13</f>
        <v>ANO X2</v>
      </c>
      <c r="E18" s="98" t="str">
        <f>+E13</f>
        <v>ANO X3</v>
      </c>
      <c r="F18" s="98" t="str">
        <f>+F7</f>
        <v>ANO X4</v>
      </c>
      <c r="G18" s="97" t="str">
        <f>+G7</f>
        <v>TOTAL</v>
      </c>
    </row>
    <row r="19" spans="2:7" ht="15">
      <c r="B19" s="6" t="s">
        <v>5</v>
      </c>
      <c r="C19" s="7">
        <f>+C8</f>
        <v>5000</v>
      </c>
      <c r="D19" s="7">
        <f>+D8</f>
        <v>1000</v>
      </c>
      <c r="E19" s="7">
        <f>+E8</f>
        <v>1000</v>
      </c>
      <c r="F19" s="7">
        <f>+F8</f>
        <v>3000</v>
      </c>
      <c r="G19" s="111">
        <f>+G8</f>
        <v>10000</v>
      </c>
    </row>
    <row r="20" spans="2:7" ht="15">
      <c r="B20" s="6" t="s">
        <v>6</v>
      </c>
      <c r="C20" s="7">
        <f>-C10</f>
        <v>-2500</v>
      </c>
      <c r="D20" s="7">
        <f>-D10</f>
        <v>-1800</v>
      </c>
      <c r="E20" s="7">
        <f>-E10</f>
        <v>-1700</v>
      </c>
      <c r="F20" s="7">
        <f>-F10</f>
        <v>0</v>
      </c>
      <c r="G20" s="8">
        <f>-G10</f>
        <v>-6000</v>
      </c>
    </row>
    <row r="21" spans="2:7" ht="15">
      <c r="B21" s="48" t="s">
        <v>171</v>
      </c>
      <c r="C21" s="49">
        <f>SUM(C19:C20)</f>
        <v>2500</v>
      </c>
      <c r="D21" s="49">
        <f>SUM(D19:D20)</f>
        <v>-800</v>
      </c>
      <c r="E21" s="49">
        <f>SUM(E19:E20)</f>
        <v>-700</v>
      </c>
      <c r="F21" s="49">
        <f>SUM(F19:F20)</f>
        <v>3000</v>
      </c>
      <c r="G21" s="100">
        <f>SUM(G19:G20)</f>
        <v>4000</v>
      </c>
    </row>
    <row r="22" spans="2:7" ht="15">
      <c r="B22" s="124" t="s">
        <v>8</v>
      </c>
      <c r="C22" s="13">
        <v>10000</v>
      </c>
      <c r="D22" s="13">
        <f>+C23</f>
        <v>12500</v>
      </c>
      <c r="E22" s="13">
        <f>+D23</f>
        <v>11700</v>
      </c>
      <c r="F22" s="13">
        <f>+E23</f>
        <v>11000</v>
      </c>
      <c r="G22" s="14"/>
    </row>
    <row r="23" spans="2:7" ht="15">
      <c r="B23" s="125" t="s">
        <v>9</v>
      </c>
      <c r="C23" s="16">
        <f>+C22+C21</f>
        <v>12500</v>
      </c>
      <c r="D23" s="16">
        <f>+D22+D21</f>
        <v>11700</v>
      </c>
      <c r="E23" s="16">
        <f>+E22+E21</f>
        <v>11000</v>
      </c>
      <c r="F23" s="16">
        <f>+F22+F21</f>
        <v>14000</v>
      </c>
      <c r="G23" s="17"/>
    </row>
    <row r="25" spans="2:5" ht="15">
      <c r="B25" s="404" t="s">
        <v>172</v>
      </c>
      <c r="C25" s="405"/>
      <c r="D25" s="405"/>
      <c r="E25" s="406"/>
    </row>
    <row r="26" spans="2:5" ht="15">
      <c r="B26" s="96" t="s">
        <v>17</v>
      </c>
      <c r="C26" s="98" t="s">
        <v>32</v>
      </c>
      <c r="D26" s="98" t="s">
        <v>33</v>
      </c>
      <c r="E26" s="97" t="s">
        <v>34</v>
      </c>
    </row>
    <row r="27" spans="2:5" ht="15">
      <c r="B27" s="6" t="s">
        <v>173</v>
      </c>
      <c r="C27" s="7">
        <f>+C23</f>
        <v>12500</v>
      </c>
      <c r="D27" s="7">
        <f>+D23</f>
        <v>11700</v>
      </c>
      <c r="E27" s="8">
        <f>+E23</f>
        <v>11000</v>
      </c>
    </row>
    <row r="28" spans="2:5" ht="15">
      <c r="B28" s="6" t="s">
        <v>22</v>
      </c>
      <c r="C28" s="7">
        <v>0</v>
      </c>
      <c r="D28" s="7">
        <f>+D14-D19-C32</f>
        <v>1166.666666666667</v>
      </c>
      <c r="E28" s="8">
        <f>+E14-E19+D28</f>
        <v>3000.0000000000005</v>
      </c>
    </row>
    <row r="29" spans="2:5" ht="15">
      <c r="B29" s="6" t="s">
        <v>174</v>
      </c>
      <c r="C29" s="7"/>
      <c r="D29" s="7"/>
      <c r="E29" s="8"/>
    </row>
    <row r="30" spans="2:5" ht="15">
      <c r="B30" s="48" t="s">
        <v>41</v>
      </c>
      <c r="C30" s="49">
        <f>SUM(C27:C29)</f>
        <v>12500</v>
      </c>
      <c r="D30" s="49">
        <f>SUM(D27:D29)</f>
        <v>12866.666666666668</v>
      </c>
      <c r="E30" s="100">
        <f>SUM(E27:E29)</f>
        <v>14000</v>
      </c>
    </row>
    <row r="31" spans="2:5" ht="15">
      <c r="B31" s="96" t="s">
        <v>19</v>
      </c>
      <c r="C31" s="98" t="s">
        <v>32</v>
      </c>
      <c r="D31" s="98" t="s">
        <v>33</v>
      </c>
      <c r="E31" s="97" t="s">
        <v>34</v>
      </c>
    </row>
    <row r="32" spans="2:5" ht="15">
      <c r="B32" s="6" t="s">
        <v>177</v>
      </c>
      <c r="C32" s="7">
        <f>+C19-C14</f>
        <v>833.333333333333</v>
      </c>
      <c r="D32" s="7">
        <v>0</v>
      </c>
      <c r="E32" s="8"/>
    </row>
    <row r="33" spans="2:5" ht="15">
      <c r="B33" s="6" t="s">
        <v>175</v>
      </c>
      <c r="C33" s="7">
        <v>10000</v>
      </c>
      <c r="D33" s="7">
        <v>10000</v>
      </c>
      <c r="E33" s="8">
        <v>10000</v>
      </c>
    </row>
    <row r="34" spans="2:5" ht="15">
      <c r="B34" s="6" t="s">
        <v>176</v>
      </c>
      <c r="C34" s="7">
        <f>+C16</f>
        <v>1666.666666666667</v>
      </c>
      <c r="D34" s="7">
        <f>+C34+D16</f>
        <v>2866.666666666667</v>
      </c>
      <c r="E34" s="8">
        <f>+D34+E16</f>
        <v>4000.0000000000005</v>
      </c>
    </row>
    <row r="35" spans="2:5" ht="15">
      <c r="B35" s="48" t="s">
        <v>41</v>
      </c>
      <c r="C35" s="49">
        <f>SUM(C32:C34)</f>
        <v>12500</v>
      </c>
      <c r="D35" s="49">
        <f>SUM(D32:D34)</f>
        <v>12866.666666666668</v>
      </c>
      <c r="E35" s="100">
        <f>SUM(E32:E34)</f>
        <v>14000</v>
      </c>
    </row>
  </sheetData>
  <sheetProtection/>
  <mergeCells count="5">
    <mergeCell ref="B2:C2"/>
    <mergeCell ref="B6:G6"/>
    <mergeCell ref="B25:E25"/>
    <mergeCell ref="B10:B11"/>
    <mergeCell ref="B8:B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5"/>
  <sheetViews>
    <sheetView zoomScale="130" zoomScaleNormal="130" zoomScalePageLayoutView="0" workbookViewId="0" topLeftCell="A12">
      <selection activeCell="G32" sqref="G32"/>
    </sheetView>
  </sheetViews>
  <sheetFormatPr defaultColWidth="9.140625" defaultRowHeight="15" outlineLevelRow="1"/>
  <cols>
    <col min="1" max="1" width="2.28125" style="1" customWidth="1"/>
    <col min="2" max="2" width="27.421875" style="1" customWidth="1"/>
    <col min="3" max="4" width="10.8515625" style="1" customWidth="1"/>
    <col min="5" max="5" width="9.421875" style="1" bestFit="1" customWidth="1"/>
    <col min="6" max="8" width="9.140625" style="1" customWidth="1"/>
    <col min="9" max="9" width="9.421875" style="1" bestFit="1" customWidth="1"/>
    <col min="10" max="16384" width="9.140625" style="1" customWidth="1"/>
  </cols>
  <sheetData>
    <row r="1" ht="15"/>
    <row r="2" spans="2:3" ht="15">
      <c r="B2" s="136" t="s">
        <v>57</v>
      </c>
      <c r="C2" s="137">
        <v>54000</v>
      </c>
    </row>
    <row r="3" ht="15"/>
    <row r="4" spans="2:9" ht="15" customHeight="1">
      <c r="B4" s="116" t="s">
        <v>190</v>
      </c>
      <c r="C4" s="397" t="s">
        <v>178</v>
      </c>
      <c r="D4" s="399"/>
      <c r="E4" s="398"/>
      <c r="F4" s="397" t="s">
        <v>179</v>
      </c>
      <c r="G4" s="399"/>
      <c r="H4" s="398"/>
      <c r="I4" s="116" t="s">
        <v>41</v>
      </c>
    </row>
    <row r="5" spans="2:9" ht="15">
      <c r="B5" s="145" t="s">
        <v>180</v>
      </c>
      <c r="C5" s="412">
        <v>6000</v>
      </c>
      <c r="D5" s="413"/>
      <c r="E5" s="414"/>
      <c r="F5" s="412">
        <v>3000</v>
      </c>
      <c r="G5" s="413"/>
      <c r="H5" s="414"/>
      <c r="I5" s="143">
        <f>SUM(C5:G5)</f>
        <v>9000</v>
      </c>
    </row>
    <row r="6" spans="2:9" ht="15">
      <c r="B6" s="146"/>
      <c r="C6" s="118" t="s">
        <v>181</v>
      </c>
      <c r="D6" s="62" t="s">
        <v>182</v>
      </c>
      <c r="E6" s="119" t="s">
        <v>194</v>
      </c>
      <c r="F6" s="118" t="s">
        <v>181</v>
      </c>
      <c r="G6" s="62" t="s">
        <v>182</v>
      </c>
      <c r="H6" s="119" t="s">
        <v>194</v>
      </c>
      <c r="I6" s="108" t="s">
        <v>182</v>
      </c>
    </row>
    <row r="7" spans="2:9" ht="15" hidden="1" outlineLevel="1">
      <c r="B7" s="147" t="s">
        <v>192</v>
      </c>
      <c r="C7" s="138">
        <v>30</v>
      </c>
      <c r="D7" s="7">
        <f>+C7*C$5</f>
        <v>180000</v>
      </c>
      <c r="E7" s="139">
        <f>+D7/D$7</f>
        <v>1</v>
      </c>
      <c r="F7" s="138">
        <v>41</v>
      </c>
      <c r="G7" s="7">
        <f>+F7*F$5</f>
        <v>123000</v>
      </c>
      <c r="H7" s="139">
        <f>+G7/G$7</f>
        <v>1</v>
      </c>
      <c r="I7" s="108">
        <f>+D7+G7</f>
        <v>303000</v>
      </c>
    </row>
    <row r="8" spans="2:9" ht="15" hidden="1" outlineLevel="1">
      <c r="B8" s="147" t="s">
        <v>183</v>
      </c>
      <c r="C8" s="138">
        <v>-12</v>
      </c>
      <c r="D8" s="7">
        <f>+C8*C$5</f>
        <v>-72000</v>
      </c>
      <c r="E8" s="139">
        <f>+D8/D$7</f>
        <v>-0.4</v>
      </c>
      <c r="F8" s="138">
        <v>-18</v>
      </c>
      <c r="G8" s="7">
        <f>+F8*F$5</f>
        <v>-54000</v>
      </c>
      <c r="H8" s="139">
        <f>+G8/G$7</f>
        <v>-0.43902439024390244</v>
      </c>
      <c r="I8" s="108">
        <f>+D8+G8</f>
        <v>-126000</v>
      </c>
    </row>
    <row r="9" spans="2:9" ht="15" hidden="1" outlineLevel="1">
      <c r="B9" s="147" t="s">
        <v>184</v>
      </c>
      <c r="C9" s="138">
        <v>-6</v>
      </c>
      <c r="D9" s="7">
        <f>+C9*C$5</f>
        <v>-36000</v>
      </c>
      <c r="E9" s="139">
        <f>+D9/D$7</f>
        <v>-0.2</v>
      </c>
      <c r="F9" s="138">
        <v>-3</v>
      </c>
      <c r="G9" s="7">
        <f>+F9*F$5</f>
        <v>-9000</v>
      </c>
      <c r="H9" s="139">
        <f>+G9/G$7</f>
        <v>-0.07317073170731707</v>
      </c>
      <c r="I9" s="108">
        <f>+D9+G9</f>
        <v>-45000</v>
      </c>
    </row>
    <row r="10" spans="2:9" ht="15" hidden="1" outlineLevel="1">
      <c r="B10" s="147" t="s">
        <v>191</v>
      </c>
      <c r="C10" s="138">
        <f>+D10/C5</f>
        <v>-5.142857142857142</v>
      </c>
      <c r="D10" s="7">
        <f>-$C$2/$I$8*D8</f>
        <v>-30857.142857142855</v>
      </c>
      <c r="E10" s="139">
        <f>+D10/D$7</f>
        <v>-0.17142857142857143</v>
      </c>
      <c r="F10" s="138">
        <f>+G10/F5</f>
        <v>-7.7142857142857135</v>
      </c>
      <c r="G10" s="7">
        <f>-$C$2/$I$8*G8</f>
        <v>-23142.85714285714</v>
      </c>
      <c r="H10" s="139">
        <f>+G10/G$7</f>
        <v>-0.1881533101045296</v>
      </c>
      <c r="I10" s="108">
        <f>+D10+G10</f>
        <v>-54000</v>
      </c>
    </row>
    <row r="11" spans="2:9" ht="15" collapsed="1">
      <c r="B11" s="148" t="s">
        <v>193</v>
      </c>
      <c r="C11" s="140">
        <f>SUM(C7:C10)</f>
        <v>6.857142857142858</v>
      </c>
      <c r="D11" s="141">
        <f>SUM(D7:D10)</f>
        <v>41142.857142857145</v>
      </c>
      <c r="E11" s="142">
        <f>+D11/D$7</f>
        <v>0.2285714285714286</v>
      </c>
      <c r="F11" s="140">
        <f>SUM(F7:F10)</f>
        <v>12.285714285714286</v>
      </c>
      <c r="G11" s="141">
        <f>SUM(G7:G10)</f>
        <v>36857.142857142855</v>
      </c>
      <c r="H11" s="142">
        <f>+G11/G$7</f>
        <v>0.29965156794425085</v>
      </c>
      <c r="I11" s="144">
        <f>+D11+G11</f>
        <v>78000</v>
      </c>
    </row>
    <row r="12" spans="2:3" ht="15">
      <c r="B12" s="2"/>
      <c r="C12" s="135"/>
    </row>
    <row r="13" spans="2:9" ht="15" customHeight="1">
      <c r="B13" s="116" t="s">
        <v>190</v>
      </c>
      <c r="C13" s="397" t="s">
        <v>178</v>
      </c>
      <c r="D13" s="399"/>
      <c r="E13" s="398"/>
      <c r="F13" s="397" t="s">
        <v>179</v>
      </c>
      <c r="G13" s="399"/>
      <c r="H13" s="398"/>
      <c r="I13" s="116" t="s">
        <v>41</v>
      </c>
    </row>
    <row r="14" spans="2:9" ht="15">
      <c r="B14" s="145" t="s">
        <v>180</v>
      </c>
      <c r="C14" s="412">
        <v>6000</v>
      </c>
      <c r="D14" s="413"/>
      <c r="E14" s="414"/>
      <c r="F14" s="412">
        <v>3000</v>
      </c>
      <c r="G14" s="413"/>
      <c r="H14" s="414"/>
      <c r="I14" s="143">
        <f>SUM(C14:G14)</f>
        <v>9000</v>
      </c>
    </row>
    <row r="15" spans="2:9" ht="15">
      <c r="B15" s="146"/>
      <c r="C15" s="118" t="s">
        <v>181</v>
      </c>
      <c r="D15" s="62" t="s">
        <v>182</v>
      </c>
      <c r="E15" s="119" t="s">
        <v>194</v>
      </c>
      <c r="F15" s="118" t="s">
        <v>181</v>
      </c>
      <c r="G15" s="62" t="s">
        <v>182</v>
      </c>
      <c r="H15" s="119" t="s">
        <v>194</v>
      </c>
      <c r="I15" s="108" t="s">
        <v>182</v>
      </c>
    </row>
    <row r="16" spans="2:9" ht="15" hidden="1" outlineLevel="1">
      <c r="B16" s="147" t="s">
        <v>192</v>
      </c>
      <c r="C16" s="138">
        <v>30</v>
      </c>
      <c r="D16" s="7">
        <f>+C16*C$5</f>
        <v>180000</v>
      </c>
      <c r="E16" s="139">
        <f>+D16/D$7</f>
        <v>1</v>
      </c>
      <c r="F16" s="138">
        <v>41</v>
      </c>
      <c r="G16" s="7">
        <f>+F16*F$5</f>
        <v>123000</v>
      </c>
      <c r="H16" s="139">
        <f>+G16/G$7</f>
        <v>1</v>
      </c>
      <c r="I16" s="108">
        <f>+D16+G16</f>
        <v>303000</v>
      </c>
    </row>
    <row r="17" spans="2:9" ht="15" hidden="1" outlineLevel="1">
      <c r="B17" s="147" t="s">
        <v>183</v>
      </c>
      <c r="C17" s="138">
        <v>-12</v>
      </c>
      <c r="D17" s="7">
        <f>+C17*C$5</f>
        <v>-72000</v>
      </c>
      <c r="E17" s="139">
        <f>+D17/D$7</f>
        <v>-0.4</v>
      </c>
      <c r="F17" s="138">
        <v>-18</v>
      </c>
      <c r="G17" s="7">
        <f>+F17*F$5</f>
        <v>-54000</v>
      </c>
      <c r="H17" s="139">
        <f>+G17/G$7</f>
        <v>-0.43902439024390244</v>
      </c>
      <c r="I17" s="108">
        <f>+D17+G17</f>
        <v>-126000</v>
      </c>
    </row>
    <row r="18" spans="2:9" ht="15" hidden="1" outlineLevel="1">
      <c r="B18" s="147" t="s">
        <v>184</v>
      </c>
      <c r="C18" s="138">
        <v>-6</v>
      </c>
      <c r="D18" s="7">
        <f>+C18*C$5</f>
        <v>-36000</v>
      </c>
      <c r="E18" s="139">
        <f>+D18/D$7</f>
        <v>-0.2</v>
      </c>
      <c r="F18" s="138">
        <v>-3</v>
      </c>
      <c r="G18" s="7">
        <f>+F18*F$5</f>
        <v>-9000</v>
      </c>
      <c r="H18" s="139">
        <f>+G18/G$7</f>
        <v>-0.07317073170731707</v>
      </c>
      <c r="I18" s="108">
        <f>+D18+G18</f>
        <v>-45000</v>
      </c>
    </row>
    <row r="19" spans="2:9" ht="15" hidden="1" outlineLevel="1">
      <c r="B19" s="147" t="s">
        <v>191</v>
      </c>
      <c r="C19" s="138">
        <f>+D19/C14</f>
        <v>-7.2</v>
      </c>
      <c r="D19" s="7">
        <f>-$C$2/$I$18*D18</f>
        <v>-43200</v>
      </c>
      <c r="E19" s="139">
        <f>+D19/D$7</f>
        <v>-0.24</v>
      </c>
      <c r="F19" s="138">
        <f>+G19/F14</f>
        <v>-3.6</v>
      </c>
      <c r="G19" s="7">
        <f>-$C$2/$I$18*G18</f>
        <v>-10800</v>
      </c>
      <c r="H19" s="139">
        <f>+G19/G$7</f>
        <v>-0.08780487804878048</v>
      </c>
      <c r="I19" s="108">
        <f>+D19+G19</f>
        <v>-54000</v>
      </c>
    </row>
    <row r="20" spans="2:9" ht="15" collapsed="1">
      <c r="B20" s="148" t="s">
        <v>193</v>
      </c>
      <c r="C20" s="140">
        <f>SUM(C16:C19)</f>
        <v>4.8</v>
      </c>
      <c r="D20" s="141">
        <f>SUM(D16:D19)</f>
        <v>28800</v>
      </c>
      <c r="E20" s="142">
        <f>+D20/D$7</f>
        <v>0.16</v>
      </c>
      <c r="F20" s="140">
        <f>SUM(F16:F19)</f>
        <v>16.4</v>
      </c>
      <c r="G20" s="141">
        <f>SUM(G16:G19)</f>
        <v>49200</v>
      </c>
      <c r="H20" s="142">
        <f>+G20/G$7</f>
        <v>0.4</v>
      </c>
      <c r="I20" s="144">
        <f>+D20+G20</f>
        <v>78000</v>
      </c>
    </row>
    <row r="21" ht="15"/>
    <row r="22" spans="2:9" ht="15" customHeight="1">
      <c r="B22" s="116" t="s">
        <v>195</v>
      </c>
      <c r="C22" s="397" t="s">
        <v>178</v>
      </c>
      <c r="D22" s="399"/>
      <c r="E22" s="398"/>
      <c r="F22" s="397" t="s">
        <v>179</v>
      </c>
      <c r="G22" s="399"/>
      <c r="H22" s="398"/>
      <c r="I22" s="116" t="s">
        <v>41</v>
      </c>
    </row>
    <row r="23" spans="2:9" ht="15">
      <c r="B23" s="145" t="s">
        <v>180</v>
      </c>
      <c r="C23" s="412">
        <v>6000</v>
      </c>
      <c r="D23" s="413"/>
      <c r="E23" s="414"/>
      <c r="F23" s="412">
        <v>3000</v>
      </c>
      <c r="G23" s="413"/>
      <c r="H23" s="414"/>
      <c r="I23" s="143">
        <f>SUM(C23:G23)</f>
        <v>9000</v>
      </c>
    </row>
    <row r="24" spans="2:9" ht="15">
      <c r="B24" s="146"/>
      <c r="C24" s="118" t="s">
        <v>181</v>
      </c>
      <c r="D24" s="62" t="s">
        <v>182</v>
      </c>
      <c r="E24" s="119" t="s">
        <v>194</v>
      </c>
      <c r="F24" s="118" t="s">
        <v>181</v>
      </c>
      <c r="G24" s="62" t="s">
        <v>182</v>
      </c>
      <c r="H24" s="119" t="s">
        <v>194</v>
      </c>
      <c r="I24" s="108" t="s">
        <v>182</v>
      </c>
    </row>
    <row r="25" spans="2:9" ht="15" outlineLevel="1">
      <c r="B25" s="147" t="s">
        <v>192</v>
      </c>
      <c r="C25" s="138">
        <v>30</v>
      </c>
      <c r="D25" s="7">
        <f>+C25*C$5</f>
        <v>180000</v>
      </c>
      <c r="E25" s="139">
        <f>+D25/D$7</f>
        <v>1</v>
      </c>
      <c r="F25" s="138">
        <v>41</v>
      </c>
      <c r="G25" s="7">
        <f>+F25*F$5</f>
        <v>123000</v>
      </c>
      <c r="H25" s="139">
        <f>+G25/G$7</f>
        <v>1</v>
      </c>
      <c r="I25" s="108">
        <f>+D25+G25</f>
        <v>303000</v>
      </c>
    </row>
    <row r="26" spans="2:9" ht="15" outlineLevel="1">
      <c r="B26" s="147" t="s">
        <v>183</v>
      </c>
      <c r="C26" s="138">
        <v>-12</v>
      </c>
      <c r="D26" s="7">
        <f>+C26*C$5</f>
        <v>-72000</v>
      </c>
      <c r="E26" s="139">
        <f aca="true" t="shared" si="0" ref="E26:E33">+D26/D$7</f>
        <v>-0.4</v>
      </c>
      <c r="F26" s="138">
        <v>-18</v>
      </c>
      <c r="G26" s="7">
        <f>+F26*F$5</f>
        <v>-54000</v>
      </c>
      <c r="H26" s="139">
        <f aca="true" t="shared" si="1" ref="H26:H33">+G26/G$7</f>
        <v>-0.43902439024390244</v>
      </c>
      <c r="I26" s="108">
        <f>+D26+G26</f>
        <v>-126000</v>
      </c>
    </row>
    <row r="27" spans="2:9" ht="15" outlineLevel="1">
      <c r="B27" s="147" t="s">
        <v>184</v>
      </c>
      <c r="C27" s="138">
        <v>-6</v>
      </c>
      <c r="D27" s="7">
        <f>+C27*C$5</f>
        <v>-36000</v>
      </c>
      <c r="E27" s="139">
        <f t="shared" si="0"/>
        <v>-0.2</v>
      </c>
      <c r="F27" s="138">
        <v>-3</v>
      </c>
      <c r="G27" s="7">
        <f>+F27*F$5</f>
        <v>-9000</v>
      </c>
      <c r="H27" s="139">
        <f t="shared" si="1"/>
        <v>-0.07317073170731707</v>
      </c>
      <c r="I27" s="108">
        <f>+D27+G27</f>
        <v>-45000</v>
      </c>
    </row>
    <row r="28" spans="2:9" ht="15" outlineLevel="1">
      <c r="B28" s="147" t="s">
        <v>196</v>
      </c>
      <c r="C28" s="138">
        <f>+D28/$C$23</f>
        <v>-0.26666666666666666</v>
      </c>
      <c r="D28" s="7">
        <f>-C37/75*15</f>
        <v>-1600</v>
      </c>
      <c r="E28" s="139">
        <f t="shared" si="0"/>
        <v>-0.008888888888888889</v>
      </c>
      <c r="F28" s="138">
        <f>+G28/$F$23</f>
        <v>-2.1333333333333333</v>
      </c>
      <c r="G28" s="7">
        <f>-C37/75*60</f>
        <v>-6400</v>
      </c>
      <c r="H28" s="139">
        <f t="shared" si="1"/>
        <v>-0.05203252032520325</v>
      </c>
      <c r="I28" s="108">
        <f>+D28+G28</f>
        <v>-8000</v>
      </c>
    </row>
    <row r="29" spans="2:9" ht="15" outlineLevel="1">
      <c r="B29" s="147" t="s">
        <v>197</v>
      </c>
      <c r="C29" s="138">
        <f>+D29/$C$23</f>
        <v>-0.2</v>
      </c>
      <c r="D29" s="7">
        <f>-C38/75*15</f>
        <v>-1200</v>
      </c>
      <c r="E29" s="139">
        <f t="shared" si="0"/>
        <v>-0.006666666666666667</v>
      </c>
      <c r="F29" s="138">
        <f>+G29/$F$23</f>
        <v>-1.6</v>
      </c>
      <c r="G29" s="7">
        <f>-C38/75*60</f>
        <v>-4800</v>
      </c>
      <c r="H29" s="139">
        <f t="shared" si="1"/>
        <v>-0.03902439024390244</v>
      </c>
      <c r="I29" s="108">
        <f>+D29+G29</f>
        <v>-6000</v>
      </c>
    </row>
    <row r="30" spans="2:9" ht="15" outlineLevel="1">
      <c r="B30" s="147" t="s">
        <v>198</v>
      </c>
      <c r="C30" s="138">
        <f>+D30/$C$23</f>
        <v>-0.3846153846153846</v>
      </c>
      <c r="D30" s="7">
        <f>-$C$39/260*120</f>
        <v>-2307.6923076923076</v>
      </c>
      <c r="E30" s="139">
        <f t="shared" si="0"/>
        <v>-0.01282051282051282</v>
      </c>
      <c r="F30" s="138">
        <f>+G30/$F$23</f>
        <v>-0.8974358974358975</v>
      </c>
      <c r="G30" s="7">
        <f>-$C$39/260*140</f>
        <v>-2692.3076923076924</v>
      </c>
      <c r="H30" s="139">
        <f t="shared" si="1"/>
        <v>-0.021888680425265792</v>
      </c>
      <c r="I30" s="108">
        <f>+D30+G30</f>
        <v>-5000</v>
      </c>
    </row>
    <row r="31" spans="2:9" ht="15" outlineLevel="1">
      <c r="B31" s="147" t="s">
        <v>199</v>
      </c>
      <c r="C31" s="138">
        <f>+D31/$C$23</f>
        <v>-1</v>
      </c>
      <c r="D31" s="7">
        <f>-$C$40/10000*4000</f>
        <v>-6000</v>
      </c>
      <c r="E31" s="139">
        <f t="shared" si="0"/>
        <v>-0.03333333333333333</v>
      </c>
      <c r="F31" s="138">
        <f>+G31/$F$23</f>
        <v>-3</v>
      </c>
      <c r="G31" s="7">
        <f>-$C$40/10000*6000</f>
        <v>-9000</v>
      </c>
      <c r="H31" s="139">
        <f t="shared" si="1"/>
        <v>-0.07317073170731707</v>
      </c>
      <c r="I31" s="108">
        <f>+D31+G31</f>
        <v>-15000</v>
      </c>
    </row>
    <row r="32" spans="2:9" ht="15" outlineLevel="1">
      <c r="B32" s="147" t="s">
        <v>200</v>
      </c>
      <c r="C32" s="138">
        <f>+D32/$C$23</f>
        <v>-0.8333333333333334</v>
      </c>
      <c r="D32" s="7">
        <f>-$C$41/200*50</f>
        <v>-5000</v>
      </c>
      <c r="E32" s="139">
        <f t="shared" si="0"/>
        <v>-0.027777777777777776</v>
      </c>
      <c r="F32" s="138">
        <f>+G32/$F$23</f>
        <v>-5</v>
      </c>
      <c r="G32" s="7">
        <f>-$C$41/200*150</f>
        <v>-15000</v>
      </c>
      <c r="H32" s="139">
        <f t="shared" si="1"/>
        <v>-0.12195121951219512</v>
      </c>
      <c r="I32" s="108">
        <f>+D32+G32</f>
        <v>-20000</v>
      </c>
    </row>
    <row r="33" spans="2:9" ht="15">
      <c r="B33" s="148" t="s">
        <v>193</v>
      </c>
      <c r="C33" s="140">
        <f>SUM(C25:C32)</f>
        <v>9.315384615384614</v>
      </c>
      <c r="D33" s="141">
        <f>SUM(D25:D32)</f>
        <v>55892.30769230769</v>
      </c>
      <c r="E33" s="142">
        <f t="shared" si="0"/>
        <v>0.3105128205128205</v>
      </c>
      <c r="F33" s="140">
        <f>SUM(F25:F32)</f>
        <v>7.369230769230768</v>
      </c>
      <c r="G33" s="141">
        <f>SUM(G25:G32)</f>
        <v>22107.692307692305</v>
      </c>
      <c r="H33" s="142">
        <f t="shared" si="1"/>
        <v>0.1797373358348968</v>
      </c>
      <c r="I33" s="141">
        <f>SUM(I25:I32)</f>
        <v>78000</v>
      </c>
    </row>
    <row r="36" spans="2:3" ht="15">
      <c r="B36" s="397" t="s">
        <v>57</v>
      </c>
      <c r="C36" s="398"/>
    </row>
    <row r="37" spans="2:3" ht="15">
      <c r="B37" s="6" t="s">
        <v>185</v>
      </c>
      <c r="C37" s="8">
        <v>8000</v>
      </c>
    </row>
    <row r="38" spans="2:3" ht="15">
      <c r="B38" s="6" t="s">
        <v>186</v>
      </c>
      <c r="C38" s="8">
        <v>6000</v>
      </c>
    </row>
    <row r="39" spans="2:3" ht="15">
      <c r="B39" s="6" t="s">
        <v>187</v>
      </c>
      <c r="C39" s="8">
        <v>5000</v>
      </c>
    </row>
    <row r="40" spans="2:3" ht="15">
      <c r="B40" s="6" t="s">
        <v>188</v>
      </c>
      <c r="C40" s="8">
        <v>15000</v>
      </c>
    </row>
    <row r="41" spans="2:3" ht="15">
      <c r="B41" s="6" t="s">
        <v>189</v>
      </c>
      <c r="C41" s="8">
        <v>20000</v>
      </c>
    </row>
    <row r="42" spans="2:3" ht="15">
      <c r="B42" s="48" t="s">
        <v>41</v>
      </c>
      <c r="C42" s="117">
        <f>SUM(C37:C41)</f>
        <v>54000</v>
      </c>
    </row>
    <row r="43" ht="15">
      <c r="B43" s="2"/>
    </row>
    <row r="44" ht="15">
      <c r="B44" s="2"/>
    </row>
    <row r="45" ht="15">
      <c r="B45" s="2"/>
    </row>
  </sheetData>
  <sheetProtection/>
  <mergeCells count="13">
    <mergeCell ref="B36:C36"/>
    <mergeCell ref="C4:E4"/>
    <mergeCell ref="C5:E5"/>
    <mergeCell ref="F5:H5"/>
    <mergeCell ref="F4:H4"/>
    <mergeCell ref="C13:E13"/>
    <mergeCell ref="F13:H13"/>
    <mergeCell ref="C14:E14"/>
    <mergeCell ref="F14:H14"/>
    <mergeCell ref="C22:E22"/>
    <mergeCell ref="F22:H22"/>
    <mergeCell ref="C23:E23"/>
    <mergeCell ref="F23:H2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Cleber Bonizio</dc:creator>
  <cp:keywords/>
  <dc:description/>
  <cp:lastModifiedBy>leticia nascimento</cp:lastModifiedBy>
  <dcterms:created xsi:type="dcterms:W3CDTF">2015-03-04T23:07:43Z</dcterms:created>
  <dcterms:modified xsi:type="dcterms:W3CDTF">2015-06-12T14:07:58Z</dcterms:modified>
  <cp:category/>
  <cp:version/>
  <cp:contentType/>
  <cp:contentStatus/>
</cp:coreProperties>
</file>