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2585" activeTab="2"/>
  </bookViews>
  <sheets>
    <sheet name="Parte 1" sheetId="1" r:id="rId1"/>
    <sheet name="Parte 2" sheetId="2" r:id="rId2"/>
    <sheet name="Parte 3" sheetId="3" r:id="rId3"/>
  </sheets>
  <definedNames>
    <definedName name="_xlnm.Print_Area" localSheetId="0">'Parte 1'!$A$1:$K$86</definedName>
    <definedName name="_xlnm.Print_Area" localSheetId="1">'Parte 2'!$A$1:$G$39</definedName>
  </definedNames>
  <calcPr calcId="125725"/>
</workbook>
</file>

<file path=xl/calcChain.xml><?xml version="1.0" encoding="utf-8"?>
<calcChain xmlns="http://schemas.openxmlformats.org/spreadsheetml/2006/main">
  <c r="B28" i="2"/>
  <c r="B27"/>
  <c r="B26"/>
  <c r="B23"/>
  <c r="B21"/>
  <c r="B19"/>
  <c r="B18"/>
  <c r="B17"/>
  <c r="F31" i="3"/>
  <c r="F29"/>
  <c r="F27"/>
  <c r="J56" i="1"/>
  <c r="B25" i="2" s="1"/>
  <c r="J50" i="1"/>
  <c r="F26" i="2"/>
  <c r="F23"/>
  <c r="F22"/>
  <c r="F20"/>
  <c r="F19"/>
  <c r="F18"/>
  <c r="F17"/>
  <c r="F13"/>
  <c r="F12"/>
  <c r="F11"/>
  <c r="F10"/>
  <c r="F9"/>
  <c r="F7"/>
  <c r="F6"/>
  <c r="F5"/>
  <c r="F3"/>
  <c r="F2"/>
  <c r="B5"/>
  <c r="E60" i="1"/>
  <c r="E54"/>
  <c r="E41"/>
  <c r="E36"/>
  <c r="E30"/>
  <c r="E18"/>
  <c r="E12"/>
  <c r="F12" s="1"/>
  <c r="H12" s="1"/>
  <c r="J12" s="1"/>
  <c r="B3" i="2" s="1"/>
  <c r="E6" i="1"/>
  <c r="B79"/>
  <c r="B80" s="1"/>
  <c r="E72" s="1"/>
  <c r="F72" s="1"/>
  <c r="H72" s="1"/>
  <c r="J72" s="1"/>
  <c r="D74"/>
  <c r="F74" s="1"/>
  <c r="H74" s="1"/>
  <c r="J74" s="1"/>
  <c r="D72"/>
  <c r="F71"/>
  <c r="H71" s="1"/>
  <c r="J71" s="1"/>
  <c r="B13" i="2" s="1"/>
  <c r="D71" i="1"/>
  <c r="F68"/>
  <c r="H68" s="1"/>
  <c r="J68" s="1"/>
  <c r="D68"/>
  <c r="F67"/>
  <c r="H67" s="1"/>
  <c r="J67" s="1"/>
  <c r="F27" i="2" s="1"/>
  <c r="D67" i="1"/>
  <c r="D66"/>
  <c r="D65"/>
  <c r="F65" s="1"/>
  <c r="H65" s="1"/>
  <c r="J65" s="1"/>
  <c r="D62"/>
  <c r="F62" s="1"/>
  <c r="H62" s="1"/>
  <c r="J62" s="1"/>
  <c r="D61"/>
  <c r="F61" s="1"/>
  <c r="H61" s="1"/>
  <c r="J61" s="1"/>
  <c r="F60"/>
  <c r="H60" s="1"/>
  <c r="J60" s="1"/>
  <c r="D60"/>
  <c r="F59"/>
  <c r="H59" s="1"/>
  <c r="J59" s="1"/>
  <c r="B11" i="2" s="1"/>
  <c r="D59" i="1"/>
  <c r="D56"/>
  <c r="H55"/>
  <c r="J55" s="1"/>
  <c r="F25" i="2" s="1"/>
  <c r="F55" i="1"/>
  <c r="D55"/>
  <c r="D54"/>
  <c r="F54" s="1"/>
  <c r="H54" s="1"/>
  <c r="J54" s="1"/>
  <c r="D53"/>
  <c r="F53" s="1"/>
  <c r="H53" s="1"/>
  <c r="J53" s="1"/>
  <c r="B10" i="2" s="1"/>
  <c r="D50" i="1"/>
  <c r="F49"/>
  <c r="H49" s="1"/>
  <c r="J49" s="1"/>
  <c r="F24" i="2" s="1"/>
  <c r="D49" i="1"/>
  <c r="F48"/>
  <c r="H48" s="1"/>
  <c r="J48" s="1"/>
  <c r="B24" i="2" s="1"/>
  <c r="D48" i="1"/>
  <c r="D47"/>
  <c r="D44"/>
  <c r="F44" s="1"/>
  <c r="H44" s="1"/>
  <c r="J44" s="1"/>
  <c r="F8" i="2" s="1"/>
  <c r="D43" i="1"/>
  <c r="F43" s="1"/>
  <c r="H43" s="1"/>
  <c r="J43" s="1"/>
  <c r="F42"/>
  <c r="D42"/>
  <c r="D41"/>
  <c r="F41" s="1"/>
  <c r="H41" s="1"/>
  <c r="J41" s="1"/>
  <c r="F38"/>
  <c r="H38" s="1"/>
  <c r="J38" s="1"/>
  <c r="D38"/>
  <c r="D37"/>
  <c r="F37" s="1"/>
  <c r="H37" s="1"/>
  <c r="J37" s="1"/>
  <c r="D36"/>
  <c r="J35"/>
  <c r="B22" i="2" s="1"/>
  <c r="D35" i="1"/>
  <c r="F19" i="3" s="1"/>
  <c r="D32" i="1"/>
  <c r="F32" s="1"/>
  <c r="H32" s="1"/>
  <c r="J32" s="1"/>
  <c r="F31"/>
  <c r="H31" s="1"/>
  <c r="J31" s="1"/>
  <c r="F21" i="2" s="1"/>
  <c r="D31" i="1"/>
  <c r="D30"/>
  <c r="F30" s="1"/>
  <c r="H30" s="1"/>
  <c r="J30" s="1"/>
  <c r="B6" i="2" s="1"/>
  <c r="F29" i="1"/>
  <c r="D29"/>
  <c r="D26"/>
  <c r="F25"/>
  <c r="H25" s="1"/>
  <c r="J25" s="1"/>
  <c r="B20" i="2" s="1"/>
  <c r="J24" i="1"/>
  <c r="D24"/>
  <c r="F24" s="1"/>
  <c r="J23"/>
  <c r="D23"/>
  <c r="F23" s="1"/>
  <c r="D20"/>
  <c r="F13" i="3" s="1"/>
  <c r="D19" i="1"/>
  <c r="F19" s="1"/>
  <c r="H19" s="1"/>
  <c r="J19" s="1"/>
  <c r="D18"/>
  <c r="F17"/>
  <c r="H17" s="1"/>
  <c r="J17" s="1"/>
  <c r="D17"/>
  <c r="F14"/>
  <c r="H14" s="1"/>
  <c r="J14" s="1"/>
  <c r="D14"/>
  <c r="F13"/>
  <c r="H13" s="1"/>
  <c r="J13" s="1"/>
  <c r="D13"/>
  <c r="D12"/>
  <c r="H11"/>
  <c r="J11" s="1"/>
  <c r="F11"/>
  <c r="D11"/>
  <c r="H8"/>
  <c r="J8" s="1"/>
  <c r="F8"/>
  <c r="D8"/>
  <c r="H7"/>
  <c r="J7" s="1"/>
  <c r="F7"/>
  <c r="D7"/>
  <c r="D6"/>
  <c r="F11" i="3" s="1"/>
  <c r="D5" i="1"/>
  <c r="F5" s="1"/>
  <c r="H5" s="1"/>
  <c r="J5" s="1"/>
  <c r="B8" i="2" l="1"/>
  <c r="F66" i="1"/>
  <c r="H66" s="1"/>
  <c r="J66" s="1"/>
  <c r="B12" i="2" s="1"/>
  <c r="F36" i="1"/>
  <c r="H36" s="1"/>
  <c r="J36" s="1"/>
  <c r="B7" i="2" s="1"/>
  <c r="F73" i="1"/>
  <c r="H73" s="1"/>
  <c r="J73" s="1"/>
  <c r="F28" i="2" s="1"/>
  <c r="F29" s="1"/>
  <c r="F47" i="3" s="1"/>
  <c r="F15"/>
  <c r="F6" i="1"/>
  <c r="H6" s="1"/>
  <c r="J6" s="1"/>
  <c r="B2" i="2" s="1"/>
  <c r="F20" i="1"/>
  <c r="H20" s="1"/>
  <c r="J20" s="1"/>
  <c r="F4" i="2" s="1"/>
  <c r="F18" i="1"/>
  <c r="H18" s="1"/>
  <c r="J18" s="1"/>
  <c r="B4" i="2" s="1"/>
  <c r="E66" i="1"/>
  <c r="D73"/>
  <c r="F17" i="3" s="1"/>
  <c r="E26" i="1"/>
  <c r="F26" s="1"/>
  <c r="H26" s="1"/>
  <c r="E47"/>
  <c r="F47" s="1"/>
  <c r="H47" s="1"/>
  <c r="J47" s="1"/>
  <c r="B9" i="2" s="1"/>
  <c r="B29"/>
  <c r="F45" i="3" s="1"/>
  <c r="F23"/>
  <c r="F35" s="1"/>
  <c r="F37" s="1"/>
  <c r="F14" i="2"/>
  <c r="F43" i="3" s="1"/>
  <c r="B14" i="2" l="1"/>
  <c r="F41" i="3" s="1"/>
  <c r="F49" s="1"/>
</calcChain>
</file>

<file path=xl/sharedStrings.xml><?xml version="1.0" encoding="utf-8"?>
<sst xmlns="http://schemas.openxmlformats.org/spreadsheetml/2006/main" count="313" uniqueCount="114">
  <si>
    <t>JANEIRO</t>
  </si>
  <si>
    <t>FEVEREIRO</t>
  </si>
  <si>
    <t>a) bolsa de estudo FAPESP</t>
  </si>
  <si>
    <t>b) salário PJ 1</t>
  </si>
  <si>
    <t>c) honorários PJ 2</t>
  </si>
  <si>
    <t>c) aluguel PJ 3</t>
  </si>
  <si>
    <t>d) aluguel PJ 3</t>
  </si>
  <si>
    <t>d) herança (sítio)</t>
  </si>
  <si>
    <t>MARÇO</t>
  </si>
  <si>
    <t>ABRIL</t>
  </si>
  <si>
    <t>b) aviso prévio indenizado</t>
  </si>
  <si>
    <t>c) venda imóvel PF 1</t>
  </si>
  <si>
    <t>d) aluguel PF 1</t>
  </si>
  <si>
    <t>MAIO</t>
  </si>
  <si>
    <t>JUNHO</t>
  </si>
  <si>
    <t>a) ganho em bolsa</t>
  </si>
  <si>
    <t>b) pro labore PJ 4</t>
  </si>
  <si>
    <t>c) aplicação renda fixa 200 dias</t>
  </si>
  <si>
    <t>c) caderneta de poupança</t>
  </si>
  <si>
    <t>JULHO</t>
  </si>
  <si>
    <t>AGOSTO</t>
  </si>
  <si>
    <t>a) pro labore PJ 4</t>
  </si>
  <si>
    <t>b) caderneta de poupança</t>
  </si>
  <si>
    <t>b) venda imóvel PJ 3</t>
  </si>
  <si>
    <t>c) aplicação renda fixa 900 dias</t>
  </si>
  <si>
    <t>d) honorários PF 2</t>
  </si>
  <si>
    <t>d) venda automóvel</t>
  </si>
  <si>
    <t>SETEMBRO</t>
  </si>
  <si>
    <t>OUTUBRO</t>
  </si>
  <si>
    <t>b) salário PJ 5</t>
  </si>
  <si>
    <t>c) aplicação renda fixa 60 dias</t>
  </si>
  <si>
    <t>c) gratificação PJ 5</t>
  </si>
  <si>
    <t>d) ganho em bolsa</t>
  </si>
  <si>
    <t>d) caderneta de poupança</t>
  </si>
  <si>
    <t>NOVEMBRO</t>
  </si>
  <si>
    <t>DEZEMBRO</t>
  </si>
  <si>
    <t>c) 13o salário PJ 5 (1a parc)</t>
  </si>
  <si>
    <t>c) 13o salário PJ 5 (2a parc)</t>
  </si>
  <si>
    <t>d) aplicação renda fixa 400 dias</t>
  </si>
  <si>
    <t>Classif.</t>
  </si>
  <si>
    <t>Rendimento Bruto</t>
  </si>
  <si>
    <t>Deduções</t>
  </si>
  <si>
    <t>Base de Cálculo</t>
  </si>
  <si>
    <t>Alíquota</t>
  </si>
  <si>
    <t>(a) Imposto de Renda na Fonte como antecipação (IRF-A)</t>
  </si>
  <si>
    <t>(b) Recolhimento Mensal Obrigatório (RMO)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</si>
  <si>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</si>
  <si>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</si>
  <si>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</si>
  <si>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</si>
  <si>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</si>
  <si>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</si>
  <si>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</si>
  <si>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</si>
  <si>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</si>
  <si>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</si>
  <si>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</si>
  <si>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</si>
  <si>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(c) Imposto de Renda por alíquota fixa - tributação definitiva (IR-AF)</t>
  </si>
  <si>
    <t>(d) Imposto de Renda na Fonte Exclusivo - alíquota fixa (IRF-E)</t>
  </si>
  <si>
    <t>Base de cálculo Mensal em R$</t>
  </si>
  <si>
    <t>Alíquota %</t>
  </si>
  <si>
    <t>Parcela a deduzir</t>
  </si>
  <si>
    <t>Até 1.787,77</t>
  </si>
  <si>
    <t>De 1.787,78 até 2.679,29</t>
  </si>
  <si>
    <t>De 2.679,30 até 3.572,43</t>
  </si>
  <si>
    <t>De 3.572,44 até 4.463,81</t>
  </si>
  <si>
    <t>Acima de 4.463,81</t>
  </si>
  <si>
    <t>Valor Apurado</t>
  </si>
  <si>
    <t>Parcela a Deduzir</t>
  </si>
  <si>
    <t>IR devido</t>
  </si>
  <si>
    <t>isento</t>
  </si>
  <si>
    <t>IRF-A</t>
  </si>
  <si>
    <t>RMO</t>
  </si>
  <si>
    <t>Ganho de capital</t>
  </si>
  <si>
    <t>IRF-E</t>
  </si>
  <si>
    <t>ganho de capital</t>
  </si>
  <si>
    <t>Valor devido</t>
  </si>
  <si>
    <t>Total</t>
  </si>
  <si>
    <t>Deduções Mensais</t>
  </si>
  <si>
    <t>Contribuição Previdenciária</t>
  </si>
  <si>
    <t>Total das Deduções Mensais</t>
  </si>
  <si>
    <t>Dependentes X 2</t>
  </si>
  <si>
    <t>Isento pelo Valor</t>
  </si>
  <si>
    <t>DECLARAÇÃO DE AJUSTE ANUAL</t>
  </si>
  <si>
    <t>Exercício</t>
  </si>
  <si>
    <t>Ano Base</t>
  </si>
  <si>
    <t>Nome do Contribuinte Titular</t>
  </si>
  <si>
    <t>CPF</t>
  </si>
  <si>
    <t>Rendimentos Isentos e Não-Tributáveis</t>
  </si>
  <si>
    <t>Rendimentos Sujeitos à Tributação Exclusiva na Fonte</t>
  </si>
  <si>
    <t>Rendimentos Sujeitos à Tributação Definitiva</t>
  </si>
  <si>
    <t>Apuração do IRRF Devido no Ano</t>
  </si>
  <si>
    <t>Contribuição à Previdência</t>
  </si>
  <si>
    <t>Dependentes</t>
  </si>
  <si>
    <t>Despesas com Instrução</t>
  </si>
  <si>
    <t>Despesas Médicas</t>
  </si>
  <si>
    <t>Imposto Devido</t>
  </si>
  <si>
    <t>Imposto Pago</t>
  </si>
  <si>
    <t>IR-AF</t>
  </si>
  <si>
    <t>Bernardo Ribeiro de Menezes</t>
  </si>
  <si>
    <t>XXXXXX</t>
  </si>
  <si>
    <t>Carnê-Leão (RMO)</t>
  </si>
  <si>
    <t>Rendimentos Tributáveis Recebidos de PJ pelo Titular (Sujeitos ao IRF-A)</t>
  </si>
  <si>
    <t>Rendimentos Tributáveis Recebidos de PF pelo Titular (Sujeitos ao RMO)</t>
  </si>
  <si>
    <t>Rendimentos Tributáveis (Sujeitos ao IRF-A + RMO)</t>
  </si>
  <si>
    <t>Imposto a Pagar ou a Restituir (Imposto Devido - Imposto Pago via IRF-A e RMO)</t>
  </si>
  <si>
    <t>Observações:</t>
  </si>
  <si>
    <t>- Somente consideramos a dedução dos dependentes de uma fonte pagadora</t>
  </si>
  <si>
    <t>- Para facilitar, consideramos a contribuição previdenciária ao INSS como um recolhimento autonomo a ser deduzido por uma das fontes pagadoras</t>
  </si>
  <si>
    <t xml:space="preserve">- Por falta de mairoes detalhes, o ganho em bolsa poderia ser enquadrado como ganho de capital (ex.: venda de ações por um valor maior do que seu custo de aquisição) ou como aplicações de renda variável (IRF-E de 15%, tal qual aplicação cujos rendimentos estão indexados à variação do dólar). No caso em tela, preferimos enquadrá-lo como ganho de capital, que em ambos os casos estarão isentos. </t>
  </si>
  <si>
    <t>- Segundo os artigos 38 da Lei n. 11.196/05 e 22 da Lei n. 9.250/95, fica isento do imposto de renda o ganho de capital auferido na alienação de bens e direitos de pequeno valor, cujo preço unitário de alienação, no mês em que esta se realizar, seja igual ou inferior a: (i) R$ 20.000,00, no caso de alienação de ações negociadas no mercado de balcão; e (ii) R$ 35.000,00, nos demais casos.</t>
  </si>
  <si>
    <t>Exercício - IRPF</t>
  </si>
  <si>
    <t>Destacamos que a resolução do exercício está disposta ao longo de três partes, sendo cada parte uma "aba/ficha" do Excel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</si>
</sst>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9" fontId="0" fillId="0" borderId="1" xfId="2" applyFont="1" applyBorder="1" applyAlignment="1">
      <alignment vertical="center" wrapText="1"/>
    </xf>
    <xf numFmtId="165" fontId="0" fillId="0" borderId="1" xfId="2" applyNumberFormat="1" applyFont="1" applyBorder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9" fontId="0" fillId="0" borderId="1" xfId="2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0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0" fontId="0" fillId="0" borderId="1" xfId="2" applyNumberFormat="1" applyFont="1" applyBorder="1" applyAlignment="1">
      <alignment horizontal="right" vertical="center" wrapText="1"/>
    </xf>
    <xf numFmtId="43" fontId="0" fillId="0" borderId="1" xfId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opLeftCell="A12" zoomScaleNormal="100" zoomScaleSheetLayoutView="40" workbookViewId="0">
      <selection activeCell="C12" sqref="C12"/>
    </sheetView>
  </sheetViews>
  <sheetFormatPr defaultRowHeight="15"/>
  <cols>
    <col min="1" max="1" width="27.28515625" style="2" customWidth="1"/>
    <col min="2" max="2" width="13.28515625" style="2" customWidth="1"/>
    <col min="3" max="10" width="18.42578125" style="2" customWidth="1"/>
    <col min="11" max="16384" width="9.140625" style="2"/>
  </cols>
  <sheetData>
    <row r="1" spans="1:10">
      <c r="A1" s="57" t="s">
        <v>112</v>
      </c>
    </row>
    <row r="2" spans="1:10">
      <c r="A2" s="56" t="s">
        <v>113</v>
      </c>
    </row>
    <row r="4" spans="1:10">
      <c r="A4" s="12" t="s">
        <v>0</v>
      </c>
      <c r="B4" s="3"/>
      <c r="C4" s="10" t="s">
        <v>39</v>
      </c>
      <c r="D4" s="10" t="s">
        <v>40</v>
      </c>
      <c r="E4" s="10" t="s">
        <v>41</v>
      </c>
      <c r="F4" s="10" t="s">
        <v>42</v>
      </c>
      <c r="G4" s="10" t="s">
        <v>43</v>
      </c>
      <c r="H4" s="10" t="s">
        <v>68</v>
      </c>
      <c r="I4" s="10" t="s">
        <v>69</v>
      </c>
      <c r="J4" s="10" t="s">
        <v>70</v>
      </c>
    </row>
    <row r="5" spans="1:10">
      <c r="A5" s="14" t="s">
        <v>2</v>
      </c>
      <c r="B5" s="3">
        <v>1000</v>
      </c>
      <c r="C5" s="3" t="s">
        <v>71</v>
      </c>
      <c r="D5" s="3">
        <f>B5</f>
        <v>1000</v>
      </c>
      <c r="E5" s="3">
        <v>0</v>
      </c>
      <c r="F5" s="3">
        <f>D5-E5</f>
        <v>1000</v>
      </c>
      <c r="G5" s="3">
        <v>0</v>
      </c>
      <c r="H5" s="3">
        <f>F5*G5</f>
        <v>0</v>
      </c>
      <c r="I5" s="3">
        <v>0</v>
      </c>
      <c r="J5" s="3">
        <f>H5-I5</f>
        <v>0</v>
      </c>
    </row>
    <row r="6" spans="1:10">
      <c r="A6" s="14" t="s">
        <v>3</v>
      </c>
      <c r="B6" s="3">
        <v>5000</v>
      </c>
      <c r="C6" s="3" t="s">
        <v>72</v>
      </c>
      <c r="D6" s="3">
        <f>B6</f>
        <v>5000</v>
      </c>
      <c r="E6" s="3">
        <f>$B$80</f>
        <v>659.42000000000007</v>
      </c>
      <c r="F6" s="3">
        <f>D6-E6</f>
        <v>4340.58</v>
      </c>
      <c r="G6" s="7">
        <v>0.22500000000000001</v>
      </c>
      <c r="H6" s="3">
        <f>F6*G6</f>
        <v>976.63049999999998</v>
      </c>
      <c r="I6" s="3">
        <v>602.96</v>
      </c>
      <c r="J6" s="3">
        <f>H6-I6</f>
        <v>373.67049999999995</v>
      </c>
    </row>
    <row r="7" spans="1:10">
      <c r="A7" s="14" t="s">
        <v>4</v>
      </c>
      <c r="B7" s="3">
        <v>900</v>
      </c>
      <c r="C7" s="3" t="s">
        <v>72</v>
      </c>
      <c r="D7" s="3">
        <f>B7</f>
        <v>900</v>
      </c>
      <c r="E7" s="9">
        <v>0</v>
      </c>
      <c r="F7" s="3">
        <f>D7-E7</f>
        <v>900</v>
      </c>
      <c r="G7" s="3">
        <v>0</v>
      </c>
      <c r="H7" s="3">
        <f>F7*G7</f>
        <v>0</v>
      </c>
      <c r="I7" s="3">
        <v>0</v>
      </c>
      <c r="J7" s="3">
        <f>H7-I7</f>
        <v>0</v>
      </c>
    </row>
    <row r="8" spans="1:10">
      <c r="A8" s="14" t="s">
        <v>6</v>
      </c>
      <c r="B8" s="3">
        <v>2500</v>
      </c>
      <c r="C8" s="3" t="s">
        <v>72</v>
      </c>
      <c r="D8" s="3">
        <f>B8</f>
        <v>2500</v>
      </c>
      <c r="E8" s="9">
        <v>0</v>
      </c>
      <c r="F8" s="3">
        <f>D8-E8</f>
        <v>2500</v>
      </c>
      <c r="G8" s="7">
        <v>7.4999999999999997E-2</v>
      </c>
      <c r="H8" s="3">
        <f>F8*G8</f>
        <v>187.5</v>
      </c>
      <c r="I8" s="3">
        <v>134.08000000000001</v>
      </c>
      <c r="J8" s="3">
        <f>H8-I8</f>
        <v>53.419999999999987</v>
      </c>
    </row>
    <row r="9" spans="1:10">
      <c r="A9" s="14"/>
      <c r="B9" s="3"/>
      <c r="C9" s="3"/>
      <c r="D9" s="3"/>
      <c r="E9" s="18"/>
      <c r="F9" s="3"/>
      <c r="G9" s="3"/>
      <c r="H9" s="3"/>
      <c r="I9" s="3"/>
      <c r="J9" s="3"/>
    </row>
    <row r="10" spans="1:10" s="4" customFormat="1">
      <c r="A10" s="12" t="s">
        <v>1</v>
      </c>
      <c r="B10" s="19"/>
      <c r="C10" s="10" t="s">
        <v>39</v>
      </c>
      <c r="D10" s="10" t="s">
        <v>40</v>
      </c>
      <c r="E10" s="10" t="s">
        <v>41</v>
      </c>
      <c r="F10" s="10" t="s">
        <v>42</v>
      </c>
      <c r="G10" s="10" t="s">
        <v>43</v>
      </c>
      <c r="H10" s="10" t="s">
        <v>68</v>
      </c>
      <c r="I10" s="10" t="s">
        <v>69</v>
      </c>
      <c r="J10" s="10" t="s">
        <v>70</v>
      </c>
    </row>
    <row r="11" spans="1:10">
      <c r="A11" s="14" t="s">
        <v>2</v>
      </c>
      <c r="B11" s="3">
        <v>1000</v>
      </c>
      <c r="C11" s="3" t="s">
        <v>71</v>
      </c>
      <c r="D11" s="3">
        <f>B11</f>
        <v>1000</v>
      </c>
      <c r="E11" s="20">
        <v>0</v>
      </c>
      <c r="F11" s="3">
        <f>D11-E11</f>
        <v>1000</v>
      </c>
      <c r="G11" s="3">
        <v>0</v>
      </c>
      <c r="H11" s="3">
        <f>F11*G11</f>
        <v>0</v>
      </c>
      <c r="I11" s="3">
        <v>0</v>
      </c>
      <c r="J11" s="3">
        <f>H11-I11</f>
        <v>0</v>
      </c>
    </row>
    <row r="12" spans="1:10">
      <c r="A12" s="14" t="s">
        <v>3</v>
      </c>
      <c r="B12" s="3">
        <v>5000</v>
      </c>
      <c r="C12" s="3" t="s">
        <v>72</v>
      </c>
      <c r="D12" s="3">
        <f>B12</f>
        <v>5000</v>
      </c>
      <c r="E12" s="3">
        <f>$B$80</f>
        <v>659.42000000000007</v>
      </c>
      <c r="F12" s="3">
        <f>D12-E12</f>
        <v>4340.58</v>
      </c>
      <c r="G12" s="7">
        <v>0.22500000000000001</v>
      </c>
      <c r="H12" s="3">
        <f>F12*G12</f>
        <v>976.63049999999998</v>
      </c>
      <c r="I12" s="3">
        <v>602.96</v>
      </c>
      <c r="J12" s="3">
        <f>H12-I12</f>
        <v>373.67049999999995</v>
      </c>
    </row>
    <row r="13" spans="1:10">
      <c r="A13" s="14" t="s">
        <v>5</v>
      </c>
      <c r="B13" s="3">
        <v>2500</v>
      </c>
      <c r="C13" s="3" t="s">
        <v>72</v>
      </c>
      <c r="D13" s="3">
        <f>B13</f>
        <v>2500</v>
      </c>
      <c r="E13" s="20">
        <v>0</v>
      </c>
      <c r="F13" s="3">
        <f>D13-E13</f>
        <v>2500</v>
      </c>
      <c r="G13" s="7">
        <v>7.4999999999999997E-2</v>
      </c>
      <c r="H13" s="3">
        <f>F13*G13</f>
        <v>187.5</v>
      </c>
      <c r="I13" s="3">
        <v>134.08000000000001</v>
      </c>
      <c r="J13" s="3">
        <f>H13-I13</f>
        <v>53.419999999999987</v>
      </c>
    </row>
    <row r="14" spans="1:10">
      <c r="A14" s="14" t="s">
        <v>7</v>
      </c>
      <c r="B14" s="3">
        <v>250000</v>
      </c>
      <c r="C14" s="3" t="s">
        <v>71</v>
      </c>
      <c r="D14" s="3">
        <f>B14</f>
        <v>250000</v>
      </c>
      <c r="E14" s="20">
        <v>0</v>
      </c>
      <c r="F14" s="3">
        <f>D14-E14</f>
        <v>250000</v>
      </c>
      <c r="G14" s="3">
        <v>0</v>
      </c>
      <c r="H14" s="3">
        <f>F14*G14</f>
        <v>0</v>
      </c>
      <c r="I14" s="3">
        <v>0</v>
      </c>
      <c r="J14" s="3">
        <f>H14-I14</f>
        <v>0</v>
      </c>
    </row>
    <row r="15" spans="1:10">
      <c r="A15" s="14"/>
      <c r="B15" s="3"/>
      <c r="C15" s="3"/>
      <c r="D15" s="3"/>
      <c r="E15" s="20"/>
      <c r="F15" s="3"/>
      <c r="G15" s="3"/>
      <c r="H15" s="3"/>
      <c r="I15" s="3"/>
      <c r="J15" s="3"/>
    </row>
    <row r="16" spans="1:10" s="4" customFormat="1">
      <c r="A16" s="12" t="s">
        <v>8</v>
      </c>
      <c r="B16" s="19"/>
      <c r="C16" s="10" t="s">
        <v>39</v>
      </c>
      <c r="D16" s="10" t="s">
        <v>40</v>
      </c>
      <c r="E16" s="47" t="s">
        <v>41</v>
      </c>
      <c r="F16" s="10" t="s">
        <v>42</v>
      </c>
      <c r="G16" s="10" t="s">
        <v>43</v>
      </c>
      <c r="H16" s="10" t="s">
        <v>68</v>
      </c>
      <c r="I16" s="10" t="s">
        <v>69</v>
      </c>
      <c r="J16" s="10" t="s">
        <v>70</v>
      </c>
    </row>
    <row r="17" spans="1:10">
      <c r="A17" s="14" t="s">
        <v>2</v>
      </c>
      <c r="B17" s="3">
        <v>1000</v>
      </c>
      <c r="C17" s="3" t="s">
        <v>71</v>
      </c>
      <c r="D17" s="3">
        <f>B17</f>
        <v>1000</v>
      </c>
      <c r="E17" s="20">
        <v>0</v>
      </c>
      <c r="F17" s="3">
        <f>D17-E17</f>
        <v>1000</v>
      </c>
      <c r="G17" s="3">
        <v>0</v>
      </c>
      <c r="H17" s="3">
        <f>F17*G17</f>
        <v>0</v>
      </c>
      <c r="I17" s="3">
        <v>0</v>
      </c>
      <c r="J17" s="3">
        <f>H17-I17</f>
        <v>0</v>
      </c>
    </row>
    <row r="18" spans="1:10">
      <c r="A18" s="14" t="s">
        <v>3</v>
      </c>
      <c r="B18" s="3">
        <v>5000</v>
      </c>
      <c r="C18" s="3" t="s">
        <v>72</v>
      </c>
      <c r="D18" s="3">
        <f>B18</f>
        <v>5000</v>
      </c>
      <c r="E18" s="3">
        <f>$B$80</f>
        <v>659.42000000000007</v>
      </c>
      <c r="F18" s="3">
        <f>D18-E18</f>
        <v>4340.58</v>
      </c>
      <c r="G18" s="7">
        <v>0.22500000000000001</v>
      </c>
      <c r="H18" s="3">
        <f>F18*G18</f>
        <v>976.63049999999998</v>
      </c>
      <c r="I18" s="3">
        <v>602.96</v>
      </c>
      <c r="J18" s="3">
        <f>H18-I18</f>
        <v>373.67049999999995</v>
      </c>
    </row>
    <row r="19" spans="1:10">
      <c r="A19" s="14" t="s">
        <v>5</v>
      </c>
      <c r="B19" s="3">
        <v>2500</v>
      </c>
      <c r="C19" s="3" t="s">
        <v>72</v>
      </c>
      <c r="D19" s="3">
        <f>B19</f>
        <v>2500</v>
      </c>
      <c r="E19" s="20">
        <v>0</v>
      </c>
      <c r="F19" s="3">
        <f>D19-E19</f>
        <v>2500</v>
      </c>
      <c r="G19" s="7">
        <v>7.4999999999999997E-2</v>
      </c>
      <c r="H19" s="3">
        <f>F19*G19</f>
        <v>187.5</v>
      </c>
      <c r="I19" s="3">
        <v>134.08000000000001</v>
      </c>
      <c r="J19" s="3">
        <f>H19-I19</f>
        <v>53.419999999999987</v>
      </c>
    </row>
    <row r="20" spans="1:10">
      <c r="A20" s="14" t="s">
        <v>12</v>
      </c>
      <c r="B20" s="3">
        <v>3000</v>
      </c>
      <c r="C20" s="3" t="s">
        <v>73</v>
      </c>
      <c r="D20" s="3">
        <f>B20</f>
        <v>3000</v>
      </c>
      <c r="E20" s="20">
        <v>0</v>
      </c>
      <c r="F20" s="3">
        <f>D20-E20</f>
        <v>3000</v>
      </c>
      <c r="G20" s="7">
        <v>7.4999999999999997E-2</v>
      </c>
      <c r="H20" s="3">
        <f>F20*G20</f>
        <v>225</v>
      </c>
      <c r="I20" s="3">
        <v>134.08000000000001</v>
      </c>
      <c r="J20" s="3">
        <f>H20-I20</f>
        <v>90.919999999999987</v>
      </c>
    </row>
    <row r="21" spans="1:10">
      <c r="A21" s="14"/>
      <c r="B21" s="3"/>
      <c r="C21" s="3"/>
      <c r="D21" s="3"/>
      <c r="E21" s="20"/>
      <c r="F21" s="3"/>
      <c r="G21" s="3"/>
      <c r="H21" s="3"/>
      <c r="I21" s="3"/>
      <c r="J21" s="3"/>
    </row>
    <row r="22" spans="1:10" s="4" customFormat="1">
      <c r="A22" s="12" t="s">
        <v>9</v>
      </c>
      <c r="B22" s="19"/>
      <c r="C22" s="10" t="s">
        <v>39</v>
      </c>
      <c r="D22" s="10" t="s">
        <v>40</v>
      </c>
      <c r="E22" s="47" t="s">
        <v>41</v>
      </c>
      <c r="F22" s="10" t="s">
        <v>42</v>
      </c>
      <c r="G22" s="10" t="s">
        <v>43</v>
      </c>
      <c r="H22" s="10" t="s">
        <v>68</v>
      </c>
      <c r="I22" s="10" t="s">
        <v>69</v>
      </c>
      <c r="J22" s="10" t="s">
        <v>70</v>
      </c>
    </row>
    <row r="23" spans="1:10">
      <c r="A23" s="14" t="s">
        <v>2</v>
      </c>
      <c r="B23" s="3">
        <v>1000</v>
      </c>
      <c r="C23" s="3" t="s">
        <v>71</v>
      </c>
      <c r="D23" s="3">
        <f>B23</f>
        <v>1000</v>
      </c>
      <c r="E23" s="20">
        <v>0</v>
      </c>
      <c r="F23" s="3">
        <f>D23-E23</f>
        <v>1000</v>
      </c>
      <c r="G23" s="3">
        <v>0</v>
      </c>
      <c r="H23" s="3">
        <v>0</v>
      </c>
      <c r="I23" s="3">
        <v>0</v>
      </c>
      <c r="J23" s="3">
        <f>H23-I23</f>
        <v>0</v>
      </c>
    </row>
    <row r="24" spans="1:10">
      <c r="A24" s="14" t="s">
        <v>10</v>
      </c>
      <c r="B24" s="3">
        <v>4000</v>
      </c>
      <c r="C24" s="3" t="s">
        <v>71</v>
      </c>
      <c r="D24" s="3">
        <f>B24</f>
        <v>4000</v>
      </c>
      <c r="E24" s="20">
        <v>0</v>
      </c>
      <c r="F24" s="3">
        <f>D24-E24</f>
        <v>4000</v>
      </c>
      <c r="G24" s="3">
        <v>0</v>
      </c>
      <c r="H24" s="3">
        <v>0</v>
      </c>
      <c r="I24" s="3">
        <v>0</v>
      </c>
      <c r="J24" s="3">
        <f>H24-I24</f>
        <v>0</v>
      </c>
    </row>
    <row r="25" spans="1:10">
      <c r="A25" s="14" t="s">
        <v>11</v>
      </c>
      <c r="B25" s="3">
        <v>300000</v>
      </c>
      <c r="C25" s="9" t="s">
        <v>76</v>
      </c>
      <c r="D25" s="9">
        <v>50000</v>
      </c>
      <c r="E25" s="20">
        <v>0</v>
      </c>
      <c r="F25" s="9">
        <f>D25-E25</f>
        <v>50000</v>
      </c>
      <c r="G25" s="11">
        <v>0.15</v>
      </c>
      <c r="H25" s="9">
        <f>F25*G25</f>
        <v>7500</v>
      </c>
      <c r="I25" s="9">
        <v>0</v>
      </c>
      <c r="J25" s="9">
        <f>H25-I25</f>
        <v>7500</v>
      </c>
    </row>
    <row r="26" spans="1:10">
      <c r="A26" s="14" t="s">
        <v>6</v>
      </c>
      <c r="B26" s="3">
        <v>2350</v>
      </c>
      <c r="C26" s="3" t="s">
        <v>72</v>
      </c>
      <c r="D26" s="3">
        <f>B26</f>
        <v>2350</v>
      </c>
      <c r="E26" s="3">
        <f>$B$80</f>
        <v>659.42000000000007</v>
      </c>
      <c r="F26" s="3">
        <f>D26-E26</f>
        <v>1690.58</v>
      </c>
      <c r="G26" s="3">
        <v>0</v>
      </c>
      <c r="H26" s="3">
        <f>F26*G26</f>
        <v>0</v>
      </c>
      <c r="I26" s="3">
        <v>0</v>
      </c>
      <c r="J26" s="3">
        <v>0</v>
      </c>
    </row>
    <row r="27" spans="1:10">
      <c r="A27" s="14"/>
      <c r="B27" s="3"/>
      <c r="C27" s="3"/>
      <c r="D27" s="3"/>
      <c r="E27" s="20"/>
      <c r="F27" s="3"/>
      <c r="G27" s="3"/>
      <c r="H27" s="3"/>
      <c r="I27" s="3"/>
      <c r="J27" s="3"/>
    </row>
    <row r="28" spans="1:10" s="4" customFormat="1">
      <c r="A28" s="12" t="s">
        <v>13</v>
      </c>
      <c r="B28" s="19"/>
      <c r="C28" s="10" t="s">
        <v>39</v>
      </c>
      <c r="D28" s="10" t="s">
        <v>40</v>
      </c>
      <c r="E28" s="47" t="s">
        <v>41</v>
      </c>
      <c r="F28" s="10" t="s">
        <v>42</v>
      </c>
      <c r="G28" s="10" t="s">
        <v>43</v>
      </c>
      <c r="H28" s="10" t="s">
        <v>68</v>
      </c>
      <c r="I28" s="10" t="s">
        <v>69</v>
      </c>
      <c r="J28" s="10" t="s">
        <v>70</v>
      </c>
    </row>
    <row r="29" spans="1:10">
      <c r="A29" s="14" t="s">
        <v>2</v>
      </c>
      <c r="B29" s="3">
        <v>1000</v>
      </c>
      <c r="C29" s="3" t="s">
        <v>71</v>
      </c>
      <c r="D29" s="3">
        <f>B29</f>
        <v>1000</v>
      </c>
      <c r="E29" s="20">
        <v>0</v>
      </c>
      <c r="F29" s="3">
        <f>D29-E29</f>
        <v>1000</v>
      </c>
      <c r="G29" s="3">
        <v>0</v>
      </c>
      <c r="H29" s="3">
        <v>0</v>
      </c>
      <c r="I29" s="3">
        <v>0</v>
      </c>
      <c r="J29" s="3">
        <v>0</v>
      </c>
    </row>
    <row r="30" spans="1:10">
      <c r="A30" s="14" t="s">
        <v>16</v>
      </c>
      <c r="B30" s="3">
        <v>10500</v>
      </c>
      <c r="C30" s="3" t="s">
        <v>72</v>
      </c>
      <c r="D30" s="3">
        <f>B30</f>
        <v>10500</v>
      </c>
      <c r="E30" s="3">
        <f>$B$80</f>
        <v>659.42000000000007</v>
      </c>
      <c r="F30" s="3">
        <f>D30-E30</f>
        <v>9840.58</v>
      </c>
      <c r="G30" s="7">
        <v>0.27500000000000002</v>
      </c>
      <c r="H30" s="3">
        <f>F30*G30</f>
        <v>2706.1595000000002</v>
      </c>
      <c r="I30" s="3">
        <v>826.15</v>
      </c>
      <c r="J30" s="3">
        <f>H30-I30</f>
        <v>1880.0095000000001</v>
      </c>
    </row>
    <row r="31" spans="1:10" ht="30">
      <c r="A31" s="14" t="s">
        <v>17</v>
      </c>
      <c r="B31" s="3">
        <v>2000</v>
      </c>
      <c r="C31" s="3" t="s">
        <v>75</v>
      </c>
      <c r="D31" s="3">
        <f>B31</f>
        <v>2000</v>
      </c>
      <c r="E31" s="20">
        <v>0</v>
      </c>
      <c r="F31" s="3">
        <f>D31-E31</f>
        <v>2000</v>
      </c>
      <c r="G31" s="6">
        <v>0.2</v>
      </c>
      <c r="H31" s="3">
        <f>F31*G31</f>
        <v>400</v>
      </c>
      <c r="I31" s="3">
        <v>0</v>
      </c>
      <c r="J31" s="3">
        <f>H31-I31</f>
        <v>400</v>
      </c>
    </row>
    <row r="32" spans="1:10">
      <c r="A32" s="14" t="s">
        <v>6</v>
      </c>
      <c r="B32" s="3">
        <v>2350</v>
      </c>
      <c r="C32" s="3" t="s">
        <v>72</v>
      </c>
      <c r="D32" s="3">
        <f>B32</f>
        <v>2350</v>
      </c>
      <c r="E32" s="20">
        <v>0</v>
      </c>
      <c r="F32" s="3">
        <f>D32-E32</f>
        <v>2350</v>
      </c>
      <c r="G32" s="7">
        <v>7.4999999999999997E-2</v>
      </c>
      <c r="H32" s="3">
        <f>F32*G32</f>
        <v>176.25</v>
      </c>
      <c r="I32" s="3">
        <v>137.08000000000001</v>
      </c>
      <c r="J32" s="3">
        <f>H32-I32</f>
        <v>39.169999999999987</v>
      </c>
    </row>
    <row r="33" spans="1:10">
      <c r="A33" s="14"/>
      <c r="B33" s="3"/>
      <c r="C33" s="3"/>
      <c r="D33" s="3"/>
      <c r="E33" s="21"/>
      <c r="F33" s="3"/>
      <c r="G33" s="3"/>
      <c r="H33" s="3"/>
      <c r="I33" s="3"/>
      <c r="J33" s="3"/>
    </row>
    <row r="34" spans="1:10" s="4" customFormat="1">
      <c r="A34" s="12" t="s">
        <v>14</v>
      </c>
      <c r="B34" s="19"/>
      <c r="C34" s="10" t="s">
        <v>39</v>
      </c>
      <c r="D34" s="10" t="s">
        <v>40</v>
      </c>
      <c r="E34" s="47" t="s">
        <v>41</v>
      </c>
      <c r="F34" s="10" t="s">
        <v>42</v>
      </c>
      <c r="G34" s="10" t="s">
        <v>43</v>
      </c>
      <c r="H34" s="10" t="s">
        <v>68</v>
      </c>
      <c r="I34" s="10" t="s">
        <v>69</v>
      </c>
      <c r="J34" s="10" t="s">
        <v>70</v>
      </c>
    </row>
    <row r="35" spans="1:10">
      <c r="A35" s="14" t="s">
        <v>15</v>
      </c>
      <c r="B35" s="3">
        <v>10500</v>
      </c>
      <c r="C35" s="3" t="s">
        <v>76</v>
      </c>
      <c r="D35" s="3">
        <f>B35</f>
        <v>10500</v>
      </c>
      <c r="E35" s="20">
        <v>0</v>
      </c>
      <c r="F35" s="1" t="s">
        <v>83</v>
      </c>
      <c r="G35" s="6">
        <v>0.15</v>
      </c>
      <c r="H35" s="3"/>
      <c r="I35" s="3">
        <v>0</v>
      </c>
      <c r="J35" s="3">
        <f>H35-I35</f>
        <v>0</v>
      </c>
    </row>
    <row r="36" spans="1:10">
      <c r="A36" s="14" t="s">
        <v>16</v>
      </c>
      <c r="B36" s="3">
        <v>10500</v>
      </c>
      <c r="C36" s="3" t="s">
        <v>72</v>
      </c>
      <c r="D36" s="3">
        <f>B36</f>
        <v>10500</v>
      </c>
      <c r="E36" s="3">
        <f>$B$80</f>
        <v>659.42000000000007</v>
      </c>
      <c r="F36" s="3">
        <f>D36-E36</f>
        <v>9840.58</v>
      </c>
      <c r="G36" s="7">
        <v>0.27500000000000002</v>
      </c>
      <c r="H36" s="3">
        <f>F36*G36</f>
        <v>2706.1595000000002</v>
      </c>
      <c r="I36" s="3">
        <v>826.15</v>
      </c>
      <c r="J36" s="3">
        <f>H36-I36</f>
        <v>1880.0095000000001</v>
      </c>
    </row>
    <row r="37" spans="1:10">
      <c r="A37" s="14" t="s">
        <v>18</v>
      </c>
      <c r="B37" s="3">
        <v>130</v>
      </c>
      <c r="C37" s="3" t="s">
        <v>71</v>
      </c>
      <c r="D37" s="3">
        <f>B37</f>
        <v>130</v>
      </c>
      <c r="E37" s="20">
        <v>0</v>
      </c>
      <c r="F37" s="3">
        <f>D37-E37</f>
        <v>130</v>
      </c>
      <c r="G37" s="3">
        <v>0</v>
      </c>
      <c r="H37" s="3">
        <f>F37*G37</f>
        <v>0</v>
      </c>
      <c r="I37" s="3">
        <v>0</v>
      </c>
      <c r="J37" s="3">
        <f>H37-I37</f>
        <v>0</v>
      </c>
    </row>
    <row r="38" spans="1:10">
      <c r="A38" s="14" t="s">
        <v>6</v>
      </c>
      <c r="B38" s="3">
        <v>2350</v>
      </c>
      <c r="C38" s="3" t="s">
        <v>72</v>
      </c>
      <c r="D38" s="3">
        <f>B38</f>
        <v>2350</v>
      </c>
      <c r="E38" s="20">
        <v>0</v>
      </c>
      <c r="F38" s="3">
        <f>D38-E38</f>
        <v>2350</v>
      </c>
      <c r="G38" s="7">
        <v>7.4999999999999997E-2</v>
      </c>
      <c r="H38" s="3">
        <f>F38*G38</f>
        <v>176.25</v>
      </c>
      <c r="I38" s="3">
        <v>137.08000000000001</v>
      </c>
      <c r="J38" s="3">
        <f>H38-I38</f>
        <v>39.169999999999987</v>
      </c>
    </row>
    <row r="39" spans="1:10">
      <c r="A39" s="14"/>
      <c r="B39" s="3"/>
      <c r="C39" s="3"/>
      <c r="D39" s="3"/>
      <c r="E39" s="20"/>
      <c r="F39" s="3"/>
      <c r="G39" s="3"/>
      <c r="H39" s="3"/>
      <c r="I39" s="3"/>
      <c r="J39" s="3"/>
    </row>
    <row r="40" spans="1:10" s="4" customFormat="1">
      <c r="A40" s="12" t="s">
        <v>19</v>
      </c>
      <c r="B40" s="19"/>
      <c r="C40" s="10" t="s">
        <v>39</v>
      </c>
      <c r="D40" s="10" t="s">
        <v>40</v>
      </c>
      <c r="E40" s="47" t="s">
        <v>41</v>
      </c>
      <c r="F40" s="10" t="s">
        <v>42</v>
      </c>
      <c r="G40" s="10" t="s">
        <v>43</v>
      </c>
      <c r="H40" s="10" t="s">
        <v>68</v>
      </c>
      <c r="I40" s="10" t="s">
        <v>69</v>
      </c>
      <c r="J40" s="10" t="s">
        <v>70</v>
      </c>
    </row>
    <row r="41" spans="1:10">
      <c r="A41" s="14" t="s">
        <v>21</v>
      </c>
      <c r="B41" s="3">
        <v>10500</v>
      </c>
      <c r="C41" s="3" t="s">
        <v>72</v>
      </c>
      <c r="D41" s="3">
        <f>B41</f>
        <v>10500</v>
      </c>
      <c r="E41" s="3">
        <f>$B$80</f>
        <v>659.42000000000007</v>
      </c>
      <c r="F41" s="3">
        <f>D41-E41</f>
        <v>9840.58</v>
      </c>
      <c r="G41" s="7">
        <v>0.27500000000000002</v>
      </c>
      <c r="H41" s="3">
        <f>F41*G41</f>
        <v>2706.1595000000002</v>
      </c>
      <c r="I41" s="3">
        <v>826.15</v>
      </c>
      <c r="J41" s="3">
        <f>H41-I41</f>
        <v>1880.0095000000001</v>
      </c>
    </row>
    <row r="42" spans="1:10">
      <c r="A42" s="14" t="s">
        <v>22</v>
      </c>
      <c r="B42" s="3">
        <v>150</v>
      </c>
      <c r="C42" s="3" t="s">
        <v>71</v>
      </c>
      <c r="D42" s="3">
        <f>B42</f>
        <v>150</v>
      </c>
      <c r="E42" s="20">
        <v>0</v>
      </c>
      <c r="F42" s="3">
        <f>D42-E42</f>
        <v>150</v>
      </c>
      <c r="G42" s="3">
        <v>0</v>
      </c>
      <c r="H42" s="3">
        <v>0</v>
      </c>
      <c r="I42" s="3">
        <v>0</v>
      </c>
      <c r="J42" s="3">
        <v>0</v>
      </c>
    </row>
    <row r="43" spans="1:10">
      <c r="A43" s="14" t="s">
        <v>5</v>
      </c>
      <c r="B43" s="3">
        <v>2350</v>
      </c>
      <c r="C43" s="3" t="s">
        <v>72</v>
      </c>
      <c r="D43" s="3">
        <f>B43</f>
        <v>2350</v>
      </c>
      <c r="E43" s="20">
        <v>0</v>
      </c>
      <c r="F43" s="3">
        <f>D43-E43</f>
        <v>2350</v>
      </c>
      <c r="G43" s="7">
        <v>7.4999999999999997E-2</v>
      </c>
      <c r="H43" s="3">
        <f>F43*G43</f>
        <v>176.25</v>
      </c>
      <c r="I43" s="3">
        <v>137.08000000000001</v>
      </c>
      <c r="J43" s="3">
        <f>H43-I43</f>
        <v>39.169999999999987</v>
      </c>
    </row>
    <row r="44" spans="1:10">
      <c r="A44" s="14" t="s">
        <v>25</v>
      </c>
      <c r="B44" s="3">
        <v>3670</v>
      </c>
      <c r="C44" s="3" t="s">
        <v>73</v>
      </c>
      <c r="D44" s="3">
        <f>B44</f>
        <v>3670</v>
      </c>
      <c r="E44" s="20">
        <v>0</v>
      </c>
      <c r="F44" s="3">
        <f>D44-E44</f>
        <v>3670</v>
      </c>
      <c r="G44" s="7">
        <v>0.22500000000000001</v>
      </c>
      <c r="H44" s="3">
        <f>F44*G44</f>
        <v>825.75</v>
      </c>
      <c r="I44" s="3">
        <v>602.96</v>
      </c>
      <c r="J44" s="3">
        <f>H44-I44</f>
        <v>222.78999999999996</v>
      </c>
    </row>
    <row r="45" spans="1:10">
      <c r="A45" s="14"/>
      <c r="B45" s="3"/>
      <c r="C45" s="3"/>
      <c r="D45" s="3"/>
      <c r="E45" s="20"/>
      <c r="F45" s="3"/>
      <c r="G45" s="3"/>
      <c r="H45" s="3"/>
      <c r="I45" s="3"/>
      <c r="J45" s="3"/>
    </row>
    <row r="46" spans="1:10" s="4" customFormat="1">
      <c r="A46" s="12" t="s">
        <v>20</v>
      </c>
      <c r="B46" s="19"/>
      <c r="C46" s="10" t="s">
        <v>39</v>
      </c>
      <c r="D46" s="10" t="s">
        <v>40</v>
      </c>
      <c r="E46" s="47" t="s">
        <v>41</v>
      </c>
      <c r="F46" s="10" t="s">
        <v>42</v>
      </c>
      <c r="G46" s="10" t="s">
        <v>43</v>
      </c>
      <c r="H46" s="10" t="s">
        <v>68</v>
      </c>
      <c r="I46" s="10" t="s">
        <v>69</v>
      </c>
      <c r="J46" s="10" t="s">
        <v>70</v>
      </c>
    </row>
    <row r="47" spans="1:10">
      <c r="A47" s="14" t="s">
        <v>21</v>
      </c>
      <c r="B47" s="3">
        <v>10500</v>
      </c>
      <c r="C47" s="3" t="s">
        <v>72</v>
      </c>
      <c r="D47" s="3">
        <f>B47</f>
        <v>10500</v>
      </c>
      <c r="E47" s="3">
        <f>$B$80</f>
        <v>659.42000000000007</v>
      </c>
      <c r="F47" s="3">
        <f>D47-E47</f>
        <v>9840.58</v>
      </c>
      <c r="G47" s="7">
        <v>0.27500000000000002</v>
      </c>
      <c r="H47" s="3">
        <f>F47*G47</f>
        <v>2706.1595000000002</v>
      </c>
      <c r="I47" s="3">
        <v>826.15</v>
      </c>
      <c r="J47" s="3">
        <f>H47-I47</f>
        <v>1880.0095000000001</v>
      </c>
    </row>
    <row r="48" spans="1:10">
      <c r="A48" s="14" t="s">
        <v>23</v>
      </c>
      <c r="B48" s="3">
        <v>400000</v>
      </c>
      <c r="C48" s="3" t="s">
        <v>74</v>
      </c>
      <c r="D48" s="3">
        <f>B48-372000</f>
        <v>28000</v>
      </c>
      <c r="E48" s="20">
        <v>0</v>
      </c>
      <c r="F48" s="3">
        <f>D48-E48</f>
        <v>28000</v>
      </c>
      <c r="G48" s="6">
        <v>0.15</v>
      </c>
      <c r="H48" s="3">
        <f>F48*G48</f>
        <v>4200</v>
      </c>
      <c r="I48" s="3">
        <v>0</v>
      </c>
      <c r="J48" s="3">
        <f>H48-I48</f>
        <v>4200</v>
      </c>
    </row>
    <row r="49" spans="1:10" ht="30">
      <c r="A49" s="14" t="s">
        <v>24</v>
      </c>
      <c r="B49" s="3">
        <v>4000</v>
      </c>
      <c r="C49" s="3" t="s">
        <v>75</v>
      </c>
      <c r="D49" s="3">
        <f>B49</f>
        <v>4000</v>
      </c>
      <c r="E49" s="20">
        <v>0</v>
      </c>
      <c r="F49" s="3">
        <f>D49-E49</f>
        <v>4000</v>
      </c>
      <c r="G49" s="6">
        <v>0.15</v>
      </c>
      <c r="H49" s="3">
        <f>F49*G49</f>
        <v>600</v>
      </c>
      <c r="I49" s="3">
        <v>0</v>
      </c>
      <c r="J49" s="3">
        <f>H49-I49</f>
        <v>600</v>
      </c>
    </row>
    <row r="50" spans="1:10">
      <c r="A50" s="14" t="s">
        <v>26</v>
      </c>
      <c r="B50" s="3">
        <v>30000</v>
      </c>
      <c r="C50" s="3" t="s">
        <v>74</v>
      </c>
      <c r="D50" s="3">
        <f>B50-6000</f>
        <v>24000</v>
      </c>
      <c r="E50" s="20">
        <v>0</v>
      </c>
      <c r="F50" s="1" t="s">
        <v>83</v>
      </c>
      <c r="G50" s="6">
        <v>0.15</v>
      </c>
      <c r="H50" s="3"/>
      <c r="I50" s="3">
        <v>0</v>
      </c>
      <c r="J50" s="3">
        <f>H50-I50</f>
        <v>0</v>
      </c>
    </row>
    <row r="51" spans="1:10">
      <c r="A51" s="14"/>
      <c r="B51" s="3"/>
      <c r="C51" s="3"/>
      <c r="D51" s="3"/>
      <c r="E51" s="20"/>
      <c r="F51" s="3"/>
      <c r="G51" s="3"/>
      <c r="H51" s="3"/>
      <c r="I51" s="3"/>
      <c r="J51" s="3"/>
    </row>
    <row r="52" spans="1:10" s="4" customFormat="1">
      <c r="A52" s="12" t="s">
        <v>27</v>
      </c>
      <c r="B52" s="19"/>
      <c r="C52" s="10" t="s">
        <v>39</v>
      </c>
      <c r="D52" s="10" t="s">
        <v>40</v>
      </c>
      <c r="E52" s="47" t="s">
        <v>41</v>
      </c>
      <c r="F52" s="10" t="s">
        <v>42</v>
      </c>
      <c r="G52" s="10" t="s">
        <v>43</v>
      </c>
      <c r="H52" s="10" t="s">
        <v>68</v>
      </c>
      <c r="I52" s="10" t="s">
        <v>69</v>
      </c>
      <c r="J52" s="10" t="s">
        <v>70</v>
      </c>
    </row>
    <row r="53" spans="1:10">
      <c r="A53" s="14" t="s">
        <v>21</v>
      </c>
      <c r="B53" s="3">
        <v>10500</v>
      </c>
      <c r="C53" s="3" t="s">
        <v>72</v>
      </c>
      <c r="D53" s="3">
        <f>B53</f>
        <v>10500</v>
      </c>
      <c r="E53" s="20">
        <v>0</v>
      </c>
      <c r="F53" s="3">
        <f>D53-E53</f>
        <v>10500</v>
      </c>
      <c r="G53" s="7">
        <v>0.27500000000000002</v>
      </c>
      <c r="H53" s="3">
        <f>F53*G53</f>
        <v>2887.5000000000005</v>
      </c>
      <c r="I53" s="3">
        <v>826.15</v>
      </c>
      <c r="J53" s="3">
        <f>H53-I53</f>
        <v>2061.3500000000004</v>
      </c>
    </row>
    <row r="54" spans="1:10">
      <c r="A54" s="14" t="s">
        <v>29</v>
      </c>
      <c r="B54" s="3">
        <v>6800</v>
      </c>
      <c r="C54" s="3" t="s">
        <v>72</v>
      </c>
      <c r="D54" s="3">
        <f>B54</f>
        <v>6800</v>
      </c>
      <c r="E54" s="3">
        <f>$B$80</f>
        <v>659.42000000000007</v>
      </c>
      <c r="F54" s="3">
        <f>D54-E54</f>
        <v>6140.58</v>
      </c>
      <c r="G54" s="7">
        <v>0.27500000000000002</v>
      </c>
      <c r="H54" s="3">
        <f>F54*G54</f>
        <v>1688.6595000000002</v>
      </c>
      <c r="I54" s="3">
        <v>826.15</v>
      </c>
      <c r="J54" s="3">
        <f>H54-I54</f>
        <v>862.50950000000023</v>
      </c>
    </row>
    <row r="55" spans="1:10" ht="30">
      <c r="A55" s="14" t="s">
        <v>30</v>
      </c>
      <c r="B55" s="3">
        <v>350</v>
      </c>
      <c r="C55" s="3" t="s">
        <v>75</v>
      </c>
      <c r="D55" s="3">
        <f>B55</f>
        <v>350</v>
      </c>
      <c r="E55" s="20">
        <v>0</v>
      </c>
      <c r="F55" s="3">
        <f>D55-E55</f>
        <v>350</v>
      </c>
      <c r="G55" s="7">
        <v>0.22500000000000001</v>
      </c>
      <c r="H55" s="3">
        <f>F55*G55</f>
        <v>78.75</v>
      </c>
      <c r="I55" s="3">
        <v>0</v>
      </c>
      <c r="J55" s="3">
        <f>H55-I55</f>
        <v>78.75</v>
      </c>
    </row>
    <row r="56" spans="1:10">
      <c r="A56" s="14" t="s">
        <v>32</v>
      </c>
      <c r="B56" s="3">
        <v>5600</v>
      </c>
      <c r="C56" s="3" t="s">
        <v>74</v>
      </c>
      <c r="D56" s="3">
        <f>B56</f>
        <v>5600</v>
      </c>
      <c r="E56" s="20">
        <v>0</v>
      </c>
      <c r="F56" s="1" t="s">
        <v>83</v>
      </c>
      <c r="G56" s="6">
        <v>0.15</v>
      </c>
      <c r="H56" s="3"/>
      <c r="I56" s="3">
        <v>0</v>
      </c>
      <c r="J56" s="3">
        <f>H56-I56</f>
        <v>0</v>
      </c>
    </row>
    <row r="57" spans="1:10">
      <c r="A57" s="14"/>
      <c r="B57" s="3"/>
      <c r="C57" s="3"/>
      <c r="D57" s="3"/>
      <c r="E57" s="20"/>
      <c r="F57" s="3"/>
      <c r="G57" s="3"/>
      <c r="H57" s="3"/>
      <c r="I57" s="3"/>
      <c r="J57" s="3"/>
    </row>
    <row r="58" spans="1:10" s="4" customFormat="1">
      <c r="A58" s="12" t="s">
        <v>28</v>
      </c>
      <c r="B58" s="19"/>
      <c r="C58" s="10" t="s">
        <v>39</v>
      </c>
      <c r="D58" s="10" t="s">
        <v>40</v>
      </c>
      <c r="E58" s="47" t="s">
        <v>41</v>
      </c>
      <c r="F58" s="10" t="s">
        <v>42</v>
      </c>
      <c r="G58" s="10" t="s">
        <v>43</v>
      </c>
      <c r="H58" s="10" t="s">
        <v>68</v>
      </c>
      <c r="I58" s="10" t="s">
        <v>69</v>
      </c>
      <c r="J58" s="10" t="s">
        <v>70</v>
      </c>
    </row>
    <row r="59" spans="1:10">
      <c r="A59" s="14" t="s">
        <v>21</v>
      </c>
      <c r="B59" s="3">
        <v>10500</v>
      </c>
      <c r="C59" s="3" t="s">
        <v>72</v>
      </c>
      <c r="D59" s="3">
        <f>B59</f>
        <v>10500</v>
      </c>
      <c r="E59" s="20">
        <v>0</v>
      </c>
      <c r="F59" s="3">
        <f>D59-E59</f>
        <v>10500</v>
      </c>
      <c r="G59" s="7">
        <v>0.27500000000000002</v>
      </c>
      <c r="H59" s="3">
        <f>F59*G59</f>
        <v>2887.5000000000005</v>
      </c>
      <c r="I59" s="3">
        <v>826.15</v>
      </c>
      <c r="J59" s="3">
        <f>H59-I59</f>
        <v>2061.3500000000004</v>
      </c>
    </row>
    <row r="60" spans="1:10">
      <c r="A60" s="14" t="s">
        <v>29</v>
      </c>
      <c r="B60" s="3">
        <v>6800</v>
      </c>
      <c r="C60" s="3" t="s">
        <v>72</v>
      </c>
      <c r="D60" s="3">
        <f>B60</f>
        <v>6800</v>
      </c>
      <c r="E60" s="3">
        <f>$B$80</f>
        <v>659.42000000000007</v>
      </c>
      <c r="F60" s="3">
        <f>D60-E60</f>
        <v>6140.58</v>
      </c>
      <c r="G60" s="7">
        <v>0.27500000000000002</v>
      </c>
      <c r="H60" s="3">
        <f>F60*G60</f>
        <v>1688.6595000000002</v>
      </c>
      <c r="I60" s="3">
        <v>826.15</v>
      </c>
      <c r="J60" s="3">
        <f>H60-I60</f>
        <v>862.50950000000023</v>
      </c>
    </row>
    <row r="61" spans="1:10">
      <c r="A61" s="14" t="s">
        <v>31</v>
      </c>
      <c r="B61" s="3">
        <v>10000</v>
      </c>
      <c r="C61" s="3" t="s">
        <v>72</v>
      </c>
      <c r="D61" s="3">
        <f>B61</f>
        <v>10000</v>
      </c>
      <c r="E61" s="20">
        <v>0</v>
      </c>
      <c r="F61" s="3">
        <f>D61-E61</f>
        <v>10000</v>
      </c>
      <c r="G61" s="7">
        <v>0.27500000000000002</v>
      </c>
      <c r="H61" s="3">
        <f>F61*G61</f>
        <v>2750</v>
      </c>
      <c r="I61" s="3">
        <v>826.15</v>
      </c>
      <c r="J61" s="3">
        <f>H61-I61</f>
        <v>1923.85</v>
      </c>
    </row>
    <row r="62" spans="1:10">
      <c r="A62" s="14" t="s">
        <v>33</v>
      </c>
      <c r="B62" s="3">
        <v>160</v>
      </c>
      <c r="C62" s="3" t="s">
        <v>71</v>
      </c>
      <c r="D62" s="3">
        <f>B62</f>
        <v>160</v>
      </c>
      <c r="E62" s="20">
        <v>0</v>
      </c>
      <c r="F62" s="3">
        <f>D62-E62</f>
        <v>160</v>
      </c>
      <c r="G62" s="3">
        <v>0</v>
      </c>
      <c r="H62" s="3">
        <f>F62*G62</f>
        <v>0</v>
      </c>
      <c r="I62" s="3">
        <v>0</v>
      </c>
      <c r="J62" s="3">
        <f>H62-I62</f>
        <v>0</v>
      </c>
    </row>
    <row r="63" spans="1:10">
      <c r="A63" s="14"/>
      <c r="B63" s="3"/>
      <c r="C63" s="3"/>
      <c r="D63" s="3"/>
      <c r="E63" s="20"/>
      <c r="F63" s="3"/>
      <c r="G63" s="3"/>
      <c r="H63" s="3"/>
      <c r="I63" s="3"/>
      <c r="J63" s="3"/>
    </row>
    <row r="64" spans="1:10" s="4" customFormat="1">
      <c r="A64" s="12" t="s">
        <v>34</v>
      </c>
      <c r="B64" s="19"/>
      <c r="C64" s="10" t="s">
        <v>39</v>
      </c>
      <c r="D64" s="10" t="s">
        <v>40</v>
      </c>
      <c r="E64" s="47" t="s">
        <v>41</v>
      </c>
      <c r="F64" s="10" t="s">
        <v>42</v>
      </c>
      <c r="G64" s="10" t="s">
        <v>43</v>
      </c>
      <c r="H64" s="10" t="s">
        <v>68</v>
      </c>
      <c r="I64" s="10" t="s">
        <v>69</v>
      </c>
      <c r="J64" s="10" t="s">
        <v>70</v>
      </c>
    </row>
    <row r="65" spans="1:10">
      <c r="A65" s="14" t="s">
        <v>21</v>
      </c>
      <c r="B65" s="3">
        <v>10500</v>
      </c>
      <c r="C65" s="3" t="s">
        <v>72</v>
      </c>
      <c r="D65" s="3">
        <f>B65</f>
        <v>10500</v>
      </c>
      <c r="E65" s="20">
        <v>0</v>
      </c>
      <c r="F65" s="3">
        <f>D65-E65</f>
        <v>10500</v>
      </c>
      <c r="G65" s="7">
        <v>0.27500000000000002</v>
      </c>
      <c r="H65" s="3">
        <f>F65*G65</f>
        <v>2887.5000000000005</v>
      </c>
      <c r="I65" s="3">
        <v>826.15</v>
      </c>
      <c r="J65" s="3">
        <f>H65-I65</f>
        <v>2061.3500000000004</v>
      </c>
    </row>
    <row r="66" spans="1:10">
      <c r="A66" s="14" t="s">
        <v>29</v>
      </c>
      <c r="B66" s="3">
        <v>6800</v>
      </c>
      <c r="C66" s="3" t="s">
        <v>72</v>
      </c>
      <c r="D66" s="3">
        <f>B66</f>
        <v>6800</v>
      </c>
      <c r="E66" s="3">
        <f>$B$80</f>
        <v>659.42000000000007</v>
      </c>
      <c r="F66" s="3">
        <f>D66-E66</f>
        <v>6140.58</v>
      </c>
      <c r="G66" s="7">
        <v>0.27500000000000002</v>
      </c>
      <c r="H66" s="3">
        <f>F66*G66</f>
        <v>1688.6595000000002</v>
      </c>
      <c r="I66" s="3">
        <v>826.15</v>
      </c>
      <c r="J66" s="3">
        <f>H66-I66</f>
        <v>862.50950000000023</v>
      </c>
    </row>
    <row r="67" spans="1:10">
      <c r="A67" s="14" t="s">
        <v>36</v>
      </c>
      <c r="B67" s="3">
        <v>1133.33</v>
      </c>
      <c r="C67" s="3" t="s">
        <v>75</v>
      </c>
      <c r="D67" s="3">
        <f>B67</f>
        <v>1133.33</v>
      </c>
      <c r="E67" s="20">
        <v>0</v>
      </c>
      <c r="F67" s="3">
        <f>D67-E67</f>
        <v>1133.33</v>
      </c>
      <c r="G67" s="3">
        <v>0</v>
      </c>
      <c r="H67" s="3">
        <f>F67*G67</f>
        <v>0</v>
      </c>
      <c r="I67" s="3">
        <v>0</v>
      </c>
      <c r="J67" s="3">
        <f>H67-I67</f>
        <v>0</v>
      </c>
    </row>
    <row r="68" spans="1:10">
      <c r="A68" s="14" t="s">
        <v>33</v>
      </c>
      <c r="B68" s="3">
        <v>190</v>
      </c>
      <c r="C68" s="3" t="s">
        <v>71</v>
      </c>
      <c r="D68" s="3">
        <f>B68</f>
        <v>190</v>
      </c>
      <c r="E68" s="20">
        <v>0</v>
      </c>
      <c r="F68" s="3">
        <f>D68-E68</f>
        <v>190</v>
      </c>
      <c r="G68" s="3">
        <v>0</v>
      </c>
      <c r="H68" s="3">
        <f>F68*G68</f>
        <v>0</v>
      </c>
      <c r="I68" s="3">
        <v>0</v>
      </c>
      <c r="J68" s="3">
        <f>H68-I68</f>
        <v>0</v>
      </c>
    </row>
    <row r="69" spans="1:10">
      <c r="A69" s="14"/>
      <c r="B69" s="14"/>
      <c r="C69" s="14"/>
      <c r="D69" s="14"/>
      <c r="E69" s="22"/>
      <c r="F69" s="14"/>
      <c r="G69" s="14"/>
      <c r="H69" s="14"/>
      <c r="I69" s="14"/>
      <c r="J69" s="14"/>
    </row>
    <row r="70" spans="1:10" s="4" customFormat="1">
      <c r="A70" s="12" t="s">
        <v>35</v>
      </c>
      <c r="B70" s="19"/>
      <c r="C70" s="10" t="s">
        <v>39</v>
      </c>
      <c r="D70" s="10" t="s">
        <v>40</v>
      </c>
      <c r="E70" s="47" t="s">
        <v>41</v>
      </c>
      <c r="F70" s="10" t="s">
        <v>42</v>
      </c>
      <c r="G70" s="10" t="s">
        <v>43</v>
      </c>
      <c r="H70" s="10" t="s">
        <v>68</v>
      </c>
      <c r="I70" s="10" t="s">
        <v>69</v>
      </c>
      <c r="J70" s="10" t="s">
        <v>70</v>
      </c>
    </row>
    <row r="71" spans="1:10">
      <c r="A71" s="14" t="s">
        <v>21</v>
      </c>
      <c r="B71" s="3">
        <v>10500</v>
      </c>
      <c r="C71" s="3" t="s">
        <v>72</v>
      </c>
      <c r="D71" s="3">
        <f>B71</f>
        <v>10500</v>
      </c>
      <c r="E71" s="20">
        <v>0</v>
      </c>
      <c r="F71" s="3">
        <f>D71-E71</f>
        <v>10500</v>
      </c>
      <c r="G71" s="7">
        <v>0.27500000000000002</v>
      </c>
      <c r="H71" s="3">
        <f>F71*G71</f>
        <v>2887.5000000000005</v>
      </c>
      <c r="I71" s="3">
        <v>826.15</v>
      </c>
      <c r="J71" s="3">
        <f>H71-I71</f>
        <v>2061.3500000000004</v>
      </c>
    </row>
    <row r="72" spans="1:10">
      <c r="A72" s="14" t="s">
        <v>29</v>
      </c>
      <c r="B72" s="3">
        <v>6800</v>
      </c>
      <c r="C72" s="3" t="s">
        <v>72</v>
      </c>
      <c r="D72" s="3">
        <f>B72</f>
        <v>6800</v>
      </c>
      <c r="E72" s="3">
        <f>$B$80</f>
        <v>659.42000000000007</v>
      </c>
      <c r="F72" s="3">
        <f>D72-E72</f>
        <v>6140.58</v>
      </c>
      <c r="G72" s="7">
        <v>0.27500000000000002</v>
      </c>
      <c r="H72" s="3">
        <f>F72*G72</f>
        <v>1688.6595000000002</v>
      </c>
      <c r="I72" s="3">
        <v>826.15</v>
      </c>
      <c r="J72" s="3">
        <f>H72-I72</f>
        <v>862.50950000000023</v>
      </c>
    </row>
    <row r="73" spans="1:10">
      <c r="A73" s="14" t="s">
        <v>37</v>
      </c>
      <c r="B73" s="3">
        <v>1133.33</v>
      </c>
      <c r="C73" s="3" t="s">
        <v>75</v>
      </c>
      <c r="D73" s="3">
        <f>B73+D67</f>
        <v>2266.66</v>
      </c>
      <c r="E73" s="20"/>
      <c r="F73" s="3">
        <f>D73-E73</f>
        <v>2266.66</v>
      </c>
      <c r="G73" s="7">
        <v>7.4999999999999997E-2</v>
      </c>
      <c r="H73" s="3">
        <f>F73*G73</f>
        <v>169.99949999999998</v>
      </c>
      <c r="I73" s="3">
        <v>134.08000000000001</v>
      </c>
      <c r="J73" s="3">
        <f>H73-I73</f>
        <v>35.919499999999971</v>
      </c>
    </row>
    <row r="74" spans="1:10" ht="30">
      <c r="A74" s="14" t="s">
        <v>38</v>
      </c>
      <c r="B74" s="3">
        <v>450</v>
      </c>
      <c r="C74" s="3" t="s">
        <v>75</v>
      </c>
      <c r="D74" s="3">
        <f>B74</f>
        <v>450</v>
      </c>
      <c r="E74" s="20">
        <v>0</v>
      </c>
      <c r="F74" s="3">
        <f>D74-E74</f>
        <v>450</v>
      </c>
      <c r="G74" s="6">
        <v>0.17499999999999999</v>
      </c>
      <c r="H74" s="3">
        <f>F74*G74</f>
        <v>78.75</v>
      </c>
      <c r="I74" s="3">
        <v>0</v>
      </c>
      <c r="J74" s="3">
        <f>H74-I74</f>
        <v>78.75</v>
      </c>
    </row>
    <row r="77" spans="1:10">
      <c r="A77" s="4" t="s">
        <v>79</v>
      </c>
    </row>
    <row r="78" spans="1:10">
      <c r="A78" s="14" t="s">
        <v>80</v>
      </c>
      <c r="B78" s="3">
        <v>300</v>
      </c>
    </row>
    <row r="79" spans="1:10">
      <c r="A79" s="14" t="s">
        <v>82</v>
      </c>
      <c r="B79" s="3">
        <f>179.71*2</f>
        <v>359.42</v>
      </c>
    </row>
    <row r="80" spans="1:10">
      <c r="A80" s="14" t="s">
        <v>81</v>
      </c>
      <c r="B80" s="3">
        <f>SUM(B78:B79)</f>
        <v>659.42000000000007</v>
      </c>
    </row>
    <row r="82" spans="1:10">
      <c r="A82" s="4" t="s">
        <v>107</v>
      </c>
    </row>
    <row r="83" spans="1:10">
      <c r="A83" s="50" t="s">
        <v>108</v>
      </c>
    </row>
    <row r="84" spans="1:10">
      <c r="A84" s="50" t="s">
        <v>109</v>
      </c>
    </row>
    <row r="85" spans="1:10" ht="30.75" customHeight="1">
      <c r="A85" s="51" t="s">
        <v>110</v>
      </c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34.5" customHeight="1">
      <c r="A86" s="51" t="s">
        <v>111</v>
      </c>
      <c r="B86" s="52"/>
      <c r="C86" s="52"/>
      <c r="D86" s="52"/>
      <c r="E86" s="52"/>
      <c r="F86" s="52"/>
      <c r="G86" s="52"/>
      <c r="H86" s="52"/>
      <c r="I86" s="52"/>
      <c r="J86" s="52"/>
    </row>
  </sheetData>
  <mergeCells count="2">
    <mergeCell ref="A85:J85"/>
    <mergeCell ref="A86:J8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8" fitToHeight="2" orientation="landscape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Normal="100" workbookViewId="0">
      <selection activeCell="E40" sqref="E40"/>
    </sheetView>
  </sheetViews>
  <sheetFormatPr defaultRowHeight="15"/>
  <cols>
    <col min="1" max="1" width="41.28515625" style="2" customWidth="1"/>
    <col min="2" max="2" width="15.5703125" style="2" customWidth="1"/>
    <col min="3" max="3" width="12" style="2" bestFit="1" customWidth="1"/>
    <col min="4" max="4" width="9.140625" style="2"/>
    <col min="5" max="5" width="41.28515625" style="2" customWidth="1"/>
    <col min="6" max="6" width="15.5703125" style="16" customWidth="1"/>
  </cols>
  <sheetData>
    <row r="1" spans="1:6" s="13" customFormat="1" ht="30">
      <c r="A1" s="12" t="s">
        <v>44</v>
      </c>
      <c r="B1" s="23" t="s">
        <v>77</v>
      </c>
      <c r="C1" s="4"/>
      <c r="D1" s="4"/>
      <c r="E1" s="12" t="s">
        <v>45</v>
      </c>
      <c r="F1" s="48" t="s">
        <v>77</v>
      </c>
    </row>
    <row r="2" spans="1:6">
      <c r="A2" s="14" t="s">
        <v>46</v>
      </c>
      <c r="B2" s="15">
        <f>SUMIF('Parte 1'!$C$5:$C$8,"IRF-A",'Parte 1'!$J$5:$J$8)</f>
        <v>427.09049999999991</v>
      </c>
      <c r="E2" s="14" t="s">
        <v>46</v>
      </c>
      <c r="F2" s="15">
        <f>SUMIF('Parte 1'!$C$5:$C$8,"RMO",'Parte 1'!$J$5:$J$8)</f>
        <v>0</v>
      </c>
    </row>
    <row r="3" spans="1:6">
      <c r="A3" s="14" t="s">
        <v>47</v>
      </c>
      <c r="B3" s="15">
        <f>SUMIF('Parte 1'!$C$10:$C$14,"IRF-A",'Parte 1'!$J$10:$J$14)</f>
        <v>427.09049999999991</v>
      </c>
      <c r="E3" s="14" t="s">
        <v>47</v>
      </c>
      <c r="F3" s="15">
        <f>SUMIF('Parte 1'!$C$10:$C$14,"RMO",'Parte 1'!$J$10:$J$14)</f>
        <v>0</v>
      </c>
    </row>
    <row r="4" spans="1:6">
      <c r="A4" s="14" t="s">
        <v>48</v>
      </c>
      <c r="B4" s="15">
        <f>SUMIF('Parte 1'!$C$17:$C$20,"IRF-A",'Parte 1'!$J$17:$J$20)</f>
        <v>427.09049999999991</v>
      </c>
      <c r="E4" s="14" t="s">
        <v>48</v>
      </c>
      <c r="F4" s="15">
        <f>SUMIF('Parte 1'!$C$17:$C$20,"RMO",'Parte 1'!$J$17:$J$20)</f>
        <v>90.919999999999987</v>
      </c>
    </row>
    <row r="5" spans="1:6">
      <c r="A5" s="14" t="s">
        <v>49</v>
      </c>
      <c r="B5" s="15">
        <f>SUMIF('Parte 1'!$C$23:$C$26,"IRF-A",'Parte 1'!$J$23:$J$26)</f>
        <v>0</v>
      </c>
      <c r="E5" s="14" t="s">
        <v>49</v>
      </c>
      <c r="F5" s="15">
        <f>SUMIF('Parte 1'!$C$23:$C$26,"RMO",'Parte 1'!$J$23:$J$26)</f>
        <v>0</v>
      </c>
    </row>
    <row r="6" spans="1:6">
      <c r="A6" s="14" t="s">
        <v>50</v>
      </c>
      <c r="B6" s="15">
        <f>SUMIF('Parte 1'!$C$29:$C$32,"IRF-A",'Parte 1'!$J$29:$J$32)</f>
        <v>1919.1795000000002</v>
      </c>
      <c r="E6" s="14" t="s">
        <v>50</v>
      </c>
      <c r="F6" s="15">
        <f>SUMIF('Parte 1'!$C$29:$C$32,"RMO",'Parte 1'!$J$29:$J$32)</f>
        <v>0</v>
      </c>
    </row>
    <row r="7" spans="1:6">
      <c r="A7" s="14" t="s">
        <v>51</v>
      </c>
      <c r="B7" s="15">
        <f>SUMIF('Parte 1'!$C$35:$C$38,"IRF-A",'Parte 1'!$J$35:$J$38)</f>
        <v>1919.1795000000002</v>
      </c>
      <c r="E7" s="14" t="s">
        <v>51</v>
      </c>
      <c r="F7" s="15">
        <f>SUMIF('Parte 1'!$C$35:$C$38,"RMO",'Parte 1'!$J$35:$J$38)</f>
        <v>0</v>
      </c>
    </row>
    <row r="8" spans="1:6">
      <c r="A8" s="14" t="s">
        <v>52</v>
      </c>
      <c r="B8" s="15">
        <f>SUMIF('Parte 1'!$C$41:$C$44,"IRF-A",'Parte 1'!$J$41:$J$44)</f>
        <v>1919.1795000000002</v>
      </c>
      <c r="E8" s="14" t="s">
        <v>52</v>
      </c>
      <c r="F8" s="15">
        <f>SUMIF('Parte 1'!$C$41:$C$44,"RMO",'Parte 1'!$J$41:$J$44)</f>
        <v>222.78999999999996</v>
      </c>
    </row>
    <row r="9" spans="1:6">
      <c r="A9" s="14" t="s">
        <v>53</v>
      </c>
      <c r="B9" s="15">
        <f>SUMIF('Parte 1'!$C$47:$C$50,"IRF-A",'Parte 1'!$J$47:$J$50)</f>
        <v>1880.0095000000001</v>
      </c>
      <c r="E9" s="14" t="s">
        <v>53</v>
      </c>
      <c r="F9" s="15">
        <f>SUMIF('Parte 1'!$C$47:$C$50,"RMO",'Parte 1'!$J$47:$J$50)</f>
        <v>0</v>
      </c>
    </row>
    <row r="10" spans="1:6">
      <c r="A10" s="14" t="s">
        <v>54</v>
      </c>
      <c r="B10" s="15">
        <f>SUMIF('Parte 1'!$C$53:$C$56,"IRF-A",'Parte 1'!$J$53:$J$56)</f>
        <v>2923.8595000000005</v>
      </c>
      <c r="E10" s="14" t="s">
        <v>54</v>
      </c>
      <c r="F10" s="15">
        <f>SUMIF('Parte 1'!$C$53:$C$56,"RMO",'Parte 1'!$J$53:$J$56)</f>
        <v>0</v>
      </c>
    </row>
    <row r="11" spans="1:6">
      <c r="A11" s="14" t="s">
        <v>55</v>
      </c>
      <c r="B11" s="15">
        <f>SUMIF('Parte 1'!$C$59:$C$62,"IRF-A",'Parte 1'!$J$59:$J$62)</f>
        <v>4847.7095000000008</v>
      </c>
      <c r="E11" s="14" t="s">
        <v>55</v>
      </c>
      <c r="F11" s="15">
        <f>SUMIF('Parte 1'!$C$59:$C$62,"RMO",'Parte 1'!$J$59:$J$62)</f>
        <v>0</v>
      </c>
    </row>
    <row r="12" spans="1:6">
      <c r="A12" s="14" t="s">
        <v>56</v>
      </c>
      <c r="B12" s="15">
        <f>SUMIF('Parte 1'!$C$65:$C$68,"IRF-A",'Parte 1'!$J$65:$J$68)</f>
        <v>2923.8595000000005</v>
      </c>
      <c r="E12" s="14" t="s">
        <v>56</v>
      </c>
      <c r="F12" s="15">
        <f>SUMIF('Parte 1'!$C$65:$C$68,"RMO",'Parte 1'!$J$65:$J$68)</f>
        <v>0</v>
      </c>
    </row>
    <row r="13" spans="1:6">
      <c r="A13" s="14" t="s">
        <v>57</v>
      </c>
      <c r="B13" s="15">
        <f>SUMIF('Parte 1'!$C$71:$C$78,"IRF-A",'Parte 1'!$J$71:$J$78)</f>
        <v>2923.8595000000005</v>
      </c>
      <c r="E13" s="14" t="s">
        <v>57</v>
      </c>
      <c r="F13" s="15">
        <f>SUMIF('Parte 1'!$C$71:$C$78,"RMO",'Parte 1'!$J$71:$J$78)</f>
        <v>0</v>
      </c>
    </row>
    <row r="14" spans="1:6">
      <c r="A14" s="12" t="s">
        <v>78</v>
      </c>
      <c r="B14" s="17">
        <f>SUM(B2:B13)</f>
        <v>22538.107499999998</v>
      </c>
      <c r="E14" s="12" t="s">
        <v>78</v>
      </c>
      <c r="F14" s="17">
        <f>SUM(F2:F13)</f>
        <v>313.70999999999992</v>
      </c>
    </row>
    <row r="15" spans="1:6">
      <c r="B15" s="16"/>
    </row>
    <row r="16" spans="1:6" s="13" customFormat="1" ht="30">
      <c r="A16" s="12" t="s">
        <v>58</v>
      </c>
      <c r="B16" s="23" t="s">
        <v>77</v>
      </c>
      <c r="C16" s="4"/>
      <c r="D16" s="4"/>
      <c r="E16" s="12" t="s">
        <v>59</v>
      </c>
      <c r="F16" s="48" t="s">
        <v>77</v>
      </c>
    </row>
    <row r="17" spans="1:6">
      <c r="A17" s="14" t="s">
        <v>46</v>
      </c>
      <c r="B17" s="15">
        <f>SUMIF('Parte 1'!$C$5:$C$8,"ganho de capital",'Parte 1'!$J$5:$J$8)</f>
        <v>0</v>
      </c>
      <c r="E17" s="14" t="s">
        <v>46</v>
      </c>
      <c r="F17" s="15">
        <f>SUMIF('Parte 1'!$C$5:$C$8,"IRF-E",'Parte 1'!$J$5:$J$8)</f>
        <v>0</v>
      </c>
    </row>
    <row r="18" spans="1:6">
      <c r="A18" s="14" t="s">
        <v>47</v>
      </c>
      <c r="B18" s="15">
        <f>SUMIF('Parte 1'!$C$10:$C$14,"ganho de capital",'Parte 1'!$J$10:$J$14)</f>
        <v>0</v>
      </c>
      <c r="E18" s="14" t="s">
        <v>47</v>
      </c>
      <c r="F18" s="15">
        <f>SUMIF('Parte 1'!$C$10:$C$14,"IRF-E",'Parte 1'!$J$10:$J$14)</f>
        <v>0</v>
      </c>
    </row>
    <row r="19" spans="1:6">
      <c r="A19" s="14" t="s">
        <v>48</v>
      </c>
      <c r="B19" s="15">
        <f>SUMIF('Parte 1'!$C$17:$C$20,"ganho de capital",'Parte 1'!$J$17:$J$20)</f>
        <v>0</v>
      </c>
      <c r="E19" s="14" t="s">
        <v>48</v>
      </c>
      <c r="F19" s="15">
        <f>SUMIF('Parte 1'!$C$17:$C$20,"IRF-E",'Parte 1'!$J$17:$J$20)</f>
        <v>0</v>
      </c>
    </row>
    <row r="20" spans="1:6">
      <c r="A20" s="14" t="s">
        <v>49</v>
      </c>
      <c r="B20" s="15">
        <f>SUMIF('Parte 1'!$C$23:$C$26,"ganho de capital",'Parte 1'!$J$23:$J$26)</f>
        <v>7500</v>
      </c>
      <c r="E20" s="14" t="s">
        <v>49</v>
      </c>
      <c r="F20" s="15">
        <f>SUMIF('Parte 1'!$C$23:$C$26,"IRF-E",'Parte 1'!$J$23:$J$26)</f>
        <v>0</v>
      </c>
    </row>
    <row r="21" spans="1:6">
      <c r="A21" s="14" t="s">
        <v>50</v>
      </c>
      <c r="B21" s="15">
        <f>SUMIF('Parte 1'!$C$29:$C$32,"ganho de capital",'Parte 1'!$J$29:$J$32)</f>
        <v>0</v>
      </c>
      <c r="E21" s="14" t="s">
        <v>50</v>
      </c>
      <c r="F21" s="15">
        <f>SUMIF('Parte 1'!$C$29:$C$32,"IRF-E",'Parte 1'!$J$29:$J$32)</f>
        <v>400</v>
      </c>
    </row>
    <row r="22" spans="1:6">
      <c r="A22" s="14" t="s">
        <v>51</v>
      </c>
      <c r="B22" s="15">
        <f>SUMIF('Parte 1'!$C$35:$C$38,"ganho de capital",'Parte 1'!$J$35:$J$38)</f>
        <v>0</v>
      </c>
      <c r="E22" s="14" t="s">
        <v>51</v>
      </c>
      <c r="F22" s="15">
        <f>SUMIF('Parte 1'!$C$35:$C$38,"IRF-E",'Parte 1'!$J$35:$J$38)</f>
        <v>0</v>
      </c>
    </row>
    <row r="23" spans="1:6">
      <c r="A23" s="14" t="s">
        <v>52</v>
      </c>
      <c r="B23" s="15">
        <f>SUMIF('Parte 1'!$C$41:$C$44,"ganho de capital",'Parte 1'!$J$41:$J$44)</f>
        <v>0</v>
      </c>
      <c r="E23" s="14" t="s">
        <v>52</v>
      </c>
      <c r="F23" s="15">
        <f>SUMIF('Parte 1'!$C$41:$C$44,"IRF-E",'Parte 1'!$J$41:$J$44)</f>
        <v>0</v>
      </c>
    </row>
    <row r="24" spans="1:6">
      <c r="A24" s="14" t="s">
        <v>53</v>
      </c>
      <c r="B24" s="15">
        <f>SUMIF('Parte 1'!$C$47:$C$50,"ganho de capital",'Parte 1'!$J$47:$J$50)</f>
        <v>4200</v>
      </c>
      <c r="E24" s="14" t="s">
        <v>53</v>
      </c>
      <c r="F24" s="15">
        <f>SUMIF('Parte 1'!$C$47:$C$50,"IRF-E",'Parte 1'!$J$47:$J$50)</f>
        <v>600</v>
      </c>
    </row>
    <row r="25" spans="1:6">
      <c r="A25" s="14" t="s">
        <v>54</v>
      </c>
      <c r="B25" s="15">
        <f>SUMIF('Parte 1'!$C$53:$C$56,"ganho de capital",'Parte 1'!$J$53:$J$56)</f>
        <v>0</v>
      </c>
      <c r="E25" s="14" t="s">
        <v>54</v>
      </c>
      <c r="F25" s="15">
        <f>SUMIF('Parte 1'!$C$53:$C$56,"IRF-E",'Parte 1'!$J$53:$J$56)</f>
        <v>78.75</v>
      </c>
    </row>
    <row r="26" spans="1:6">
      <c r="A26" s="14" t="s">
        <v>55</v>
      </c>
      <c r="B26" s="15">
        <f>SUMIF('Parte 1'!$C$59:$C$62,"ganho de capital",'Parte 1'!$J$59:$J$62)</f>
        <v>0</v>
      </c>
      <c r="E26" s="14" t="s">
        <v>55</v>
      </c>
      <c r="F26" s="15">
        <f>SUMIF('Parte 1'!$C$59:$C$62,"IRF-E",'Parte 1'!$J$59:$J$62)</f>
        <v>0</v>
      </c>
    </row>
    <row r="27" spans="1:6">
      <c r="A27" s="14" t="s">
        <v>56</v>
      </c>
      <c r="B27" s="15">
        <f>SUMIF('Parte 1'!$C$65:$C$68,"ganho de capital",'Parte 1'!$J$65:$J$68)</f>
        <v>0</v>
      </c>
      <c r="E27" s="14" t="s">
        <v>56</v>
      </c>
      <c r="F27" s="15">
        <f>SUMIF('Parte 1'!$C$65:$C$68,"IRF-E",'Parte 1'!$J$65:$J$68)</f>
        <v>0</v>
      </c>
    </row>
    <row r="28" spans="1:6">
      <c r="A28" s="14" t="s">
        <v>57</v>
      </c>
      <c r="B28" s="15">
        <f>SUMIF('Parte 1'!$C$71:$C$78,"ganho de capital",'Parte 1'!$J$71:$J$78)</f>
        <v>0</v>
      </c>
      <c r="E28" s="14" t="s">
        <v>57</v>
      </c>
      <c r="F28" s="15">
        <f>SUMIF('Parte 1'!$C$71:$C$78,"IRF-E",'Parte 1'!$J$71:$J$78)</f>
        <v>114.66949999999997</v>
      </c>
    </row>
    <row r="29" spans="1:6">
      <c r="A29" s="12" t="s">
        <v>78</v>
      </c>
      <c r="B29" s="17">
        <f>SUM(B17:B28)</f>
        <v>11700</v>
      </c>
      <c r="E29" s="12" t="s">
        <v>78</v>
      </c>
      <c r="F29" s="17">
        <f>SUM(F17:F28)</f>
        <v>1193.4195</v>
      </c>
    </row>
    <row r="30" spans="1:6">
      <c r="A30" s="24"/>
      <c r="B30" s="24"/>
      <c r="C30" s="24"/>
    </row>
    <row r="31" spans="1:6" ht="30">
      <c r="A31" s="23" t="s">
        <v>60</v>
      </c>
      <c r="B31" s="23" t="s">
        <v>61</v>
      </c>
      <c r="C31" s="23" t="s">
        <v>62</v>
      </c>
    </row>
    <row r="32" spans="1:6">
      <c r="A32" s="25" t="s">
        <v>63</v>
      </c>
      <c r="B32" s="26">
        <v>0</v>
      </c>
      <c r="C32" s="27">
        <v>0</v>
      </c>
    </row>
    <row r="33" spans="1:3">
      <c r="A33" s="25" t="s">
        <v>64</v>
      </c>
      <c r="B33" s="28">
        <v>7.4999999999999997E-2</v>
      </c>
      <c r="C33" s="29">
        <v>134.08000000000001</v>
      </c>
    </row>
    <row r="34" spans="1:3">
      <c r="A34" s="25" t="s">
        <v>65</v>
      </c>
      <c r="B34" s="28">
        <v>0.15</v>
      </c>
      <c r="C34" s="29">
        <v>335.03</v>
      </c>
    </row>
    <row r="35" spans="1:3">
      <c r="A35" s="25" t="s">
        <v>66</v>
      </c>
      <c r="B35" s="28">
        <v>0.22500000000000001</v>
      </c>
      <c r="C35" s="29">
        <v>602.96</v>
      </c>
    </row>
    <row r="36" spans="1:3">
      <c r="A36" s="25" t="s">
        <v>67</v>
      </c>
      <c r="B36" s="28">
        <v>0.27500000000000002</v>
      </c>
      <c r="C36" s="29">
        <v>826.15</v>
      </c>
    </row>
    <row r="37" spans="1:3">
      <c r="A37" s="24"/>
      <c r="B37" s="24"/>
      <c r="C37" s="24"/>
    </row>
    <row r="38" spans="1:3">
      <c r="A38" s="24"/>
      <c r="B38" s="24"/>
      <c r="C38" s="24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5"/>
      <c r="C60" s="8"/>
    </row>
  </sheetData>
  <pageMargins left="0.511811024" right="0.511811024" top="0.78740157499999996" bottom="0.78740157499999996" header="0.31496062000000002" footer="0.31496062000000002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Normal="100" workbookViewId="0">
      <selection activeCell="D2" sqref="D2"/>
    </sheetView>
  </sheetViews>
  <sheetFormatPr defaultRowHeight="15"/>
  <cols>
    <col min="1" max="1" width="5.28515625" style="30" customWidth="1"/>
    <col min="2" max="2" width="23.28515625" style="30" customWidth="1"/>
    <col min="3" max="3" width="15" style="30" customWidth="1"/>
    <col min="4" max="4" width="44.5703125" style="30" customWidth="1"/>
    <col min="5" max="5" width="12.140625" style="30" customWidth="1"/>
    <col min="6" max="6" width="30.7109375" style="30" customWidth="1"/>
    <col min="7" max="16384" width="9.140625" style="30"/>
  </cols>
  <sheetData>
    <row r="1" spans="1:7" ht="15.75" thickBot="1"/>
    <row r="2" spans="1:7">
      <c r="A2" s="31"/>
      <c r="B2" s="32"/>
      <c r="C2" s="32"/>
      <c r="D2" s="32"/>
      <c r="E2" s="33"/>
      <c r="F2" s="32"/>
      <c r="G2" s="34"/>
    </row>
    <row r="3" spans="1:7">
      <c r="A3" s="35"/>
      <c r="B3" s="36" t="s">
        <v>84</v>
      </c>
      <c r="C3" s="37"/>
      <c r="D3" s="37"/>
      <c r="E3" s="38" t="s">
        <v>85</v>
      </c>
      <c r="F3" s="39">
        <v>2015</v>
      </c>
      <c r="G3" s="40"/>
    </row>
    <row r="4" spans="1:7">
      <c r="A4" s="35"/>
      <c r="B4" s="37"/>
      <c r="C4" s="37"/>
      <c r="D4" s="37"/>
      <c r="E4" s="38" t="s">
        <v>86</v>
      </c>
      <c r="F4" s="39">
        <v>2014</v>
      </c>
      <c r="G4" s="40"/>
    </row>
    <row r="5" spans="1:7">
      <c r="A5" s="35"/>
      <c r="B5" s="37"/>
      <c r="C5" s="37"/>
      <c r="D5" s="37"/>
      <c r="E5" s="38"/>
      <c r="F5" s="37"/>
      <c r="G5" s="40"/>
    </row>
    <row r="6" spans="1:7">
      <c r="A6" s="35"/>
      <c r="B6" s="38" t="s">
        <v>87</v>
      </c>
      <c r="C6" s="37"/>
      <c r="D6" s="53" t="s">
        <v>100</v>
      </c>
      <c r="E6" s="54"/>
      <c r="F6" s="55"/>
      <c r="G6" s="40"/>
    </row>
    <row r="7" spans="1:7">
      <c r="A7" s="35"/>
      <c r="B7" s="37"/>
      <c r="C7" s="37"/>
      <c r="D7" s="37"/>
      <c r="E7" s="38"/>
      <c r="F7" s="37"/>
      <c r="G7" s="40"/>
    </row>
    <row r="8" spans="1:7">
      <c r="A8" s="35"/>
      <c r="B8" s="37"/>
      <c r="C8" s="38" t="s">
        <v>88</v>
      </c>
      <c r="D8" s="53" t="s">
        <v>101</v>
      </c>
      <c r="E8" s="54"/>
      <c r="F8" s="55"/>
      <c r="G8" s="40"/>
    </row>
    <row r="9" spans="1:7">
      <c r="A9" s="35"/>
      <c r="B9" s="37"/>
      <c r="C9" s="37"/>
      <c r="D9" s="37"/>
      <c r="E9" s="38"/>
      <c r="F9" s="37"/>
      <c r="G9" s="40"/>
    </row>
    <row r="10" spans="1:7">
      <c r="A10" s="35"/>
      <c r="B10" s="37"/>
      <c r="C10" s="37"/>
      <c r="D10" s="37"/>
      <c r="E10" s="38"/>
      <c r="F10" s="37"/>
      <c r="G10" s="40"/>
    </row>
    <row r="11" spans="1:7">
      <c r="A11" s="35"/>
      <c r="B11" s="38" t="s">
        <v>103</v>
      </c>
      <c r="C11" s="37"/>
      <c r="D11" s="37"/>
      <c r="E11" s="37"/>
      <c r="F11" s="41">
        <f>SUMIF('Parte 1'!$C$5:$C$74,"IRF-A",'Parte 1'!$D$5:$D$74)</f>
        <v>154000</v>
      </c>
      <c r="G11" s="40"/>
    </row>
    <row r="12" spans="1:7">
      <c r="A12" s="35"/>
      <c r="B12" s="37"/>
      <c r="C12" s="37"/>
      <c r="D12" s="37"/>
      <c r="E12" s="37"/>
      <c r="F12" s="42"/>
      <c r="G12" s="40"/>
    </row>
    <row r="13" spans="1:7">
      <c r="A13" s="35"/>
      <c r="B13" s="38" t="s">
        <v>104</v>
      </c>
      <c r="C13" s="37"/>
      <c r="D13" s="37"/>
      <c r="E13" s="37"/>
      <c r="F13" s="41">
        <f>SUMIF('Parte 1'!$C$5:$C$74,"RMO",'Parte 1'!$D$5:$D$74)</f>
        <v>6670</v>
      </c>
      <c r="G13" s="40"/>
    </row>
    <row r="14" spans="1:7">
      <c r="A14" s="35"/>
      <c r="B14" s="37"/>
      <c r="C14" s="37"/>
      <c r="D14" s="37"/>
      <c r="E14" s="37"/>
      <c r="F14" s="42"/>
      <c r="G14" s="40"/>
    </row>
    <row r="15" spans="1:7">
      <c r="A15" s="35"/>
      <c r="B15" s="38" t="s">
        <v>89</v>
      </c>
      <c r="C15" s="37"/>
      <c r="D15" s="37"/>
      <c r="E15" s="37"/>
      <c r="F15" s="41">
        <f>SUMIF('Parte 1'!$C$5:$C$74,"Isento",'Parte 1'!$D$5:$D$74)</f>
        <v>259630</v>
      </c>
      <c r="G15" s="40"/>
    </row>
    <row r="16" spans="1:7">
      <c r="A16" s="35"/>
      <c r="B16" s="37"/>
      <c r="C16" s="37"/>
      <c r="D16" s="37"/>
      <c r="E16" s="37"/>
      <c r="F16" s="42"/>
      <c r="G16" s="40"/>
    </row>
    <row r="17" spans="1:7">
      <c r="A17" s="35"/>
      <c r="B17" s="38" t="s">
        <v>90</v>
      </c>
      <c r="C17" s="37"/>
      <c r="D17" s="37"/>
      <c r="E17" s="37"/>
      <c r="F17" s="41">
        <f>SUMIF('Parte 1'!$C$5:$C$74,"IRF-E",'Parte 1'!$D$5:$D$74)</f>
        <v>10199.99</v>
      </c>
      <c r="G17" s="40"/>
    </row>
    <row r="18" spans="1:7">
      <c r="A18" s="35"/>
      <c r="B18" s="37"/>
      <c r="C18" s="37"/>
      <c r="D18" s="37"/>
      <c r="E18" s="37"/>
      <c r="F18" s="42"/>
      <c r="G18" s="40"/>
    </row>
    <row r="19" spans="1:7">
      <c r="A19" s="35"/>
      <c r="B19" s="38" t="s">
        <v>91</v>
      </c>
      <c r="C19" s="37"/>
      <c r="D19" s="37"/>
      <c r="E19" s="37"/>
      <c r="F19" s="41">
        <f>SUMIF('Parte 1'!$C$5:$C$74,"ganho de capital",'Parte 1'!$D$5:$D$74)</f>
        <v>118100</v>
      </c>
      <c r="G19" s="40"/>
    </row>
    <row r="20" spans="1:7">
      <c r="A20" s="35"/>
      <c r="B20" s="37"/>
      <c r="C20" s="37"/>
      <c r="D20" s="37"/>
      <c r="E20" s="37"/>
      <c r="F20" s="42"/>
      <c r="G20" s="40"/>
    </row>
    <row r="21" spans="1:7">
      <c r="A21" s="35"/>
      <c r="B21" s="38" t="s">
        <v>92</v>
      </c>
      <c r="C21" s="37"/>
      <c r="D21" s="37"/>
      <c r="E21" s="37"/>
      <c r="F21" s="42"/>
      <c r="G21" s="40"/>
    </row>
    <row r="22" spans="1:7">
      <c r="A22" s="35"/>
      <c r="B22" s="37"/>
      <c r="C22" s="37"/>
      <c r="D22" s="37"/>
      <c r="E22" s="38"/>
      <c r="F22" s="37"/>
      <c r="G22" s="40"/>
    </row>
    <row r="23" spans="1:7">
      <c r="A23" s="35"/>
      <c r="B23" s="37"/>
      <c r="C23" s="38" t="s">
        <v>105</v>
      </c>
      <c r="D23" s="37"/>
      <c r="E23" s="37"/>
      <c r="F23" s="41">
        <f>F11+F13</f>
        <v>160670</v>
      </c>
      <c r="G23" s="40"/>
    </row>
    <row r="24" spans="1:7">
      <c r="A24" s="35"/>
      <c r="B24" s="37"/>
      <c r="C24" s="37"/>
      <c r="D24" s="37"/>
      <c r="E24" s="38"/>
      <c r="F24" s="37"/>
      <c r="G24" s="40"/>
    </row>
    <row r="25" spans="1:7">
      <c r="A25" s="35"/>
      <c r="B25" s="37"/>
      <c r="C25" s="38" t="s">
        <v>41</v>
      </c>
      <c r="D25" s="37"/>
      <c r="E25" s="37"/>
      <c r="F25" s="42"/>
      <c r="G25" s="40"/>
    </row>
    <row r="26" spans="1:7">
      <c r="A26" s="35"/>
      <c r="B26" s="37"/>
      <c r="C26" s="37"/>
      <c r="D26" s="37"/>
      <c r="E26" s="38"/>
      <c r="F26" s="37"/>
      <c r="G26" s="40"/>
    </row>
    <row r="27" spans="1:7">
      <c r="A27" s="35"/>
      <c r="B27" s="37"/>
      <c r="C27" s="37"/>
      <c r="D27" s="37" t="s">
        <v>93</v>
      </c>
      <c r="E27" s="37"/>
      <c r="F27" s="41">
        <f>300*12</f>
        <v>3600</v>
      </c>
      <c r="G27" s="40"/>
    </row>
    <row r="28" spans="1:7">
      <c r="A28" s="35"/>
      <c r="B28" s="37"/>
      <c r="C28" s="37"/>
      <c r="D28" s="37"/>
      <c r="E28" s="38"/>
      <c r="F28" s="37"/>
      <c r="G28" s="40"/>
    </row>
    <row r="29" spans="1:7">
      <c r="A29" s="35"/>
      <c r="B29" s="37"/>
      <c r="C29" s="37"/>
      <c r="D29" s="37" t="s">
        <v>94</v>
      </c>
      <c r="E29" s="37"/>
      <c r="F29" s="41">
        <f>2156.52*2</f>
        <v>4313.04</v>
      </c>
      <c r="G29" s="40"/>
    </row>
    <row r="30" spans="1:7">
      <c r="A30" s="35"/>
      <c r="B30" s="37"/>
      <c r="C30" s="37"/>
      <c r="D30" s="37"/>
      <c r="E30" s="38"/>
      <c r="F30" s="37"/>
      <c r="G30" s="40"/>
    </row>
    <row r="31" spans="1:7">
      <c r="A31" s="35"/>
      <c r="B31" s="37"/>
      <c r="C31" s="37"/>
      <c r="D31" s="37" t="s">
        <v>95</v>
      </c>
      <c r="E31" s="37"/>
      <c r="F31" s="41">
        <f>3375.83*2</f>
        <v>6751.66</v>
      </c>
      <c r="G31" s="40"/>
    </row>
    <row r="32" spans="1:7">
      <c r="A32" s="35"/>
      <c r="B32" s="37"/>
      <c r="C32" s="37"/>
      <c r="D32" s="37"/>
      <c r="E32" s="38"/>
      <c r="F32" s="37"/>
      <c r="G32" s="40"/>
    </row>
    <row r="33" spans="1:7">
      <c r="A33" s="35"/>
      <c r="B33" s="37"/>
      <c r="C33" s="37"/>
      <c r="D33" s="37" t="s">
        <v>96</v>
      </c>
      <c r="E33" s="37"/>
      <c r="F33" s="41">
        <v>15000</v>
      </c>
      <c r="G33" s="40"/>
    </row>
    <row r="34" spans="1:7">
      <c r="A34" s="35"/>
      <c r="B34" s="37"/>
      <c r="C34" s="37"/>
      <c r="D34" s="37"/>
      <c r="E34" s="37"/>
      <c r="F34" s="42"/>
      <c r="G34" s="40"/>
    </row>
    <row r="35" spans="1:7">
      <c r="A35" s="35"/>
      <c r="B35" s="37"/>
      <c r="C35" s="38" t="s">
        <v>42</v>
      </c>
      <c r="D35" s="37"/>
      <c r="E35" s="37"/>
      <c r="F35" s="41">
        <f>F23-F27-F29-F31-F33</f>
        <v>131005.29999999999</v>
      </c>
      <c r="G35" s="40"/>
    </row>
    <row r="36" spans="1:7">
      <c r="A36" s="35"/>
      <c r="B36" s="37"/>
      <c r="C36" s="37"/>
      <c r="D36" s="37"/>
      <c r="E36" s="38"/>
      <c r="F36" s="37"/>
      <c r="G36" s="40"/>
    </row>
    <row r="37" spans="1:7">
      <c r="A37" s="35"/>
      <c r="B37" s="37"/>
      <c r="C37" s="38" t="s">
        <v>97</v>
      </c>
      <c r="D37" s="37"/>
      <c r="E37" s="37"/>
      <c r="F37" s="41">
        <f>F35*27.5%-9913.83</f>
        <v>26112.627499999995</v>
      </c>
      <c r="G37" s="40"/>
    </row>
    <row r="38" spans="1:7">
      <c r="A38" s="35"/>
      <c r="B38" s="37"/>
      <c r="C38" s="37"/>
      <c r="D38" s="37"/>
      <c r="E38" s="38"/>
      <c r="F38" s="37"/>
      <c r="G38" s="40"/>
    </row>
    <row r="39" spans="1:7">
      <c r="A39" s="35"/>
      <c r="B39" s="37"/>
      <c r="C39" s="38" t="s">
        <v>98</v>
      </c>
      <c r="D39" s="37"/>
      <c r="E39" s="37"/>
      <c r="F39" s="42"/>
      <c r="G39" s="40"/>
    </row>
    <row r="40" spans="1:7">
      <c r="A40" s="35"/>
      <c r="B40" s="37"/>
      <c r="C40" s="37"/>
      <c r="D40" s="37"/>
      <c r="E40" s="38"/>
      <c r="F40" s="37"/>
      <c r="G40" s="40"/>
    </row>
    <row r="41" spans="1:7">
      <c r="A41" s="35"/>
      <c r="B41" s="37"/>
      <c r="C41" s="37"/>
      <c r="D41" s="37" t="s">
        <v>72</v>
      </c>
      <c r="E41" s="37"/>
      <c r="F41" s="41">
        <f>'Parte 2'!B14</f>
        <v>22538.107499999998</v>
      </c>
      <c r="G41" s="40"/>
    </row>
    <row r="42" spans="1:7">
      <c r="A42" s="35"/>
      <c r="B42" s="37"/>
      <c r="C42" s="37"/>
      <c r="D42" s="37"/>
      <c r="E42" s="38"/>
      <c r="F42" s="37"/>
      <c r="G42" s="40"/>
    </row>
    <row r="43" spans="1:7">
      <c r="A43" s="35"/>
      <c r="B43" s="37"/>
      <c r="C43" s="37"/>
      <c r="D43" s="49" t="s">
        <v>102</v>
      </c>
      <c r="E43" s="37"/>
      <c r="F43" s="41">
        <f>'Parte 2'!F14</f>
        <v>313.70999999999992</v>
      </c>
      <c r="G43" s="40"/>
    </row>
    <row r="44" spans="1:7">
      <c r="A44" s="35"/>
      <c r="B44" s="37"/>
      <c r="C44" s="37"/>
      <c r="D44" s="37"/>
      <c r="E44" s="38"/>
      <c r="F44" s="37"/>
      <c r="G44" s="40"/>
    </row>
    <row r="45" spans="1:7">
      <c r="A45" s="35"/>
      <c r="B45" s="37"/>
      <c r="C45" s="37"/>
      <c r="D45" s="37" t="s">
        <v>99</v>
      </c>
      <c r="E45" s="37"/>
      <c r="F45" s="41">
        <f>'Parte 2'!B29</f>
        <v>11700</v>
      </c>
      <c r="G45" s="40"/>
    </row>
    <row r="46" spans="1:7">
      <c r="A46" s="35"/>
      <c r="B46" s="37"/>
      <c r="C46" s="37"/>
      <c r="D46" s="37"/>
      <c r="E46" s="38"/>
      <c r="F46" s="37"/>
      <c r="G46" s="40"/>
    </row>
    <row r="47" spans="1:7">
      <c r="A47" s="35"/>
      <c r="B47" s="37"/>
      <c r="C47" s="37"/>
      <c r="D47" s="37" t="s">
        <v>75</v>
      </c>
      <c r="E47" s="37"/>
      <c r="F47" s="41">
        <f>'Parte 2'!F29</f>
        <v>1193.4195</v>
      </c>
      <c r="G47" s="40"/>
    </row>
    <row r="48" spans="1:7">
      <c r="A48" s="35"/>
      <c r="B48" s="37"/>
      <c r="C48" s="37"/>
      <c r="D48" s="37"/>
      <c r="E48" s="37"/>
      <c r="F48" s="42"/>
      <c r="G48" s="40"/>
    </row>
    <row r="49" spans="1:7">
      <c r="A49" s="35"/>
      <c r="B49" s="37"/>
      <c r="C49" s="38" t="s">
        <v>106</v>
      </c>
      <c r="D49" s="37"/>
      <c r="E49" s="37"/>
      <c r="F49" s="43">
        <f>F37-F41-F43</f>
        <v>3260.8099999999968</v>
      </c>
      <c r="G49" s="40"/>
    </row>
    <row r="50" spans="1:7" ht="15.75" thickBot="1">
      <c r="A50" s="44"/>
      <c r="B50" s="45"/>
      <c r="C50" s="45"/>
      <c r="D50" s="45"/>
      <c r="E50" s="45"/>
      <c r="F50" s="45"/>
      <c r="G50" s="46"/>
    </row>
  </sheetData>
  <mergeCells count="2">
    <mergeCell ref="D6:F6"/>
    <mergeCell ref="D8:F8"/>
  </mergeCells>
  <pageMargins left="0.511811024" right="0.511811024" top="0.78740157499999996" bottom="0.78740157499999996" header="0.31496062000000002" footer="0.31496062000000002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Parte 1</vt:lpstr>
      <vt:lpstr>Parte 2</vt:lpstr>
      <vt:lpstr>Parte 3</vt:lpstr>
      <vt:lpstr>'Parte 1'!Area_de_impressao</vt:lpstr>
      <vt:lpstr>'Parte 2'!Area_de_impressao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2015-03-25T22:14:02Z</cp:lastPrinted>
  <dcterms:created xsi:type="dcterms:W3CDTF">2015-03-23T17:32:25Z</dcterms:created>
  <dcterms:modified xsi:type="dcterms:W3CDTF">2015-04-08T15:00:12Z</dcterms:modified>
</cp:coreProperties>
</file>