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firstSheet="2" activeTab="5"/>
  </bookViews>
  <sheets>
    <sheet name="Exemplo depreciação" sheetId="1" r:id="rId1"/>
    <sheet name="Exemplo comércio de livros" sheetId="2" r:id="rId2"/>
    <sheet name="Cia GB" sheetId="3" r:id="rId3"/>
    <sheet name="Cia Aniel" sheetId="4" r:id="rId4"/>
    <sheet name="Cia Porto Eucalipto" sheetId="5" r:id="rId5"/>
    <sheet name="Cia Roliça" sheetId="6" r:id="rId6"/>
    <sheet name="Plan2" sheetId="7" r:id="rId7"/>
    <sheet name="Plan3" sheetId="8" r:id="rId8"/>
  </sheets>
  <definedNames/>
  <calcPr fullCalcOnLoad="1"/>
</workbook>
</file>

<file path=xl/comments1.xml><?xml version="1.0" encoding="utf-8"?>
<comments xmlns="http://schemas.openxmlformats.org/spreadsheetml/2006/main">
  <authors>
    <author>Roni Cleber Bonizio</author>
  </authors>
  <commentList>
    <comment ref="E8" authorId="0">
      <text>
        <r>
          <rPr>
            <sz val="8"/>
            <rFont val="Tahoma"/>
            <family val="2"/>
          </rPr>
          <t>Antes da venda</t>
        </r>
      </text>
    </comment>
  </commentList>
</comments>
</file>

<file path=xl/sharedStrings.xml><?xml version="1.0" encoding="utf-8"?>
<sst xmlns="http://schemas.openxmlformats.org/spreadsheetml/2006/main" count="216" uniqueCount="150">
  <si>
    <t>01/01/x1 - compra equipamento a vista</t>
  </si>
  <si>
    <t>Vida útil do equipamento (anos)</t>
  </si>
  <si>
    <t>Valor residual</t>
  </si>
  <si>
    <t>Depreciação anual</t>
  </si>
  <si>
    <t>31/12/x3 - venda equipamento a vista</t>
  </si>
  <si>
    <t>31/12/x1</t>
  </si>
  <si>
    <t>31/12/x2</t>
  </si>
  <si>
    <t>31/12/x3</t>
  </si>
  <si>
    <t>ATIVO</t>
  </si>
  <si>
    <t>Imobilizado</t>
  </si>
  <si>
    <t>(-) Depreciação acumulada</t>
  </si>
  <si>
    <t>RESULTADO</t>
  </si>
  <si>
    <t>ANO X1</t>
  </si>
  <si>
    <t>ANO X2</t>
  </si>
  <si>
    <t>ANO X3</t>
  </si>
  <si>
    <t>(-) Depreciação</t>
  </si>
  <si>
    <t>(+/-) Resultado na venda do imobilizado</t>
  </si>
  <si>
    <t>TOTAL</t>
  </si>
  <si>
    <t>CAIXA</t>
  </si>
  <si>
    <t>Aquisição do equipamento</t>
  </si>
  <si>
    <t>Venda do equipamento</t>
  </si>
  <si>
    <t>ABRIL</t>
  </si>
  <si>
    <t>MAIO</t>
  </si>
  <si>
    <t>JUNHO</t>
  </si>
  <si>
    <t>Compra livros a vista</t>
  </si>
  <si>
    <t>Venda de todos livros em 5x sem entrada</t>
  </si>
  <si>
    <t>FLUXO DE CAIXA</t>
  </si>
  <si>
    <t>Entradas de caixa</t>
  </si>
  <si>
    <t>(-) Saídas de caixa</t>
  </si>
  <si>
    <t>(=) FLUXO DE CAIXA</t>
  </si>
  <si>
    <t>Saldo inicial de caixa</t>
  </si>
  <si>
    <t>Saldo final de caixa</t>
  </si>
  <si>
    <t>Receita de venda</t>
  </si>
  <si>
    <t>(-) CMV</t>
  </si>
  <si>
    <t>(=) Lucro bruto</t>
  </si>
  <si>
    <t>(=) LUCRO OPERACIONAL</t>
  </si>
  <si>
    <t>Aspecto econômico (DESEMPENHO)</t>
  </si>
  <si>
    <t>Aspecto financeiro (fôlego)</t>
  </si>
  <si>
    <t>BALANÇOS PATRIMONIAIS</t>
  </si>
  <si>
    <t>Disponibilidades</t>
  </si>
  <si>
    <t>Contas a receber</t>
  </si>
  <si>
    <t>PASSIVO + PL</t>
  </si>
  <si>
    <t>Capital social</t>
  </si>
  <si>
    <t>Resultados acumulados</t>
  </si>
  <si>
    <t>Aspecto patrimonial</t>
  </si>
  <si>
    <t>(-) PCLD</t>
  </si>
  <si>
    <t>SABÃO EM PÓ</t>
  </si>
  <si>
    <t>SABÃO LÍQUIDO</t>
  </si>
  <si>
    <t>$ unit</t>
  </si>
  <si>
    <t>$ tot</t>
  </si>
  <si>
    <t>Matéria prima</t>
  </si>
  <si>
    <t>Mão de obra direta</t>
  </si>
  <si>
    <t>Depreciação equipamentos</t>
  </si>
  <si>
    <t>Aluguel da fábrica</t>
  </si>
  <si>
    <t>Supervisão da produção</t>
  </si>
  <si>
    <t>Energia elétrica</t>
  </si>
  <si>
    <t>CUSTOS DE PRODUÇÃO DO PERÍODO</t>
  </si>
  <si>
    <t>DADOS FÍSICOS</t>
  </si>
  <si>
    <t>Produção (unidades)</t>
  </si>
  <si>
    <t>caixas</t>
  </si>
  <si>
    <t>frascos</t>
  </si>
  <si>
    <t>Kg de MP</t>
  </si>
  <si>
    <t>kg</t>
  </si>
  <si>
    <t>horas</t>
  </si>
  <si>
    <t>Seguro equipamentos da fábrica</t>
  </si>
  <si>
    <t>CUSTOS INDIRETOS</t>
  </si>
  <si>
    <t>CUSTOS DIRETOS</t>
  </si>
  <si>
    <t>Depreciação equipamento especial</t>
  </si>
  <si>
    <t>Custo do equipamento</t>
  </si>
  <si>
    <t>Capacidade de processamento (kg de MP)</t>
  </si>
  <si>
    <t>Deprec equipam ($/kg de MP processada)</t>
  </si>
  <si>
    <t>ESTOQUE DE MATÉRIA PRIMA</t>
  </si>
  <si>
    <t>Saldo incial</t>
  </si>
  <si>
    <t>(+) Compras</t>
  </si>
  <si>
    <t>(-) Saldo final</t>
  </si>
  <si>
    <t>(=) Custo da MP utilizada na produção</t>
  </si>
  <si>
    <t>CUSTO DE PRODUÇÃO DO PERÍODO</t>
  </si>
  <si>
    <t>Custos indiretos</t>
  </si>
  <si>
    <t>CUSTO DA PRODUÇÃO ACABADA NO PERÍODO</t>
  </si>
  <si>
    <t>Estoque inicial de produdos em elaboração</t>
  </si>
  <si>
    <t>(+) Custo de produção do período</t>
  </si>
  <si>
    <t>(-) Estoque final de produtos em elaboração</t>
  </si>
  <si>
    <t>ESTOQUE DE PRODUTOS ACABADOS</t>
  </si>
  <si>
    <t>Estoque inicial de produdos acabados</t>
  </si>
  <si>
    <t>(+) Custo de produção acabada no período</t>
  </si>
  <si>
    <t>(-) CPV</t>
  </si>
  <si>
    <t>(=) Estoque final de produtos acabados</t>
  </si>
  <si>
    <t>DRE</t>
  </si>
  <si>
    <t>(-) Despesas administrativas</t>
  </si>
  <si>
    <t>(-) Despesas comerciais</t>
  </si>
  <si>
    <t>(-) Despesas financeiras</t>
  </si>
  <si>
    <t>(=) Lucro antes do IR/CSSLL</t>
  </si>
  <si>
    <t>BALANCETE DE VERIFICAÇÃO EM 31/12/X1</t>
  </si>
  <si>
    <t>DÉBITOS</t>
  </si>
  <si>
    <t>CRÉDITOS</t>
  </si>
  <si>
    <t>Estoque de MP</t>
  </si>
  <si>
    <t>Equipamentos de produção</t>
  </si>
  <si>
    <t>Depreciação acumul - equipam produç</t>
  </si>
  <si>
    <t>Veículos</t>
  </si>
  <si>
    <t>Depreciação acumul - veículos</t>
  </si>
  <si>
    <t>Empréstimos a pagar</t>
  </si>
  <si>
    <t>Energia elétrica da produção</t>
  </si>
  <si>
    <t>Lubrificantes</t>
  </si>
  <si>
    <t>Manutenção preventiva máq produção</t>
  </si>
  <si>
    <t>Supervisão do almoxarifado de MP</t>
  </si>
  <si>
    <t>Depreciação equipam produção</t>
  </si>
  <si>
    <t>Seguro equipam fábrica</t>
  </si>
  <si>
    <t>Despesas comerciais e adm</t>
  </si>
  <si>
    <t>Despesas financeiras</t>
  </si>
  <si>
    <t>Venda de produtos acabados</t>
  </si>
  <si>
    <t>X</t>
  </si>
  <si>
    <t>Y</t>
  </si>
  <si>
    <t>Z</t>
  </si>
  <si>
    <t>Matéria prima consumida</t>
  </si>
  <si>
    <t>Kg de MP por unidade</t>
  </si>
  <si>
    <t>Unidades produzidas</t>
  </si>
  <si>
    <t>Unidades vendidas</t>
  </si>
  <si>
    <t>Kg de MP totais</t>
  </si>
  <si>
    <t>Horas de MOD por unidade</t>
  </si>
  <si>
    <t>Horas de MOD totais</t>
  </si>
  <si>
    <t>Horas de máquina por unidade</t>
  </si>
  <si>
    <t>Horas de máquinas totais</t>
  </si>
  <si>
    <t>Custo unitário</t>
  </si>
  <si>
    <t>CPV</t>
  </si>
  <si>
    <t>Estoque final de produtos acabados</t>
  </si>
  <si>
    <t>DRE - ANO X1</t>
  </si>
  <si>
    <t>(-) Despesas comerciais e adm</t>
  </si>
  <si>
    <t>(=) LAIR</t>
  </si>
  <si>
    <t>(-) IR/CSSLL</t>
  </si>
  <si>
    <t>(=) Lucro líquido</t>
  </si>
  <si>
    <t>BALANÇO PATRIMONIAL EM 31/12/X1</t>
  </si>
  <si>
    <t>Estoque de produtos acabados</t>
  </si>
  <si>
    <t>IR/CSSLL</t>
  </si>
  <si>
    <t>Lucro do período</t>
  </si>
  <si>
    <t>CUSTO HISTÓRICO</t>
  </si>
  <si>
    <t>CUSTO HISTÓRICO CORRIGIDO</t>
  </si>
  <si>
    <t>$ DE 20/11</t>
  </si>
  <si>
    <t>CUSTO DE REPOSIÇÃO</t>
  </si>
  <si>
    <t>(=) lucro operacional</t>
  </si>
  <si>
    <t>(+) Ganho de estocagem</t>
  </si>
  <si>
    <t>$ DE 31/12</t>
  </si>
  <si>
    <t>(-) Perda no caixa</t>
  </si>
  <si>
    <t>BALANÇO PATRIMONIAL EM 31/12</t>
  </si>
  <si>
    <t>($ de 31/12)</t>
  </si>
  <si>
    <t>PL</t>
  </si>
  <si>
    <t>Lucro disponível</t>
  </si>
  <si>
    <t>Reserva</t>
  </si>
  <si>
    <t>Comercialização</t>
  </si>
  <si>
    <t>Estocagem</t>
  </si>
  <si>
    <t>Gestão cx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</si>
</sst>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;@"/>
    <numFmt numFmtId="165" formatCode="#,##0.0"/>
    <numFmt numFmtId="166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ndara"/>
      <family val="2"/>
    </font>
    <font>
      <b/>
      <i/>
      <sz val="11"/>
      <color indexed="8"/>
      <name val="Candar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ndara"/>
      <family val="2"/>
    </font>
    <font>
      <b/>
      <i/>
      <sz val="11"/>
      <color theme="1"/>
      <name val="Candara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3" fontId="0" fillId="33" borderId="0" xfId="0" applyNumberFormat="1" applyFill="1" applyAlignment="1">
      <alignment horizontal="center" vertical="center" wrapText="1"/>
    </xf>
    <xf numFmtId="3" fontId="0" fillId="33" borderId="0" xfId="0" applyNumberFormat="1" applyFill="1" applyAlignment="1">
      <alignment horizontal="left" vertical="center" wrapText="1"/>
    </xf>
    <xf numFmtId="3" fontId="0" fillId="33" borderId="10" xfId="0" applyNumberFormat="1" applyFill="1" applyBorder="1" applyAlignment="1">
      <alignment horizontal="left" vertical="center" wrapText="1"/>
    </xf>
    <xf numFmtId="3" fontId="0" fillId="33" borderId="11" xfId="0" applyNumberFormat="1" applyFill="1" applyBorder="1" applyAlignment="1">
      <alignment horizontal="center" vertical="center" wrapText="1"/>
    </xf>
    <xf numFmtId="3" fontId="0" fillId="33" borderId="12" xfId="0" applyNumberFormat="1" applyFill="1" applyBorder="1" applyAlignment="1">
      <alignment horizontal="left" vertical="center" wrapText="1"/>
    </xf>
    <xf numFmtId="3" fontId="0" fillId="33" borderId="13" xfId="0" applyNumberFormat="1" applyFill="1" applyBorder="1" applyAlignment="1">
      <alignment horizontal="center" vertical="center" wrapText="1"/>
    </xf>
    <xf numFmtId="3" fontId="0" fillId="33" borderId="14" xfId="0" applyNumberFormat="1" applyFill="1" applyBorder="1" applyAlignment="1">
      <alignment horizontal="left" vertical="center" wrapText="1"/>
    </xf>
    <xf numFmtId="3" fontId="0" fillId="33" borderId="15" xfId="0" applyNumberFormat="1" applyFill="1" applyBorder="1" applyAlignment="1">
      <alignment horizontal="center" vertical="center" wrapText="1"/>
    </xf>
    <xf numFmtId="3" fontId="38" fillId="33" borderId="0" xfId="0" applyNumberFormat="1" applyFont="1" applyFill="1" applyAlignment="1">
      <alignment horizontal="center" vertical="center" wrapText="1"/>
    </xf>
    <xf numFmtId="3" fontId="38" fillId="33" borderId="10" xfId="0" applyNumberFormat="1" applyFont="1" applyFill="1" applyBorder="1" applyAlignment="1">
      <alignment horizontal="center" vertical="center" wrapText="1"/>
    </xf>
    <xf numFmtId="49" fontId="38" fillId="33" borderId="16" xfId="0" applyNumberFormat="1" applyFont="1" applyFill="1" applyBorder="1" applyAlignment="1">
      <alignment horizontal="center" vertical="center" wrapText="1"/>
    </xf>
    <xf numFmtId="49" fontId="38" fillId="33" borderId="11" xfId="0" applyNumberFormat="1" applyFont="1" applyFill="1" applyBorder="1" applyAlignment="1">
      <alignment horizontal="center" vertical="center" wrapText="1"/>
    </xf>
    <xf numFmtId="3" fontId="0" fillId="33" borderId="0" xfId="0" applyNumberFormat="1" applyFill="1" applyBorder="1" applyAlignment="1">
      <alignment horizontal="center" vertical="center" wrapText="1"/>
    </xf>
    <xf numFmtId="3" fontId="0" fillId="33" borderId="17" xfId="0" applyNumberFormat="1" applyFill="1" applyBorder="1" applyAlignment="1">
      <alignment horizontal="center" vertical="center" wrapText="1"/>
    </xf>
    <xf numFmtId="3" fontId="38" fillId="33" borderId="14" xfId="0" applyNumberFormat="1" applyFont="1" applyFill="1" applyBorder="1" applyAlignment="1">
      <alignment horizontal="left" vertical="center" wrapText="1"/>
    </xf>
    <xf numFmtId="3" fontId="38" fillId="33" borderId="17" xfId="0" applyNumberFormat="1" applyFont="1" applyFill="1" applyBorder="1" applyAlignment="1">
      <alignment horizontal="center" vertical="center" wrapText="1"/>
    </xf>
    <xf numFmtId="3" fontId="38" fillId="33" borderId="15" xfId="0" applyNumberFormat="1" applyFont="1" applyFill="1" applyBorder="1" applyAlignment="1">
      <alignment horizontal="center" vertical="center" wrapText="1"/>
    </xf>
    <xf numFmtId="3" fontId="0" fillId="33" borderId="16" xfId="0" applyNumberFormat="1" applyFill="1" applyBorder="1" applyAlignment="1">
      <alignment horizontal="center" vertical="center" wrapText="1"/>
    </xf>
    <xf numFmtId="3" fontId="38" fillId="33" borderId="16" xfId="0" applyNumberFormat="1" applyFont="1" applyFill="1" applyBorder="1" applyAlignment="1">
      <alignment horizontal="center" vertical="center" wrapText="1"/>
    </xf>
    <xf numFmtId="3" fontId="38" fillId="33" borderId="11" xfId="0" applyNumberFormat="1" applyFont="1" applyFill="1" applyBorder="1" applyAlignment="1">
      <alignment horizontal="center" vertical="center" wrapText="1"/>
    </xf>
    <xf numFmtId="3" fontId="39" fillId="33" borderId="14" xfId="0" applyNumberFormat="1" applyFont="1" applyFill="1" applyBorder="1" applyAlignment="1">
      <alignment horizontal="center" vertical="center" wrapText="1"/>
    </xf>
    <xf numFmtId="3" fontId="39" fillId="33" borderId="17" xfId="0" applyNumberFormat="1" applyFont="1" applyFill="1" applyBorder="1" applyAlignment="1">
      <alignment horizontal="center" vertical="center" wrapText="1"/>
    </xf>
    <xf numFmtId="3" fontId="39" fillId="33" borderId="15" xfId="0" applyNumberFormat="1" applyFon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3" fontId="39" fillId="33" borderId="12" xfId="0" applyNumberFormat="1" applyFont="1" applyFill="1" applyBorder="1" applyAlignment="1">
      <alignment horizontal="center" vertical="center" wrapText="1"/>
    </xf>
    <xf numFmtId="3" fontId="39" fillId="33" borderId="0" xfId="0" applyNumberFormat="1" applyFont="1" applyFill="1" applyBorder="1" applyAlignment="1">
      <alignment horizontal="center" vertical="center" wrapText="1"/>
    </xf>
    <xf numFmtId="3" fontId="39" fillId="33" borderId="13" xfId="0" applyNumberFormat="1" applyFont="1" applyFill="1" applyBorder="1" applyAlignment="1">
      <alignment horizontal="center" vertical="center" wrapText="1"/>
    </xf>
    <xf numFmtId="3" fontId="38" fillId="33" borderId="0" xfId="0" applyNumberFormat="1" applyFont="1" applyFill="1" applyBorder="1" applyAlignment="1">
      <alignment horizontal="center" vertical="center" wrapText="1"/>
    </xf>
    <xf numFmtId="3" fontId="38" fillId="33" borderId="12" xfId="0" applyNumberFormat="1" applyFont="1" applyFill="1" applyBorder="1" applyAlignment="1">
      <alignment horizontal="left" vertical="center" wrapText="1"/>
    </xf>
    <xf numFmtId="3" fontId="38" fillId="33" borderId="13" xfId="0" applyNumberFormat="1" applyFont="1" applyFill="1" applyBorder="1" applyAlignment="1">
      <alignment horizontal="center" vertical="center" wrapText="1"/>
    </xf>
    <xf numFmtId="164" fontId="38" fillId="33" borderId="16" xfId="0" applyNumberFormat="1" applyFont="1" applyFill="1" applyBorder="1" applyAlignment="1">
      <alignment horizontal="center" vertical="center" wrapText="1"/>
    </xf>
    <xf numFmtId="164" fontId="38" fillId="33" borderId="11" xfId="0" applyNumberFormat="1" applyFont="1" applyFill="1" applyBorder="1" applyAlignment="1">
      <alignment horizontal="center" vertical="center" wrapText="1"/>
    </xf>
    <xf numFmtId="3" fontId="39" fillId="33" borderId="12" xfId="0" applyNumberFormat="1" applyFont="1" applyFill="1" applyBorder="1" applyAlignment="1">
      <alignment horizontal="left" vertical="center" wrapText="1"/>
    </xf>
    <xf numFmtId="3" fontId="40" fillId="33" borderId="14" xfId="0" applyNumberFormat="1" applyFont="1" applyFill="1" applyBorder="1" applyAlignment="1">
      <alignment horizontal="left" vertical="center" wrapText="1"/>
    </xf>
    <xf numFmtId="3" fontId="40" fillId="33" borderId="17" xfId="0" applyNumberFormat="1" applyFont="1" applyFill="1" applyBorder="1" applyAlignment="1">
      <alignment horizontal="center" vertical="center" wrapText="1"/>
    </xf>
    <xf numFmtId="3" fontId="40" fillId="33" borderId="15" xfId="0" applyNumberFormat="1" applyFont="1" applyFill="1" applyBorder="1" applyAlignment="1">
      <alignment horizontal="center" vertical="center" wrapText="1"/>
    </xf>
    <xf numFmtId="3" fontId="39" fillId="34" borderId="12" xfId="0" applyNumberFormat="1" applyFont="1" applyFill="1" applyBorder="1" applyAlignment="1">
      <alignment horizontal="left" vertical="center" wrapText="1"/>
    </xf>
    <xf numFmtId="3" fontId="39" fillId="34" borderId="0" xfId="0" applyNumberFormat="1" applyFont="1" applyFill="1" applyBorder="1" applyAlignment="1">
      <alignment horizontal="center" vertical="center" wrapText="1"/>
    </xf>
    <xf numFmtId="3" fontId="39" fillId="34" borderId="13" xfId="0" applyNumberFormat="1" applyFont="1" applyFill="1" applyBorder="1" applyAlignment="1">
      <alignment horizontal="center" vertical="center" wrapText="1"/>
    </xf>
    <xf numFmtId="3" fontId="38" fillId="33" borderId="0" xfId="0" applyNumberFormat="1" applyFont="1" applyFill="1" applyAlignment="1">
      <alignment horizontal="center" vertical="center" wrapText="1"/>
    </xf>
    <xf numFmtId="3" fontId="38" fillId="33" borderId="10" xfId="0" applyNumberFormat="1" applyFont="1" applyFill="1" applyBorder="1" applyAlignment="1">
      <alignment horizontal="center" vertical="center" wrapText="1"/>
    </xf>
    <xf numFmtId="3" fontId="38" fillId="33" borderId="11" xfId="0" applyNumberFormat="1" applyFont="1" applyFill="1" applyBorder="1" applyAlignment="1">
      <alignment horizontal="center" vertical="center" wrapText="1"/>
    </xf>
    <xf numFmtId="3" fontId="38" fillId="33" borderId="12" xfId="0" applyNumberFormat="1" applyFont="1" applyFill="1" applyBorder="1" applyAlignment="1">
      <alignment horizontal="center" vertical="center" wrapText="1"/>
    </xf>
    <xf numFmtId="165" fontId="0" fillId="33" borderId="12" xfId="0" applyNumberFormat="1" applyFill="1" applyBorder="1" applyAlignment="1">
      <alignment horizontal="center" vertical="center" wrapText="1"/>
    </xf>
    <xf numFmtId="165" fontId="38" fillId="33" borderId="14" xfId="0" applyNumberFormat="1" applyFont="1" applyFill="1" applyBorder="1" applyAlignment="1">
      <alignment horizontal="center" vertical="center" wrapText="1"/>
    </xf>
    <xf numFmtId="3" fontId="38" fillId="33" borderId="18" xfId="0" applyNumberFormat="1" applyFont="1" applyFill="1" applyBorder="1" applyAlignment="1">
      <alignment horizontal="center" vertical="center" wrapText="1"/>
    </xf>
    <xf numFmtId="3" fontId="38" fillId="33" borderId="19" xfId="0" applyNumberFormat="1" applyFont="1" applyFill="1" applyBorder="1" applyAlignment="1">
      <alignment horizontal="center" vertical="center" wrapText="1"/>
    </xf>
    <xf numFmtId="3" fontId="38" fillId="33" borderId="20" xfId="0" applyNumberFormat="1" applyFont="1" applyFill="1" applyBorder="1" applyAlignment="1">
      <alignment horizontal="center" vertical="center" wrapText="1"/>
    </xf>
    <xf numFmtId="3" fontId="0" fillId="33" borderId="12" xfId="0" applyNumberFormat="1" applyFill="1" applyBorder="1" applyAlignment="1">
      <alignment horizontal="center" vertical="center" wrapText="1"/>
    </xf>
    <xf numFmtId="165" fontId="0" fillId="33" borderId="10" xfId="0" applyNumberFormat="1" applyFill="1" applyBorder="1" applyAlignment="1">
      <alignment horizontal="center" vertical="center" wrapText="1"/>
    </xf>
    <xf numFmtId="3" fontId="38" fillId="33" borderId="20" xfId="0" applyNumberFormat="1" applyFont="1" applyFill="1" applyBorder="1" applyAlignment="1">
      <alignment horizontal="center" vertical="center" wrapText="1"/>
    </xf>
    <xf numFmtId="3" fontId="38" fillId="33" borderId="21" xfId="0" applyNumberFormat="1" applyFont="1" applyFill="1" applyBorder="1" applyAlignment="1">
      <alignment horizontal="center" vertical="center" wrapText="1"/>
    </xf>
    <xf numFmtId="3" fontId="38" fillId="33" borderId="21" xfId="0" applyNumberFormat="1" applyFont="1" applyFill="1" applyBorder="1" applyAlignment="1">
      <alignment horizontal="center" vertical="center" wrapText="1"/>
    </xf>
    <xf numFmtId="3" fontId="38" fillId="33" borderId="22" xfId="0" applyNumberFormat="1" applyFont="1" applyFill="1" applyBorder="1" applyAlignment="1">
      <alignment horizontal="center" vertical="center" wrapText="1"/>
    </xf>
    <xf numFmtId="3" fontId="38" fillId="33" borderId="23" xfId="0" applyNumberFormat="1" applyFont="1" applyFill="1" applyBorder="1" applyAlignment="1">
      <alignment horizontal="center" vertical="center" wrapText="1"/>
    </xf>
    <xf numFmtId="3" fontId="41" fillId="32" borderId="12" xfId="0" applyNumberFormat="1" applyFont="1" applyFill="1" applyBorder="1" applyAlignment="1">
      <alignment horizontal="center" vertical="center" wrapText="1"/>
    </xf>
    <xf numFmtId="3" fontId="41" fillId="32" borderId="0" xfId="0" applyNumberFormat="1" applyFont="1" applyFill="1" applyBorder="1" applyAlignment="1">
      <alignment vertical="center" wrapText="1"/>
    </xf>
    <xf numFmtId="3" fontId="41" fillId="32" borderId="0" xfId="0" applyNumberFormat="1" applyFont="1" applyFill="1" applyBorder="1" applyAlignment="1">
      <alignment horizontal="center" vertical="center" wrapText="1"/>
    </xf>
    <xf numFmtId="3" fontId="42" fillId="32" borderId="13" xfId="0" applyNumberFormat="1" applyFont="1" applyFill="1" applyBorder="1" applyAlignment="1">
      <alignment horizontal="center" vertical="center" wrapText="1"/>
    </xf>
    <xf numFmtId="3" fontId="41" fillId="32" borderId="14" xfId="0" applyNumberFormat="1" applyFont="1" applyFill="1" applyBorder="1" applyAlignment="1">
      <alignment horizontal="center" vertical="center" wrapText="1"/>
    </xf>
    <xf numFmtId="3" fontId="41" fillId="32" borderId="17" xfId="0" applyNumberFormat="1" applyFont="1" applyFill="1" applyBorder="1" applyAlignment="1">
      <alignment horizontal="center" vertical="center" wrapText="1"/>
    </xf>
    <xf numFmtId="3" fontId="42" fillId="32" borderId="15" xfId="0" applyNumberFormat="1" applyFont="1" applyFill="1" applyBorder="1" applyAlignment="1">
      <alignment horizontal="center" vertical="center" wrapText="1"/>
    </xf>
    <xf numFmtId="165" fontId="0" fillId="33" borderId="14" xfId="0" applyNumberFormat="1" applyFill="1" applyBorder="1" applyAlignment="1">
      <alignment horizontal="center" vertical="center" wrapText="1"/>
    </xf>
    <xf numFmtId="3" fontId="38" fillId="33" borderId="19" xfId="0" applyNumberFormat="1" applyFont="1" applyFill="1" applyBorder="1" applyAlignment="1">
      <alignment horizontal="center" vertical="center" wrapText="1"/>
    </xf>
    <xf numFmtId="3" fontId="0" fillId="33" borderId="14" xfId="0" applyNumberFormat="1" applyFill="1" applyBorder="1" applyAlignment="1">
      <alignment horizontal="center" vertical="center" wrapText="1"/>
    </xf>
    <xf numFmtId="4" fontId="0" fillId="33" borderId="15" xfId="0" applyNumberFormat="1" applyFill="1" applyBorder="1" applyAlignment="1">
      <alignment horizontal="center" vertical="center" wrapText="1"/>
    </xf>
    <xf numFmtId="3" fontId="0" fillId="33" borderId="0" xfId="0" applyNumberFormat="1" applyFill="1" applyBorder="1" applyAlignment="1">
      <alignment horizontal="left" vertical="center" wrapText="1"/>
    </xf>
    <xf numFmtId="3" fontId="38" fillId="33" borderId="0" xfId="0" applyNumberFormat="1" applyFont="1" applyFill="1" applyBorder="1" applyAlignment="1">
      <alignment horizontal="left" vertical="center" wrapText="1"/>
    </xf>
    <xf numFmtId="3" fontId="38" fillId="33" borderId="10" xfId="0" applyNumberFormat="1" applyFont="1" applyFill="1" applyBorder="1" applyAlignment="1">
      <alignment horizontal="left" vertical="center" wrapText="1"/>
    </xf>
    <xf numFmtId="166" fontId="0" fillId="33" borderId="0" xfId="0" applyNumberFormat="1" applyFill="1" applyBorder="1" applyAlignment="1">
      <alignment horizontal="center" vertical="center" wrapText="1"/>
    </xf>
    <xf numFmtId="3" fontId="39" fillId="35" borderId="12" xfId="0" applyNumberFormat="1" applyFont="1" applyFill="1" applyBorder="1" applyAlignment="1">
      <alignment horizontal="center" vertical="center" wrapText="1"/>
    </xf>
    <xf numFmtId="3" fontId="39" fillId="35" borderId="0" xfId="0" applyNumberFormat="1" applyFont="1" applyFill="1" applyBorder="1" applyAlignment="1">
      <alignment horizontal="center" vertical="center" wrapText="1"/>
    </xf>
    <xf numFmtId="3" fontId="39" fillId="35" borderId="13" xfId="0" applyNumberFormat="1" applyFont="1" applyFill="1" applyBorder="1" applyAlignment="1">
      <alignment horizontal="center" vertical="center" wrapText="1"/>
    </xf>
    <xf numFmtId="4" fontId="39" fillId="35" borderId="0" xfId="0" applyNumberFormat="1" applyFont="1" applyFill="1" applyBorder="1" applyAlignment="1">
      <alignment horizontal="center" vertical="center" wrapText="1"/>
    </xf>
    <xf numFmtId="3" fontId="40" fillId="35" borderId="13" xfId="0" applyNumberFormat="1" applyFont="1" applyFill="1" applyBorder="1" applyAlignment="1">
      <alignment horizontal="center" vertical="center" wrapText="1"/>
    </xf>
    <xf numFmtId="3" fontId="39" fillId="35" borderId="14" xfId="0" applyNumberFormat="1" applyFont="1" applyFill="1" applyBorder="1" applyAlignment="1">
      <alignment horizontal="center" vertical="center" wrapText="1"/>
    </xf>
    <xf numFmtId="3" fontId="39" fillId="35" borderId="17" xfId="0" applyNumberFormat="1" applyFont="1" applyFill="1" applyBorder="1" applyAlignment="1">
      <alignment horizontal="center" vertical="center" wrapText="1"/>
    </xf>
    <xf numFmtId="3" fontId="40" fillId="35" borderId="15" xfId="0" applyNumberFormat="1" applyFont="1" applyFill="1" applyBorder="1" applyAlignment="1">
      <alignment horizontal="center" vertical="center" wrapText="1"/>
    </xf>
    <xf numFmtId="3" fontId="0" fillId="33" borderId="19" xfId="0" applyNumberFormat="1" applyFill="1" applyBorder="1" applyAlignment="1">
      <alignment horizontal="center" vertical="center" wrapText="1"/>
    </xf>
    <xf numFmtId="3" fontId="38" fillId="33" borderId="14" xfId="0" applyNumberFormat="1" applyFont="1" applyFill="1" applyBorder="1" applyAlignment="1">
      <alignment horizontal="center" vertical="center" wrapText="1"/>
    </xf>
    <xf numFmtId="3" fontId="0" fillId="33" borderId="18" xfId="0" applyNumberFormat="1" applyFill="1" applyBorder="1" applyAlignment="1">
      <alignment horizontal="center" vertical="center" wrapText="1"/>
    </xf>
    <xf numFmtId="3" fontId="0" fillId="33" borderId="12" xfId="0" applyNumberFormat="1" applyFill="1" applyBorder="1" applyAlignment="1">
      <alignment vertical="center" wrapText="1"/>
    </xf>
    <xf numFmtId="3" fontId="38" fillId="33" borderId="14" xfId="0" applyNumberFormat="1" applyFont="1" applyFill="1" applyBorder="1" applyAlignment="1">
      <alignment vertical="center" wrapText="1"/>
    </xf>
    <xf numFmtId="3" fontId="38" fillId="36" borderId="18" xfId="0" applyNumberFormat="1" applyFont="1" applyFill="1" applyBorder="1" applyAlignment="1">
      <alignment horizontal="center" vertical="center" wrapText="1"/>
    </xf>
    <xf numFmtId="3" fontId="38" fillId="36" borderId="19" xfId="0" applyNumberFormat="1" applyFont="1" applyFill="1" applyBorder="1" applyAlignment="1">
      <alignment horizontal="center" vertical="center" wrapText="1"/>
    </xf>
    <xf numFmtId="3" fontId="38" fillId="36" borderId="20" xfId="0" applyNumberFormat="1" applyFont="1" applyFill="1" applyBorder="1" applyAlignment="1">
      <alignment horizontal="center" vertical="center" wrapText="1"/>
    </xf>
    <xf numFmtId="3" fontId="38" fillId="33" borderId="0" xfId="0" applyNumberFormat="1" applyFont="1" applyFill="1" applyAlignment="1">
      <alignment horizontal="center" vertical="center" wrapText="1"/>
    </xf>
    <xf numFmtId="3" fontId="38" fillId="33" borderId="10" xfId="0" applyNumberFormat="1" applyFont="1" applyFill="1" applyBorder="1" applyAlignment="1">
      <alignment horizontal="center" vertical="center" wrapText="1"/>
    </xf>
    <xf numFmtId="3" fontId="38" fillId="33" borderId="11" xfId="0" applyNumberFormat="1" applyFont="1" applyFill="1" applyBorder="1" applyAlignment="1">
      <alignment horizontal="center" vertical="center" wrapText="1"/>
    </xf>
    <xf numFmtId="3" fontId="38" fillId="33" borderId="18" xfId="0" applyNumberFormat="1" applyFont="1" applyFill="1" applyBorder="1" applyAlignment="1">
      <alignment horizontal="center" vertical="center" wrapText="1"/>
    </xf>
    <xf numFmtId="3" fontId="38" fillId="33" borderId="20" xfId="0" applyNumberFormat="1" applyFont="1" applyFill="1" applyBorder="1" applyAlignment="1">
      <alignment horizontal="center" vertical="center" wrapText="1"/>
    </xf>
    <xf numFmtId="3" fontId="38" fillId="33" borderId="21" xfId="0" applyNumberFormat="1" applyFont="1" applyFill="1" applyBorder="1" applyAlignment="1">
      <alignment horizontal="center" vertical="center" wrapText="1"/>
    </xf>
    <xf numFmtId="3" fontId="38" fillId="33" borderId="22" xfId="0" applyNumberFormat="1" applyFont="1" applyFill="1" applyBorder="1" applyAlignment="1">
      <alignment horizontal="center" vertical="center" wrapText="1"/>
    </xf>
    <xf numFmtId="3" fontId="38" fillId="33" borderId="19" xfId="0" applyNumberFormat="1" applyFont="1" applyFill="1" applyBorder="1" applyAlignment="1">
      <alignment horizontal="center" vertical="center" wrapText="1"/>
    </xf>
    <xf numFmtId="3" fontId="38" fillId="33" borderId="14" xfId="0" applyNumberFormat="1" applyFont="1" applyFill="1" applyBorder="1" applyAlignment="1">
      <alignment horizontal="center" vertical="center" wrapText="1"/>
    </xf>
    <xf numFmtId="3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0"/>
  <sheetViews>
    <sheetView zoomScale="130" zoomScaleNormal="130" zoomScalePageLayoutView="0" workbookViewId="0" topLeftCell="A2">
      <selection activeCell="G7" sqref="G7"/>
    </sheetView>
  </sheetViews>
  <sheetFormatPr defaultColWidth="9.140625" defaultRowHeight="15"/>
  <cols>
    <col min="1" max="1" width="3.28125" style="1" customWidth="1"/>
    <col min="2" max="2" width="38.28125" style="1" customWidth="1"/>
    <col min="3" max="16384" width="9.140625" style="1" customWidth="1"/>
  </cols>
  <sheetData>
    <row r="1" ht="15"/>
    <row r="2" spans="2:3" ht="30">
      <c r="B2" s="3" t="s">
        <v>0</v>
      </c>
      <c r="C2" s="4">
        <v>130000</v>
      </c>
    </row>
    <row r="3" spans="2:3" ht="15">
      <c r="B3" s="5" t="s">
        <v>1</v>
      </c>
      <c r="C3" s="6">
        <v>10</v>
      </c>
    </row>
    <row r="4" spans="2:3" ht="15">
      <c r="B4" s="5" t="s">
        <v>2</v>
      </c>
      <c r="C4" s="6">
        <v>40000</v>
      </c>
    </row>
    <row r="5" spans="2:3" ht="15">
      <c r="B5" s="5" t="s">
        <v>3</v>
      </c>
      <c r="C5" s="6">
        <f>+(C2-C4)/C3</f>
        <v>9000</v>
      </c>
    </row>
    <row r="6" spans="2:3" ht="30">
      <c r="B6" s="7" t="s">
        <v>4</v>
      </c>
      <c r="C6" s="8">
        <v>107500</v>
      </c>
    </row>
    <row r="7" ht="15">
      <c r="B7" s="2"/>
    </row>
    <row r="8" spans="2:5" ht="30">
      <c r="B8" s="10" t="s">
        <v>8</v>
      </c>
      <c r="C8" s="11" t="s">
        <v>5</v>
      </c>
      <c r="D8" s="11" t="s">
        <v>6</v>
      </c>
      <c r="E8" s="12" t="s">
        <v>7</v>
      </c>
    </row>
    <row r="9" spans="2:5" ht="15">
      <c r="B9" s="5" t="s">
        <v>9</v>
      </c>
      <c r="C9" s="13">
        <f>+C2</f>
        <v>130000</v>
      </c>
      <c r="D9" s="13">
        <f>+C9</f>
        <v>130000</v>
      </c>
      <c r="E9" s="6">
        <f>+D9</f>
        <v>130000</v>
      </c>
    </row>
    <row r="10" spans="2:5" ht="15">
      <c r="B10" s="7" t="s">
        <v>10</v>
      </c>
      <c r="C10" s="14">
        <f>-C5</f>
        <v>-9000</v>
      </c>
      <c r="D10" s="14">
        <f>+C10-$C$5</f>
        <v>-18000</v>
      </c>
      <c r="E10" s="8">
        <f>+D10-$C$5</f>
        <v>-27000</v>
      </c>
    </row>
    <row r="11" ht="15">
      <c r="B11" s="2"/>
    </row>
    <row r="12" spans="2:5" ht="15">
      <c r="B12" s="10" t="s">
        <v>11</v>
      </c>
      <c r="C12" s="11" t="s">
        <v>12</v>
      </c>
      <c r="D12" s="11" t="s">
        <v>13</v>
      </c>
      <c r="E12" s="12" t="s">
        <v>14</v>
      </c>
    </row>
    <row r="13" spans="2:5" ht="15">
      <c r="B13" s="5" t="s">
        <v>15</v>
      </c>
      <c r="C13" s="13">
        <f>-C5</f>
        <v>-9000</v>
      </c>
      <c r="D13" s="13">
        <f>+C13</f>
        <v>-9000</v>
      </c>
      <c r="E13" s="6">
        <f>+D13</f>
        <v>-9000</v>
      </c>
    </row>
    <row r="14" spans="2:5" ht="15">
      <c r="B14" s="5" t="s">
        <v>16</v>
      </c>
      <c r="C14" s="13">
        <v>0</v>
      </c>
      <c r="D14" s="13">
        <v>0</v>
      </c>
      <c r="E14" s="6">
        <f>+C6-SUM(E9:E10)</f>
        <v>4500</v>
      </c>
    </row>
    <row r="15" spans="2:6" ht="15">
      <c r="B15" s="15" t="s">
        <v>17</v>
      </c>
      <c r="C15" s="16">
        <f>SUM(C13:C14)</f>
        <v>-9000</v>
      </c>
      <c r="D15" s="16">
        <f>SUM(D13:D14)</f>
        <v>-9000</v>
      </c>
      <c r="E15" s="17">
        <f>SUM(E13:E14)</f>
        <v>-4500</v>
      </c>
      <c r="F15" s="9">
        <f>SUM(C15:E15)</f>
        <v>-22500</v>
      </c>
    </row>
    <row r="17" spans="2:5" ht="15">
      <c r="B17" s="10" t="s">
        <v>18</v>
      </c>
      <c r="C17" s="11" t="s">
        <v>12</v>
      </c>
      <c r="D17" s="11" t="s">
        <v>13</v>
      </c>
      <c r="E17" s="12" t="s">
        <v>14</v>
      </c>
    </row>
    <row r="18" spans="2:5" ht="15">
      <c r="B18" s="5" t="s">
        <v>19</v>
      </c>
      <c r="C18" s="13">
        <f>-C2</f>
        <v>-130000</v>
      </c>
      <c r="D18" s="13">
        <v>0</v>
      </c>
      <c r="E18" s="6">
        <v>0</v>
      </c>
    </row>
    <row r="19" spans="2:5" ht="15">
      <c r="B19" s="5" t="s">
        <v>20</v>
      </c>
      <c r="C19" s="13">
        <v>0</v>
      </c>
      <c r="D19" s="13">
        <v>0</v>
      </c>
      <c r="E19" s="6">
        <f>+C6</f>
        <v>107500</v>
      </c>
    </row>
    <row r="20" spans="2:6" ht="15">
      <c r="B20" s="15" t="s">
        <v>17</v>
      </c>
      <c r="C20" s="16">
        <f>SUM(C18:C19)</f>
        <v>-130000</v>
      </c>
      <c r="D20" s="16">
        <f>SUM(D18:D19)</f>
        <v>0</v>
      </c>
      <c r="E20" s="17">
        <f>SUM(E18:E19)</f>
        <v>107500</v>
      </c>
      <c r="F20" s="9">
        <f>SUM(C20:E20)</f>
        <v>-22500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="130" zoomScaleNormal="130" zoomScalePageLayoutView="0" workbookViewId="0" topLeftCell="A5">
      <selection activeCell="D19" sqref="D19"/>
    </sheetView>
  </sheetViews>
  <sheetFormatPr defaultColWidth="9.140625" defaultRowHeight="15"/>
  <cols>
    <col min="1" max="1" width="3.28125" style="1" customWidth="1"/>
    <col min="2" max="2" width="38.28125" style="1" customWidth="1"/>
    <col min="3" max="5" width="9.140625" style="1" customWidth="1"/>
    <col min="6" max="6" width="17.57421875" style="1" customWidth="1"/>
    <col min="7" max="16384" width="9.140625" style="1" customWidth="1"/>
  </cols>
  <sheetData>
    <row r="2" spans="3:5" ht="15">
      <c r="C2" s="9" t="s">
        <v>21</v>
      </c>
      <c r="D2" s="9" t="s">
        <v>22</v>
      </c>
      <c r="E2" s="9" t="s">
        <v>23</v>
      </c>
    </row>
    <row r="3" spans="2:5" ht="15">
      <c r="B3" s="3" t="s">
        <v>24</v>
      </c>
      <c r="C3" s="18">
        <v>1000</v>
      </c>
      <c r="D3" s="18">
        <v>2000</v>
      </c>
      <c r="E3" s="4">
        <v>4000</v>
      </c>
    </row>
    <row r="4" spans="2:5" ht="15">
      <c r="B4" s="7" t="s">
        <v>25</v>
      </c>
      <c r="C4" s="14">
        <v>1800</v>
      </c>
      <c r="D4" s="14">
        <v>3600</v>
      </c>
      <c r="E4" s="8">
        <v>7200</v>
      </c>
    </row>
    <row r="5" ht="15">
      <c r="B5" s="2"/>
    </row>
    <row r="6" spans="2:6" ht="15" customHeight="1">
      <c r="B6" s="10" t="s">
        <v>26</v>
      </c>
      <c r="C6" s="19" t="str">
        <f>+C2</f>
        <v>ABRIL</v>
      </c>
      <c r="D6" s="19" t="str">
        <f>+D2</f>
        <v>MAIO</v>
      </c>
      <c r="E6" s="20" t="str">
        <f>+E2</f>
        <v>JUNHO</v>
      </c>
      <c r="F6" s="84" t="s">
        <v>37</v>
      </c>
    </row>
    <row r="7" spans="2:6" ht="15">
      <c r="B7" s="5" t="s">
        <v>27</v>
      </c>
      <c r="C7" s="13">
        <v>0</v>
      </c>
      <c r="D7" s="13">
        <f>+C4/5</f>
        <v>360</v>
      </c>
      <c r="E7" s="6">
        <f>+C4/5+D4/5</f>
        <v>1080</v>
      </c>
      <c r="F7" s="85"/>
    </row>
    <row r="8" spans="2:6" ht="15">
      <c r="B8" s="5" t="s">
        <v>28</v>
      </c>
      <c r="C8" s="13">
        <f>-C3</f>
        <v>-1000</v>
      </c>
      <c r="D8" s="13">
        <f>-D3</f>
        <v>-2000</v>
      </c>
      <c r="E8" s="6">
        <f>-E3</f>
        <v>-4000</v>
      </c>
      <c r="F8" s="85"/>
    </row>
    <row r="9" spans="2:6" ht="15">
      <c r="B9" s="15" t="s">
        <v>29</v>
      </c>
      <c r="C9" s="16">
        <f>+SUM(C7:C8)</f>
        <v>-1000</v>
      </c>
      <c r="D9" s="16">
        <f>+SUM(D7:D8)</f>
        <v>-1640</v>
      </c>
      <c r="E9" s="17">
        <f>+SUM(E7:E8)</f>
        <v>-2920</v>
      </c>
      <c r="F9" s="86"/>
    </row>
    <row r="11" spans="2:5" ht="15">
      <c r="B11" s="24"/>
      <c r="C11" s="19" t="str">
        <f>+C6</f>
        <v>ABRIL</v>
      </c>
      <c r="D11" s="19" t="str">
        <f>+D6</f>
        <v>MAIO</v>
      </c>
      <c r="E11" s="20" t="str">
        <f>+E6</f>
        <v>JUNHO</v>
      </c>
    </row>
    <row r="12" spans="2:5" ht="15">
      <c r="B12" s="25" t="s">
        <v>30</v>
      </c>
      <c r="C12" s="26">
        <v>10000</v>
      </c>
      <c r="D12" s="26">
        <f>+C13</f>
        <v>9000</v>
      </c>
      <c r="E12" s="27">
        <f>+D13</f>
        <v>7360</v>
      </c>
    </row>
    <row r="13" spans="2:5" ht="15">
      <c r="B13" s="21" t="s">
        <v>31</v>
      </c>
      <c r="C13" s="22">
        <f>+C12+C9</f>
        <v>9000</v>
      </c>
      <c r="D13" s="22">
        <f>+D12+D9</f>
        <v>7360</v>
      </c>
      <c r="E13" s="23">
        <f>+E12+E9</f>
        <v>4440</v>
      </c>
    </row>
    <row r="15" spans="2:6" ht="15">
      <c r="B15" s="10" t="s">
        <v>11</v>
      </c>
      <c r="C15" s="19" t="str">
        <f>+C11</f>
        <v>ABRIL</v>
      </c>
      <c r="D15" s="19" t="str">
        <f>+D11</f>
        <v>MAIO</v>
      </c>
      <c r="E15" s="20" t="str">
        <f>+E11</f>
        <v>JUNHO</v>
      </c>
      <c r="F15" s="84" t="s">
        <v>36</v>
      </c>
    </row>
    <row r="16" spans="2:6" ht="15">
      <c r="B16" s="5" t="s">
        <v>32</v>
      </c>
      <c r="C16" s="13">
        <f>+C4</f>
        <v>1800</v>
      </c>
      <c r="D16" s="13">
        <f>+D4</f>
        <v>3600</v>
      </c>
      <c r="E16" s="6">
        <f>+E4</f>
        <v>7200</v>
      </c>
      <c r="F16" s="85"/>
    </row>
    <row r="17" spans="2:6" ht="15">
      <c r="B17" s="5" t="s">
        <v>33</v>
      </c>
      <c r="C17" s="13">
        <f>-C3</f>
        <v>-1000</v>
      </c>
      <c r="D17" s="13">
        <f>-D3</f>
        <v>-2000</v>
      </c>
      <c r="E17" s="6">
        <f>-E3</f>
        <v>-4000</v>
      </c>
      <c r="F17" s="85"/>
    </row>
    <row r="18" spans="2:6" ht="15">
      <c r="B18" s="29" t="s">
        <v>34</v>
      </c>
      <c r="C18" s="28">
        <f>+SUM(C16:C17)</f>
        <v>800</v>
      </c>
      <c r="D18" s="28">
        <f>+SUM(D16:D17)</f>
        <v>1600</v>
      </c>
      <c r="E18" s="30">
        <f>+SUM(E16:E17)</f>
        <v>3200</v>
      </c>
      <c r="F18" s="85"/>
    </row>
    <row r="19" spans="2:6" ht="15">
      <c r="B19" s="37" t="s">
        <v>45</v>
      </c>
      <c r="C19" s="38">
        <f>+C26</f>
        <v>-180</v>
      </c>
      <c r="D19" s="38">
        <f>+D26-C26</f>
        <v>-324</v>
      </c>
      <c r="E19" s="39">
        <f>+E26-D26</f>
        <v>-612</v>
      </c>
      <c r="F19" s="85"/>
    </row>
    <row r="20" spans="2:6" ht="15">
      <c r="B20" s="15" t="s">
        <v>35</v>
      </c>
      <c r="C20" s="16">
        <f>+SUM(C18:C19)</f>
        <v>620</v>
      </c>
      <c r="D20" s="16">
        <f>+SUM(D18:D19)</f>
        <v>1276</v>
      </c>
      <c r="E20" s="17">
        <f>+SUM(E18:E19)</f>
        <v>2588</v>
      </c>
      <c r="F20" s="86"/>
    </row>
    <row r="22" spans="2:5" ht="15">
      <c r="B22" s="87" t="s">
        <v>38</v>
      </c>
      <c r="C22" s="87"/>
      <c r="D22" s="87"/>
      <c r="E22" s="87"/>
    </row>
    <row r="23" spans="2:6" ht="15" customHeight="1">
      <c r="B23" s="10" t="s">
        <v>8</v>
      </c>
      <c r="C23" s="31">
        <v>42124</v>
      </c>
      <c r="D23" s="31">
        <v>42155</v>
      </c>
      <c r="E23" s="32">
        <v>42185</v>
      </c>
      <c r="F23" s="84" t="s">
        <v>44</v>
      </c>
    </row>
    <row r="24" spans="2:6" ht="15">
      <c r="B24" s="33" t="s">
        <v>39</v>
      </c>
      <c r="C24" s="26">
        <f>+C13</f>
        <v>9000</v>
      </c>
      <c r="D24" s="26">
        <f>+D13</f>
        <v>7360</v>
      </c>
      <c r="E24" s="27">
        <f>+E13</f>
        <v>4440</v>
      </c>
      <c r="F24" s="85"/>
    </row>
    <row r="25" spans="2:6" ht="15">
      <c r="B25" s="33" t="s">
        <v>40</v>
      </c>
      <c r="C25" s="26">
        <f>+C16</f>
        <v>1800</v>
      </c>
      <c r="D25" s="26">
        <f>+C25+D16-D7</f>
        <v>5040</v>
      </c>
      <c r="E25" s="27">
        <f>+D25+E16-E7</f>
        <v>11160</v>
      </c>
      <c r="F25" s="85"/>
    </row>
    <row r="26" spans="2:6" ht="15">
      <c r="B26" s="37" t="s">
        <v>45</v>
      </c>
      <c r="C26" s="38">
        <f>-C25*10%</f>
        <v>-180</v>
      </c>
      <c r="D26" s="38">
        <f>-D25*10%</f>
        <v>-504</v>
      </c>
      <c r="E26" s="39">
        <f>-E25*10%</f>
        <v>-1116</v>
      </c>
      <c r="F26" s="85"/>
    </row>
    <row r="27" spans="2:6" ht="15">
      <c r="B27" s="34" t="s">
        <v>17</v>
      </c>
      <c r="C27" s="35">
        <f>SUM(C24:C26)</f>
        <v>10620</v>
      </c>
      <c r="D27" s="35">
        <f>SUM(D24:D26)</f>
        <v>11896</v>
      </c>
      <c r="E27" s="36">
        <f>SUM(E24:E26)</f>
        <v>14484</v>
      </c>
      <c r="F27" s="85"/>
    </row>
    <row r="28" spans="2:6" ht="15">
      <c r="B28" s="10" t="s">
        <v>41</v>
      </c>
      <c r="C28" s="31">
        <v>42124</v>
      </c>
      <c r="D28" s="31">
        <v>42155</v>
      </c>
      <c r="E28" s="32">
        <v>42185</v>
      </c>
      <c r="F28" s="85"/>
    </row>
    <row r="29" spans="2:6" ht="15">
      <c r="B29" s="33" t="s">
        <v>42</v>
      </c>
      <c r="C29" s="26">
        <v>10000</v>
      </c>
      <c r="D29" s="26">
        <f>+C29</f>
        <v>10000</v>
      </c>
      <c r="E29" s="27">
        <f>+D29</f>
        <v>10000</v>
      </c>
      <c r="F29" s="85"/>
    </row>
    <row r="30" spans="2:6" ht="15">
      <c r="B30" s="33" t="s">
        <v>43</v>
      </c>
      <c r="C30" s="26">
        <f>+C20</f>
        <v>620</v>
      </c>
      <c r="D30" s="26">
        <f>+C30+D20</f>
        <v>1896</v>
      </c>
      <c r="E30" s="27">
        <f>+D30+E20</f>
        <v>4484</v>
      </c>
      <c r="F30" s="85"/>
    </row>
    <row r="31" spans="2:6" ht="15">
      <c r="B31" s="34" t="s">
        <v>17</v>
      </c>
      <c r="C31" s="35">
        <f>SUM(C29:C30)</f>
        <v>10620</v>
      </c>
      <c r="D31" s="35">
        <f>SUM(D29:D30)</f>
        <v>11896</v>
      </c>
      <c r="E31" s="36">
        <f>SUM(E29:E30)</f>
        <v>14484</v>
      </c>
      <c r="F31" s="86"/>
    </row>
  </sheetData>
  <sheetProtection/>
  <mergeCells count="4">
    <mergeCell ref="F15:F20"/>
    <mergeCell ref="F6:F9"/>
    <mergeCell ref="B22:E22"/>
    <mergeCell ref="F23:F3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41"/>
  <sheetViews>
    <sheetView zoomScale="130" zoomScaleNormal="130" zoomScalePageLayoutView="0" workbookViewId="0" topLeftCell="A1">
      <selection activeCell="B36" sqref="B36:C41"/>
    </sheetView>
  </sheetViews>
  <sheetFormatPr defaultColWidth="9.140625" defaultRowHeight="15"/>
  <cols>
    <col min="1" max="1" width="3.28125" style="1" customWidth="1"/>
    <col min="2" max="2" width="42.28125" style="1" customWidth="1"/>
    <col min="3" max="7" width="9.140625" style="1" customWidth="1"/>
    <col min="8" max="8" width="12.140625" style="1" customWidth="1"/>
    <col min="9" max="16384" width="9.140625" style="1" customWidth="1"/>
  </cols>
  <sheetData>
    <row r="2" spans="2:3" ht="15">
      <c r="B2" s="88" t="s">
        <v>71</v>
      </c>
      <c r="C2" s="89"/>
    </row>
    <row r="3" spans="2:3" ht="15">
      <c r="B3" s="5" t="s">
        <v>72</v>
      </c>
      <c r="C3" s="6">
        <v>5000</v>
      </c>
    </row>
    <row r="4" spans="2:3" ht="15">
      <c r="B4" s="5" t="s">
        <v>73</v>
      </c>
      <c r="C4" s="6">
        <v>12000</v>
      </c>
    </row>
    <row r="5" spans="2:3" ht="15">
      <c r="B5" s="5" t="s">
        <v>74</v>
      </c>
      <c r="C5" s="6">
        <v>-7000</v>
      </c>
    </row>
    <row r="6" spans="2:3" ht="15">
      <c r="B6" s="15" t="s">
        <v>75</v>
      </c>
      <c r="C6" s="17">
        <f>SUM(C3:C5)</f>
        <v>10000</v>
      </c>
    </row>
    <row r="8" spans="2:3" ht="15">
      <c r="B8" s="88" t="s">
        <v>76</v>
      </c>
      <c r="C8" s="89"/>
    </row>
    <row r="9" spans="2:3" ht="15">
      <c r="B9" s="5" t="s">
        <v>50</v>
      </c>
      <c r="C9" s="6">
        <f>+C6</f>
        <v>10000</v>
      </c>
    </row>
    <row r="10" spans="2:3" ht="15">
      <c r="B10" s="5" t="s">
        <v>51</v>
      </c>
      <c r="C10" s="6">
        <v>10000</v>
      </c>
    </row>
    <row r="11" spans="2:3" ht="15">
      <c r="B11" s="5" t="s">
        <v>77</v>
      </c>
      <c r="C11" s="6">
        <v>8000</v>
      </c>
    </row>
    <row r="12" spans="2:3" ht="15">
      <c r="B12" s="15" t="s">
        <v>17</v>
      </c>
      <c r="C12" s="17">
        <f>SUM(C9:C11)</f>
        <v>28000</v>
      </c>
    </row>
    <row r="13" ht="15">
      <c r="B13" s="2"/>
    </row>
    <row r="14" spans="2:3" ht="15">
      <c r="B14" s="88" t="s">
        <v>78</v>
      </c>
      <c r="C14" s="89"/>
    </row>
    <row r="15" spans="2:3" ht="15">
      <c r="B15" s="5" t="s">
        <v>79</v>
      </c>
      <c r="C15" s="6">
        <v>4000</v>
      </c>
    </row>
    <row r="16" spans="2:3" ht="15">
      <c r="B16" s="5" t="s">
        <v>80</v>
      </c>
      <c r="C16" s="6">
        <f>+C12</f>
        <v>28000</v>
      </c>
    </row>
    <row r="17" spans="2:3" ht="15">
      <c r="B17" s="5" t="s">
        <v>81</v>
      </c>
      <c r="C17" s="6">
        <v>-5000</v>
      </c>
    </row>
    <row r="18" spans="2:3" ht="15">
      <c r="B18" s="15" t="s">
        <v>17</v>
      </c>
      <c r="C18" s="17">
        <f>SUM(C15:C17)</f>
        <v>27000</v>
      </c>
    </row>
    <row r="20" spans="2:3" ht="15">
      <c r="B20" s="88" t="s">
        <v>82</v>
      </c>
      <c r="C20" s="89"/>
    </row>
    <row r="21" spans="2:3" ht="15">
      <c r="B21" s="5" t="s">
        <v>83</v>
      </c>
      <c r="C21" s="6">
        <v>6000</v>
      </c>
    </row>
    <row r="22" spans="2:3" ht="15">
      <c r="B22" s="5" t="s">
        <v>84</v>
      </c>
      <c r="C22" s="6">
        <f>+C18</f>
        <v>27000</v>
      </c>
    </row>
    <row r="23" spans="2:3" ht="15">
      <c r="B23" s="5" t="s">
        <v>85</v>
      </c>
      <c r="C23" s="6">
        <f>-SUM(C21:C22)*80%</f>
        <v>-26400</v>
      </c>
    </row>
    <row r="24" spans="2:3" ht="15">
      <c r="B24" s="7" t="s">
        <v>86</v>
      </c>
      <c r="C24" s="8">
        <f>SUM(C21:C23)</f>
        <v>6600</v>
      </c>
    </row>
    <row r="26" spans="2:3" ht="15">
      <c r="B26" s="88" t="s">
        <v>87</v>
      </c>
      <c r="C26" s="89"/>
    </row>
    <row r="27" spans="2:3" ht="15">
      <c r="B27" s="5" t="s">
        <v>32</v>
      </c>
      <c r="C27" s="6">
        <v>40000</v>
      </c>
    </row>
    <row r="28" spans="2:3" ht="15">
      <c r="B28" s="5" t="s">
        <v>85</v>
      </c>
      <c r="C28" s="6">
        <f>+C23</f>
        <v>-26400</v>
      </c>
    </row>
    <row r="29" spans="2:3" ht="15">
      <c r="B29" s="29" t="s">
        <v>34</v>
      </c>
      <c r="C29" s="30">
        <f>SUM(C27:C28)</f>
        <v>13600</v>
      </c>
    </row>
    <row r="30" spans="2:3" ht="15">
      <c r="B30" s="5" t="s">
        <v>89</v>
      </c>
      <c r="C30" s="6">
        <v>-2500</v>
      </c>
    </row>
    <row r="31" spans="2:3" ht="15">
      <c r="B31" s="5" t="s">
        <v>88</v>
      </c>
      <c r="C31" s="6">
        <v>-2000</v>
      </c>
    </row>
    <row r="32" spans="2:3" ht="15">
      <c r="B32" s="5" t="s">
        <v>90</v>
      </c>
      <c r="C32" s="6">
        <v>-1500</v>
      </c>
    </row>
    <row r="33" spans="2:3" ht="15">
      <c r="B33" s="15" t="s">
        <v>91</v>
      </c>
      <c r="C33" s="17">
        <f>SUM(C29:C32)</f>
        <v>7600</v>
      </c>
    </row>
    <row r="35" spans="2:3" ht="15">
      <c r="B35" s="68"/>
      <c r="C35" s="28"/>
    </row>
    <row r="36" spans="2:3" ht="15">
      <c r="B36" s="67" t="s">
        <v>32</v>
      </c>
      <c r="C36" s="13">
        <v>40000</v>
      </c>
    </row>
    <row r="37" spans="2:3" ht="15">
      <c r="B37" s="67" t="s">
        <v>90</v>
      </c>
      <c r="C37" s="13">
        <v>-1500</v>
      </c>
    </row>
    <row r="38" spans="2:3" ht="15">
      <c r="B38" s="67" t="s">
        <v>88</v>
      </c>
      <c r="C38" s="13">
        <v>-2000</v>
      </c>
    </row>
    <row r="39" spans="2:3" ht="15">
      <c r="B39" s="67" t="s">
        <v>89</v>
      </c>
      <c r="C39" s="13">
        <v>-2500</v>
      </c>
    </row>
    <row r="40" spans="2:3" ht="15">
      <c r="B40" s="67" t="s">
        <v>85</v>
      </c>
      <c r="C40" s="13">
        <v>-26400</v>
      </c>
    </row>
    <row r="41" spans="2:3" ht="15">
      <c r="B41" s="68" t="s">
        <v>91</v>
      </c>
      <c r="C41" s="28">
        <f>SUM(C36:C40)</f>
        <v>7600</v>
      </c>
    </row>
  </sheetData>
  <sheetProtection/>
  <mergeCells count="5">
    <mergeCell ref="B20:C20"/>
    <mergeCell ref="B26:C26"/>
    <mergeCell ref="B2:C2"/>
    <mergeCell ref="B8:C8"/>
    <mergeCell ref="B14:C1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1"/>
  <sheetViews>
    <sheetView zoomScale="130" zoomScaleNormal="130" zoomScalePageLayoutView="0" workbookViewId="0" topLeftCell="A1">
      <selection activeCell="A14" sqref="A14:IV14"/>
    </sheetView>
  </sheetViews>
  <sheetFormatPr defaultColWidth="9.140625" defaultRowHeight="15"/>
  <cols>
    <col min="1" max="1" width="3.28125" style="1" customWidth="1"/>
    <col min="2" max="2" width="42.28125" style="1" customWidth="1"/>
    <col min="3" max="7" width="9.140625" style="1" customWidth="1"/>
    <col min="8" max="8" width="12.140625" style="1" customWidth="1"/>
    <col min="9" max="16384" width="9.140625" style="1" customWidth="1"/>
  </cols>
  <sheetData>
    <row r="2" spans="2:7" ht="15">
      <c r="B2" s="90" t="s">
        <v>56</v>
      </c>
      <c r="C2" s="88" t="s">
        <v>46</v>
      </c>
      <c r="D2" s="89"/>
      <c r="E2" s="88" t="s">
        <v>47</v>
      </c>
      <c r="F2" s="89"/>
      <c r="G2" s="46" t="s">
        <v>17</v>
      </c>
    </row>
    <row r="3" spans="2:7" ht="15">
      <c r="B3" s="91"/>
      <c r="C3" s="43" t="s">
        <v>48</v>
      </c>
      <c r="D3" s="30" t="s">
        <v>49</v>
      </c>
      <c r="E3" s="43" t="s">
        <v>48</v>
      </c>
      <c r="F3" s="30" t="s">
        <v>49</v>
      </c>
      <c r="G3" s="47" t="s">
        <v>49</v>
      </c>
    </row>
    <row r="4" spans="2:8" ht="15">
      <c r="B4" s="3" t="s">
        <v>50</v>
      </c>
      <c r="C4" s="50">
        <f>+D4/C$15</f>
        <v>1.2</v>
      </c>
      <c r="D4" s="4">
        <f>+C16*2</f>
        <v>24000</v>
      </c>
      <c r="E4" s="50">
        <f>+F4/E$15</f>
        <v>1</v>
      </c>
      <c r="F4" s="4">
        <f>+E16*2</f>
        <v>16000</v>
      </c>
      <c r="G4" s="46">
        <f>D4+F4</f>
        <v>40000</v>
      </c>
      <c r="H4" s="90" t="s">
        <v>66</v>
      </c>
    </row>
    <row r="5" spans="2:8" ht="15">
      <c r="B5" s="5" t="s">
        <v>51</v>
      </c>
      <c r="C5" s="44">
        <f>+D5/$C$15</f>
        <v>1.5</v>
      </c>
      <c r="D5" s="6">
        <f>+C$17*5</f>
        <v>30000</v>
      </c>
      <c r="E5" s="44">
        <f>+F5/$E$15</f>
        <v>0.9375</v>
      </c>
      <c r="F5" s="6">
        <f>+E$17*5</f>
        <v>15000</v>
      </c>
      <c r="G5" s="47">
        <f aca="true" t="shared" si="0" ref="G5:G12">D5+F5</f>
        <v>45000</v>
      </c>
      <c r="H5" s="94"/>
    </row>
    <row r="6" spans="2:8" ht="15">
      <c r="B6" s="5" t="s">
        <v>67</v>
      </c>
      <c r="C6" s="44">
        <f>+D6/$C$15</f>
        <v>0.48</v>
      </c>
      <c r="D6" s="6">
        <f>+C16*$C$21</f>
        <v>9600</v>
      </c>
      <c r="E6" s="44">
        <f>+F6/$E$15</f>
        <v>0.4</v>
      </c>
      <c r="F6" s="6">
        <f>+E16*$C$21</f>
        <v>6400</v>
      </c>
      <c r="G6" s="47">
        <f t="shared" si="0"/>
        <v>16000</v>
      </c>
      <c r="H6" s="91"/>
    </row>
    <row r="7" spans="2:8" ht="15">
      <c r="B7" s="3" t="s">
        <v>54</v>
      </c>
      <c r="C7" s="50">
        <f>+D7/C$15</f>
        <v>0.12</v>
      </c>
      <c r="D7" s="4">
        <f>3600/$G$17*C$17</f>
        <v>2400</v>
      </c>
      <c r="E7" s="50">
        <f>+F7/E$15</f>
        <v>0.075</v>
      </c>
      <c r="F7" s="4">
        <f>3600/$G$17*E$17</f>
        <v>1200</v>
      </c>
      <c r="G7" s="46">
        <f t="shared" si="0"/>
        <v>3600</v>
      </c>
      <c r="H7" s="90" t="s">
        <v>65</v>
      </c>
    </row>
    <row r="8" spans="2:8" ht="15">
      <c r="B8" s="5" t="s">
        <v>52</v>
      </c>
      <c r="C8" s="44">
        <f>+D8/$C$15</f>
        <v>0.4</v>
      </c>
      <c r="D8" s="6">
        <f>12000/$G$17*C$17</f>
        <v>8000</v>
      </c>
      <c r="E8" s="44">
        <f>+F8/$E$15</f>
        <v>0.25</v>
      </c>
      <c r="F8" s="6">
        <f>12000/$G$17*E$17</f>
        <v>4000</v>
      </c>
      <c r="G8" s="47">
        <f t="shared" si="0"/>
        <v>12000</v>
      </c>
      <c r="H8" s="94"/>
    </row>
    <row r="9" spans="2:8" ht="15">
      <c r="B9" s="5" t="s">
        <v>53</v>
      </c>
      <c r="C9" s="44">
        <f>+D9/$C$15</f>
        <v>0.15</v>
      </c>
      <c r="D9" s="6">
        <f>4500/$G$17*C$17</f>
        <v>3000</v>
      </c>
      <c r="E9" s="44">
        <f>+F9/$E$15</f>
        <v>0.09375</v>
      </c>
      <c r="F9" s="6">
        <f>4500/$G$17*E$17</f>
        <v>1500</v>
      </c>
      <c r="G9" s="47">
        <f t="shared" si="0"/>
        <v>4500</v>
      </c>
      <c r="H9" s="94"/>
    </row>
    <row r="10" spans="2:8" ht="15">
      <c r="B10" s="5" t="s">
        <v>64</v>
      </c>
      <c r="C10" s="44">
        <f>+D10/$C$15</f>
        <v>0.05</v>
      </c>
      <c r="D10" s="6">
        <f>1500/$G$17*C$17</f>
        <v>1000</v>
      </c>
      <c r="E10" s="44">
        <f>+F10/$E$15</f>
        <v>0.03125</v>
      </c>
      <c r="F10" s="6">
        <f>1500/$G$17*E$17</f>
        <v>500</v>
      </c>
      <c r="G10" s="47">
        <f t="shared" si="0"/>
        <v>1500</v>
      </c>
      <c r="H10" s="94"/>
    </row>
    <row r="11" spans="2:8" ht="15">
      <c r="B11" s="7" t="s">
        <v>55</v>
      </c>
      <c r="C11" s="63">
        <f>+D11/$C$15</f>
        <v>0.08</v>
      </c>
      <c r="D11" s="8">
        <f>2400/$G$17*C$17</f>
        <v>1600</v>
      </c>
      <c r="E11" s="63">
        <f>+F11/$E$15</f>
        <v>0.05</v>
      </c>
      <c r="F11" s="8">
        <f>2400/$G$17*E$17</f>
        <v>800</v>
      </c>
      <c r="G11" s="48">
        <f t="shared" si="0"/>
        <v>2400</v>
      </c>
      <c r="H11" s="91"/>
    </row>
    <row r="12" spans="2:7" ht="15">
      <c r="B12" s="15" t="s">
        <v>17</v>
      </c>
      <c r="C12" s="45">
        <f>+SUM(C4:C11)</f>
        <v>3.98</v>
      </c>
      <c r="D12" s="17">
        <f>+SUM(D4:D11)</f>
        <v>79600</v>
      </c>
      <c r="E12" s="45">
        <f>+SUM(E4:E11)</f>
        <v>2.8375</v>
      </c>
      <c r="F12" s="17">
        <f>+SUM(F4:F11)</f>
        <v>45400</v>
      </c>
      <c r="G12" s="48">
        <f t="shared" si="0"/>
        <v>125000</v>
      </c>
    </row>
    <row r="14" spans="2:7" ht="15">
      <c r="B14" s="52" t="s">
        <v>57</v>
      </c>
      <c r="C14" s="92" t="s">
        <v>46</v>
      </c>
      <c r="D14" s="93"/>
      <c r="E14" s="92" t="s">
        <v>47</v>
      </c>
      <c r="F14" s="93"/>
      <c r="G14" s="55" t="s">
        <v>17</v>
      </c>
    </row>
    <row r="15" spans="2:7" ht="15">
      <c r="B15" s="56" t="s">
        <v>58</v>
      </c>
      <c r="C15" s="57">
        <v>20000</v>
      </c>
      <c r="D15" s="57" t="s">
        <v>59</v>
      </c>
      <c r="E15" s="58">
        <v>16000</v>
      </c>
      <c r="F15" s="58" t="s">
        <v>60</v>
      </c>
      <c r="G15" s="59">
        <f>C15+E15</f>
        <v>36000</v>
      </c>
    </row>
    <row r="16" spans="2:7" ht="15">
      <c r="B16" s="56" t="s">
        <v>61</v>
      </c>
      <c r="C16" s="58">
        <v>12000</v>
      </c>
      <c r="D16" s="58" t="s">
        <v>62</v>
      </c>
      <c r="E16" s="58">
        <v>8000</v>
      </c>
      <c r="F16" s="58" t="s">
        <v>62</v>
      </c>
      <c r="G16" s="59">
        <f>C16+E16</f>
        <v>20000</v>
      </c>
    </row>
    <row r="17" spans="2:7" ht="15">
      <c r="B17" s="60" t="s">
        <v>51</v>
      </c>
      <c r="C17" s="61">
        <v>6000</v>
      </c>
      <c r="D17" s="61" t="s">
        <v>63</v>
      </c>
      <c r="E17" s="61">
        <v>3000</v>
      </c>
      <c r="F17" s="61" t="s">
        <v>63</v>
      </c>
      <c r="G17" s="62">
        <f>C17+E17</f>
        <v>9000</v>
      </c>
    </row>
    <row r="19" spans="2:3" ht="15">
      <c r="B19" s="24" t="s">
        <v>68</v>
      </c>
      <c r="C19" s="4">
        <v>320000</v>
      </c>
    </row>
    <row r="20" spans="2:3" ht="15">
      <c r="B20" s="49" t="s">
        <v>69</v>
      </c>
      <c r="C20" s="6">
        <v>400000</v>
      </c>
    </row>
    <row r="21" spans="2:3" ht="15">
      <c r="B21" s="65" t="s">
        <v>70</v>
      </c>
      <c r="C21" s="66">
        <f>+C19/C20</f>
        <v>0.8</v>
      </c>
    </row>
  </sheetData>
  <sheetProtection/>
  <mergeCells count="7">
    <mergeCell ref="B2:B3"/>
    <mergeCell ref="C14:D14"/>
    <mergeCell ref="E14:F14"/>
    <mergeCell ref="H7:H11"/>
    <mergeCell ref="H4:H6"/>
    <mergeCell ref="C2:D2"/>
    <mergeCell ref="E2:F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80"/>
  <sheetViews>
    <sheetView zoomScale="130" zoomScaleNormal="130" zoomScalePageLayoutView="0" workbookViewId="0" topLeftCell="A25">
      <selection activeCell="B28" sqref="B28:F39"/>
    </sheetView>
  </sheetViews>
  <sheetFormatPr defaultColWidth="9.140625" defaultRowHeight="15"/>
  <cols>
    <col min="1" max="1" width="3.28125" style="1" customWidth="1"/>
    <col min="2" max="2" width="42.28125" style="1" customWidth="1"/>
    <col min="3" max="4" width="13.140625" style="1" customWidth="1"/>
    <col min="5" max="7" width="9.140625" style="1" customWidth="1"/>
    <col min="8" max="8" width="12.140625" style="1" customWidth="1"/>
    <col min="9" max="16384" width="9.140625" style="1" customWidth="1"/>
  </cols>
  <sheetData>
    <row r="2" spans="2:5" ht="15">
      <c r="B2" s="41" t="s">
        <v>92</v>
      </c>
      <c r="C2" s="19" t="s">
        <v>93</v>
      </c>
      <c r="D2" s="42" t="s">
        <v>94</v>
      </c>
      <c r="E2" s="40"/>
    </row>
    <row r="3" spans="2:4" ht="15">
      <c r="B3" s="5" t="s">
        <v>39</v>
      </c>
      <c r="C3" s="13">
        <v>1460</v>
      </c>
      <c r="D3" s="6"/>
    </row>
    <row r="4" spans="2:4" ht="15">
      <c r="B4" s="5" t="s">
        <v>40</v>
      </c>
      <c r="C4" s="13">
        <v>6060</v>
      </c>
      <c r="D4" s="6"/>
    </row>
    <row r="5" spans="2:4" ht="15">
      <c r="B5" s="5" t="s">
        <v>95</v>
      </c>
      <c r="C5" s="13">
        <v>5000</v>
      </c>
      <c r="D5" s="6"/>
    </row>
    <row r="6" spans="2:4" ht="15">
      <c r="B6" s="5" t="s">
        <v>96</v>
      </c>
      <c r="C6" s="13">
        <v>2000</v>
      </c>
      <c r="D6" s="6"/>
    </row>
    <row r="7" spans="2:4" ht="15">
      <c r="B7" s="5" t="s">
        <v>97</v>
      </c>
      <c r="C7" s="13"/>
      <c r="D7" s="6">
        <v>300</v>
      </c>
    </row>
    <row r="8" spans="2:4" ht="15">
      <c r="B8" s="5" t="s">
        <v>98</v>
      </c>
      <c r="C8" s="13">
        <v>1000</v>
      </c>
      <c r="D8" s="6"/>
    </row>
    <row r="9" spans="2:4" ht="15">
      <c r="B9" s="5" t="s">
        <v>99</v>
      </c>
      <c r="C9" s="13"/>
      <c r="D9" s="6">
        <v>100</v>
      </c>
    </row>
    <row r="10" spans="2:4" ht="15">
      <c r="B10" s="5" t="s">
        <v>100</v>
      </c>
      <c r="C10" s="13"/>
      <c r="D10" s="6">
        <v>3520</v>
      </c>
    </row>
    <row r="11" spans="2:4" ht="15">
      <c r="B11" s="5" t="s">
        <v>42</v>
      </c>
      <c r="C11" s="13"/>
      <c r="D11" s="6">
        <v>15000</v>
      </c>
    </row>
    <row r="12" spans="2:4" ht="15">
      <c r="B12" s="3" t="s">
        <v>113</v>
      </c>
      <c r="C12" s="18">
        <v>7000</v>
      </c>
      <c r="D12" s="4"/>
    </row>
    <row r="13" spans="2:4" ht="15">
      <c r="B13" s="5" t="s">
        <v>51</v>
      </c>
      <c r="C13" s="13">
        <v>6000</v>
      </c>
      <c r="D13" s="6"/>
    </row>
    <row r="14" spans="2:4" ht="15">
      <c r="B14" s="5" t="s">
        <v>101</v>
      </c>
      <c r="C14" s="13">
        <v>790</v>
      </c>
      <c r="D14" s="6"/>
    </row>
    <row r="15" spans="2:4" ht="15">
      <c r="B15" s="5" t="s">
        <v>54</v>
      </c>
      <c r="C15" s="13">
        <v>2880</v>
      </c>
      <c r="D15" s="6"/>
    </row>
    <row r="16" spans="2:4" ht="15">
      <c r="B16" s="5" t="s">
        <v>53</v>
      </c>
      <c r="C16" s="13">
        <v>600</v>
      </c>
      <c r="D16" s="6"/>
    </row>
    <row r="17" spans="2:4" ht="15">
      <c r="B17" s="5" t="s">
        <v>102</v>
      </c>
      <c r="C17" s="13">
        <v>350</v>
      </c>
      <c r="D17" s="6"/>
    </row>
    <row r="18" spans="2:4" ht="15">
      <c r="B18" s="5" t="s">
        <v>103</v>
      </c>
      <c r="C18" s="13">
        <v>500</v>
      </c>
      <c r="D18" s="6"/>
    </row>
    <row r="19" spans="2:4" ht="15">
      <c r="B19" s="5" t="s">
        <v>104</v>
      </c>
      <c r="C19" s="13">
        <v>1440</v>
      </c>
      <c r="D19" s="6"/>
    </row>
    <row r="20" spans="2:4" ht="15">
      <c r="B20" s="5" t="s">
        <v>105</v>
      </c>
      <c r="C20" s="13">
        <v>300</v>
      </c>
      <c r="D20" s="6"/>
    </row>
    <row r="21" spans="2:4" ht="15">
      <c r="B21" s="7" t="s">
        <v>106</v>
      </c>
      <c r="C21" s="14">
        <v>340</v>
      </c>
      <c r="D21" s="8"/>
    </row>
    <row r="22" spans="2:4" ht="15">
      <c r="B22" s="5" t="s">
        <v>107</v>
      </c>
      <c r="C22" s="13">
        <v>8100</v>
      </c>
      <c r="D22" s="6"/>
    </row>
    <row r="23" spans="2:4" ht="15">
      <c r="B23" s="5" t="s">
        <v>108</v>
      </c>
      <c r="C23" s="13">
        <v>200</v>
      </c>
      <c r="D23" s="6"/>
    </row>
    <row r="24" spans="2:4" ht="15">
      <c r="B24" s="5" t="s">
        <v>109</v>
      </c>
      <c r="C24" s="13"/>
      <c r="D24" s="6">
        <v>25100</v>
      </c>
    </row>
    <row r="25" spans="2:4" ht="15">
      <c r="B25" s="15" t="s">
        <v>17</v>
      </c>
      <c r="C25" s="16">
        <f>SUM(C3:C24)</f>
        <v>44020</v>
      </c>
      <c r="D25" s="17">
        <f>SUM(D3:D24)</f>
        <v>44020</v>
      </c>
    </row>
    <row r="26" ht="15">
      <c r="B26" s="2"/>
    </row>
    <row r="27" ht="15">
      <c r="B27" s="2"/>
    </row>
    <row r="28" spans="2:6" ht="15">
      <c r="B28" s="69" t="s">
        <v>76</v>
      </c>
      <c r="C28" s="19" t="s">
        <v>110</v>
      </c>
      <c r="D28" s="19" t="s">
        <v>111</v>
      </c>
      <c r="E28" s="19" t="s">
        <v>112</v>
      </c>
      <c r="F28" s="42" t="s">
        <v>17</v>
      </c>
    </row>
    <row r="29" spans="2:6" ht="15">
      <c r="B29" s="5" t="str">
        <f>+B12</f>
        <v>Matéria prima consumida</v>
      </c>
      <c r="C29" s="13">
        <f>+$C$12/$F$50*C50</f>
        <v>3500.0000000000005</v>
      </c>
      <c r="D29" s="13">
        <f>+$C$12/$F$50*D50</f>
        <v>2100</v>
      </c>
      <c r="E29" s="13">
        <f>+$C$12/$F$50*E50</f>
        <v>1400.0000000000002</v>
      </c>
      <c r="F29" s="30">
        <f>SUM(C29:E29)</f>
        <v>7000</v>
      </c>
    </row>
    <row r="30" spans="2:6" ht="15">
      <c r="B30" s="5" t="str">
        <f>+B13</f>
        <v>Mão de obra direta</v>
      </c>
      <c r="C30" s="13">
        <f>+$C$13/$F$52*C52</f>
        <v>1875</v>
      </c>
      <c r="D30" s="13">
        <f>+$C$13/$F$52*D52</f>
        <v>2250</v>
      </c>
      <c r="E30" s="13">
        <f>+$C$13/$F$52*E52</f>
        <v>1875</v>
      </c>
      <c r="F30" s="30">
        <f aca="true" t="shared" si="0" ref="F30:F39">SUM(C30:E30)</f>
        <v>6000</v>
      </c>
    </row>
    <row r="31" spans="2:6" ht="15">
      <c r="B31" s="5" t="str">
        <f aca="true" t="shared" si="1" ref="B31:B38">+B14</f>
        <v>Energia elétrica da produção</v>
      </c>
      <c r="C31" s="13">
        <f>+$C$14/$F$54*$C$54</f>
        <v>158</v>
      </c>
      <c r="D31" s="13">
        <f>+$C$14/$F$54*$D$54</f>
        <v>237</v>
      </c>
      <c r="E31" s="13">
        <f>+$C$14/$F$54*$E$54</f>
        <v>395</v>
      </c>
      <c r="F31" s="30">
        <f t="shared" si="0"/>
        <v>790</v>
      </c>
    </row>
    <row r="32" spans="2:6" ht="15">
      <c r="B32" s="5" t="str">
        <f t="shared" si="1"/>
        <v>Supervisão da produção</v>
      </c>
      <c r="C32" s="13">
        <f>+$C15/$F$52*$C$52</f>
        <v>899.9999999999999</v>
      </c>
      <c r="D32" s="13">
        <f>+$C15/$F$52*$D$52</f>
        <v>1080</v>
      </c>
      <c r="E32" s="13">
        <f>+$C15/$F$52*$E$52</f>
        <v>899.9999999999999</v>
      </c>
      <c r="F32" s="30">
        <f t="shared" si="0"/>
        <v>2880</v>
      </c>
    </row>
    <row r="33" spans="2:6" ht="15">
      <c r="B33" s="5" t="str">
        <f t="shared" si="1"/>
        <v>Aluguel da fábrica</v>
      </c>
      <c r="C33" s="13">
        <f>+$C16/$F$52*$C$52</f>
        <v>187.5</v>
      </c>
      <c r="D33" s="13">
        <f>+$C16/$F$52*$D$52</f>
        <v>225</v>
      </c>
      <c r="E33" s="13">
        <f>+$C16/$F$52*$E$52</f>
        <v>187.5</v>
      </c>
      <c r="F33" s="30">
        <f t="shared" si="0"/>
        <v>600</v>
      </c>
    </row>
    <row r="34" spans="2:6" ht="15">
      <c r="B34" s="5" t="str">
        <f t="shared" si="1"/>
        <v>Lubrificantes</v>
      </c>
      <c r="C34" s="13">
        <f>+$C17/$F$54*$C$54</f>
        <v>70</v>
      </c>
      <c r="D34" s="13">
        <f>+$C17/$F$54*$D$54</f>
        <v>105.00000000000001</v>
      </c>
      <c r="E34" s="13">
        <f>+$C17/$F$54*$E$54</f>
        <v>175.00000000000003</v>
      </c>
      <c r="F34" s="30">
        <f>SUM(C34:E34)</f>
        <v>350</v>
      </c>
    </row>
    <row r="35" spans="2:6" ht="15">
      <c r="B35" s="5" t="str">
        <f t="shared" si="1"/>
        <v>Manutenção preventiva máq produção</v>
      </c>
      <c r="C35" s="13">
        <f>+$C18/$F$54*$C$54</f>
        <v>100</v>
      </c>
      <c r="D35" s="13">
        <f>+$C18/$F$54*$D$54</f>
        <v>150</v>
      </c>
      <c r="E35" s="13">
        <f>+$C18/$F$54*$E$54</f>
        <v>250.00000000000003</v>
      </c>
      <c r="F35" s="30">
        <f>SUM(C35:E35)</f>
        <v>500</v>
      </c>
    </row>
    <row r="36" spans="2:6" ht="15">
      <c r="B36" s="5" t="str">
        <f t="shared" si="1"/>
        <v>Supervisão do almoxarifado de MP</v>
      </c>
      <c r="C36" s="13">
        <f>+$C$19/$F$50*C50</f>
        <v>720</v>
      </c>
      <c r="D36" s="13">
        <f>+$C$19/$F$50*D50</f>
        <v>432</v>
      </c>
      <c r="E36" s="13">
        <f>+$C$19/$F$50*E50</f>
        <v>288</v>
      </c>
      <c r="F36" s="30">
        <f>SUM(C36:E36)</f>
        <v>1440</v>
      </c>
    </row>
    <row r="37" spans="2:6" ht="15">
      <c r="B37" s="5" t="str">
        <f t="shared" si="1"/>
        <v>Depreciação equipam produção</v>
      </c>
      <c r="C37" s="13">
        <f>+$C20/$F$54*$C$54</f>
        <v>60</v>
      </c>
      <c r="D37" s="13">
        <f>+$C20/$F$54*$D$54</f>
        <v>90</v>
      </c>
      <c r="E37" s="13">
        <f>+$C20/$F$54*$E$54</f>
        <v>150</v>
      </c>
      <c r="F37" s="30">
        <f>SUM(C37:E37)</f>
        <v>300</v>
      </c>
    </row>
    <row r="38" spans="2:6" ht="15">
      <c r="B38" s="5" t="str">
        <f t="shared" si="1"/>
        <v>Seguro equipam fábrica</v>
      </c>
      <c r="C38" s="13">
        <f>+$C21/$F$54*$C$54</f>
        <v>68</v>
      </c>
      <c r="D38" s="13">
        <f>+$C21/$F$54*$D$54</f>
        <v>102.00000000000001</v>
      </c>
      <c r="E38" s="13">
        <f>+$C21/$F$54*$E$54</f>
        <v>170</v>
      </c>
      <c r="F38" s="30">
        <f>SUM(C38:E38)</f>
        <v>340</v>
      </c>
    </row>
    <row r="39" spans="2:6" ht="15">
      <c r="B39" s="15" t="s">
        <v>17</v>
      </c>
      <c r="C39" s="16">
        <f>+SUM(C29:C38)</f>
        <v>7638.5</v>
      </c>
      <c r="D39" s="16">
        <f>+SUM(D29:D38)</f>
        <v>6771</v>
      </c>
      <c r="E39" s="16">
        <f>+SUM(E29:E38)</f>
        <v>5790.5</v>
      </c>
      <c r="F39" s="17">
        <f t="shared" si="0"/>
        <v>20200</v>
      </c>
    </row>
    <row r="41" spans="2:6" ht="15">
      <c r="B41" s="24"/>
      <c r="C41" s="19" t="str">
        <f>+C28</f>
        <v>X</v>
      </c>
      <c r="D41" s="19" t="str">
        <f>+D28</f>
        <v>Y</v>
      </c>
      <c r="E41" s="19" t="str">
        <f>+E28</f>
        <v>Z</v>
      </c>
      <c r="F41" s="42" t="str">
        <f>+F28</f>
        <v>TOTAL</v>
      </c>
    </row>
    <row r="42" spans="2:6" ht="15">
      <c r="B42" s="49" t="s">
        <v>122</v>
      </c>
      <c r="C42" s="70">
        <f>+C39/C47</f>
        <v>0.15277</v>
      </c>
      <c r="D42" s="70">
        <f>+D39/D47</f>
        <v>0.2257</v>
      </c>
      <c r="E42" s="70">
        <f>+E39/E47</f>
        <v>0.289525</v>
      </c>
      <c r="F42" s="6"/>
    </row>
    <row r="43" spans="2:6" ht="15">
      <c r="B43" s="49" t="s">
        <v>123</v>
      </c>
      <c r="C43" s="13">
        <f>+C42*C48</f>
        <v>6110.799999999999</v>
      </c>
      <c r="D43" s="13">
        <f>+D42*D48</f>
        <v>4062.6000000000004</v>
      </c>
      <c r="E43" s="13">
        <f>+E42*E48</f>
        <v>4632.4</v>
      </c>
      <c r="F43" s="30">
        <f>SUM(C43:E43)</f>
        <v>14805.8</v>
      </c>
    </row>
    <row r="44" spans="2:6" ht="15">
      <c r="B44" s="65" t="s">
        <v>124</v>
      </c>
      <c r="C44" s="14">
        <f>+C42*(C47-C48)</f>
        <v>1527.6999999999998</v>
      </c>
      <c r="D44" s="14">
        <f>+D42*(D47-D48)</f>
        <v>2708.4</v>
      </c>
      <c r="E44" s="14">
        <f>+E42*(E47-E48)</f>
        <v>1158.1</v>
      </c>
      <c r="F44" s="17">
        <f>SUM(C44:E44)</f>
        <v>5394.200000000001</v>
      </c>
    </row>
    <row r="46" spans="2:6" ht="15">
      <c r="B46" s="41" t="s">
        <v>57</v>
      </c>
      <c r="C46" s="19" t="str">
        <f>+C28</f>
        <v>X</v>
      </c>
      <c r="D46" s="19" t="str">
        <f>+D28</f>
        <v>Y</v>
      </c>
      <c r="E46" s="19" t="str">
        <f>+E28</f>
        <v>Z</v>
      </c>
      <c r="F46" s="42" t="str">
        <f>+F28</f>
        <v>TOTAL</v>
      </c>
    </row>
    <row r="47" spans="2:6" ht="15">
      <c r="B47" s="71" t="s">
        <v>115</v>
      </c>
      <c r="C47" s="72">
        <v>50000</v>
      </c>
      <c r="D47" s="72">
        <v>30000</v>
      </c>
      <c r="E47" s="72">
        <v>20000</v>
      </c>
      <c r="F47" s="73"/>
    </row>
    <row r="48" spans="2:6" ht="15">
      <c r="B48" s="71" t="s">
        <v>116</v>
      </c>
      <c r="C48" s="72">
        <v>40000</v>
      </c>
      <c r="D48" s="72">
        <v>18000</v>
      </c>
      <c r="E48" s="72">
        <v>16000</v>
      </c>
      <c r="F48" s="73"/>
    </row>
    <row r="49" spans="2:6" ht="15">
      <c r="B49" s="71" t="s">
        <v>114</v>
      </c>
      <c r="C49" s="74">
        <v>1</v>
      </c>
      <c r="D49" s="74">
        <v>1</v>
      </c>
      <c r="E49" s="74">
        <v>1</v>
      </c>
      <c r="F49" s="73"/>
    </row>
    <row r="50" spans="2:6" ht="15">
      <c r="B50" s="71" t="s">
        <v>117</v>
      </c>
      <c r="C50" s="72">
        <f>+C49*C47</f>
        <v>50000</v>
      </c>
      <c r="D50" s="72">
        <f>+D49*D47</f>
        <v>30000</v>
      </c>
      <c r="E50" s="72">
        <f>+E49*E47</f>
        <v>20000</v>
      </c>
      <c r="F50" s="75">
        <f>SUM(C50:E50)</f>
        <v>100000</v>
      </c>
    </row>
    <row r="51" spans="2:6" ht="15">
      <c r="B51" s="71" t="s">
        <v>118</v>
      </c>
      <c r="C51" s="74">
        <v>1</v>
      </c>
      <c r="D51" s="74">
        <v>2</v>
      </c>
      <c r="E51" s="74">
        <v>2.5</v>
      </c>
      <c r="F51" s="75"/>
    </row>
    <row r="52" spans="2:6" ht="15">
      <c r="B52" s="71" t="s">
        <v>119</v>
      </c>
      <c r="C52" s="72">
        <f>+C51*C47</f>
        <v>50000</v>
      </c>
      <c r="D52" s="72">
        <f>+D51*D47</f>
        <v>60000</v>
      </c>
      <c r="E52" s="72">
        <f>+E51*E47</f>
        <v>50000</v>
      </c>
      <c r="F52" s="75">
        <f>SUM(C52:E52)</f>
        <v>160000</v>
      </c>
    </row>
    <row r="53" spans="2:6" ht="15">
      <c r="B53" s="71" t="s">
        <v>120</v>
      </c>
      <c r="C53" s="74">
        <v>0.6</v>
      </c>
      <c r="D53" s="74">
        <v>1.5</v>
      </c>
      <c r="E53" s="74">
        <v>3.75</v>
      </c>
      <c r="F53" s="73"/>
    </row>
    <row r="54" spans="2:6" ht="15">
      <c r="B54" s="76" t="s">
        <v>121</v>
      </c>
      <c r="C54" s="77">
        <f>+C53*C47</f>
        <v>30000</v>
      </c>
      <c r="D54" s="77">
        <f>+D53*D47</f>
        <v>45000</v>
      </c>
      <c r="E54" s="77">
        <f>+E53*E47</f>
        <v>75000</v>
      </c>
      <c r="F54" s="78">
        <f>SUM(C54:E54)</f>
        <v>150000</v>
      </c>
    </row>
    <row r="56" spans="2:3" ht="15">
      <c r="B56" s="88" t="s">
        <v>125</v>
      </c>
      <c r="C56" s="89"/>
    </row>
    <row r="57" spans="2:3" ht="15">
      <c r="B57" s="29" t="s">
        <v>32</v>
      </c>
      <c r="C57" s="30">
        <f>+D24</f>
        <v>25100</v>
      </c>
    </row>
    <row r="58" spans="2:3" ht="15">
      <c r="B58" s="5" t="s">
        <v>85</v>
      </c>
      <c r="C58" s="6">
        <f>-F43</f>
        <v>-14805.8</v>
      </c>
    </row>
    <row r="59" spans="2:3" ht="15">
      <c r="B59" s="29" t="s">
        <v>34</v>
      </c>
      <c r="C59" s="30">
        <f>SUM(C57:C58)</f>
        <v>10294.2</v>
      </c>
    </row>
    <row r="60" spans="2:3" ht="15">
      <c r="B60" s="5" t="s">
        <v>126</v>
      </c>
      <c r="C60" s="6">
        <f>-C22</f>
        <v>-8100</v>
      </c>
    </row>
    <row r="61" spans="2:3" ht="15">
      <c r="B61" s="5" t="s">
        <v>90</v>
      </c>
      <c r="C61" s="6">
        <f>-C23</f>
        <v>-200</v>
      </c>
    </row>
    <row r="62" spans="2:3" ht="15">
      <c r="B62" s="29" t="s">
        <v>127</v>
      </c>
      <c r="C62" s="30">
        <f>+SUM(C59:C61)</f>
        <v>1994.2000000000007</v>
      </c>
    </row>
    <row r="63" spans="2:3" ht="15">
      <c r="B63" s="5" t="s">
        <v>128</v>
      </c>
      <c r="C63" s="6">
        <f>-C62*30%</f>
        <v>-598.2600000000002</v>
      </c>
    </row>
    <row r="64" spans="2:3" ht="15">
      <c r="B64" s="15" t="s">
        <v>129</v>
      </c>
      <c r="C64" s="17">
        <f>+SUM(C62:C63)</f>
        <v>1395.9400000000005</v>
      </c>
    </row>
    <row r="65" ht="15">
      <c r="B65" s="2"/>
    </row>
    <row r="66" spans="2:3" ht="15">
      <c r="B66" s="92" t="s">
        <v>130</v>
      </c>
      <c r="C66" s="93"/>
    </row>
    <row r="67" spans="2:3" ht="15">
      <c r="B67" s="88" t="s">
        <v>8</v>
      </c>
      <c r="C67" s="89"/>
    </row>
    <row r="68" spans="2:3" ht="15">
      <c r="B68" s="5" t="str">
        <f>+B3</f>
        <v>Disponibilidades</v>
      </c>
      <c r="C68" s="6">
        <f>+C3</f>
        <v>1460</v>
      </c>
    </row>
    <row r="69" spans="2:3" ht="15">
      <c r="B69" s="5" t="str">
        <f>+B4</f>
        <v>Contas a receber</v>
      </c>
      <c r="C69" s="6">
        <f>+C4</f>
        <v>6060</v>
      </c>
    </row>
    <row r="70" spans="2:3" ht="15">
      <c r="B70" s="5" t="s">
        <v>131</v>
      </c>
      <c r="C70" s="6">
        <f>+F44</f>
        <v>5394.200000000001</v>
      </c>
    </row>
    <row r="71" spans="2:3" ht="15">
      <c r="B71" s="5" t="str">
        <f>+B5</f>
        <v>Estoque de MP</v>
      </c>
      <c r="C71" s="6">
        <f>+C5</f>
        <v>5000</v>
      </c>
    </row>
    <row r="72" spans="2:3" ht="15">
      <c r="B72" s="5" t="s">
        <v>9</v>
      </c>
      <c r="C72" s="6">
        <f>+C6+C8</f>
        <v>3000</v>
      </c>
    </row>
    <row r="73" spans="2:3" ht="15">
      <c r="B73" s="5" t="s">
        <v>10</v>
      </c>
      <c r="C73" s="6">
        <f>-SUM(D7,D9)</f>
        <v>-400</v>
      </c>
    </row>
    <row r="74" spans="2:3" ht="15">
      <c r="B74" s="15" t="s">
        <v>17</v>
      </c>
      <c r="C74" s="17">
        <f>+SUM(C68:C73)</f>
        <v>20514.2</v>
      </c>
    </row>
    <row r="75" spans="2:3" ht="15">
      <c r="B75" s="88" t="s">
        <v>41</v>
      </c>
      <c r="C75" s="89"/>
    </row>
    <row r="76" spans="2:3" ht="15">
      <c r="B76" s="5" t="str">
        <f>+B10</f>
        <v>Empréstimos a pagar</v>
      </c>
      <c r="C76" s="6">
        <f>+D10</f>
        <v>3520</v>
      </c>
    </row>
    <row r="77" spans="2:3" ht="15">
      <c r="B77" s="5" t="s">
        <v>132</v>
      </c>
      <c r="C77" s="6">
        <f>-C63</f>
        <v>598.2600000000002</v>
      </c>
    </row>
    <row r="78" spans="2:3" ht="15">
      <c r="B78" s="5" t="str">
        <f>+B11</f>
        <v>Capital social</v>
      </c>
      <c r="C78" s="6">
        <f>+D11</f>
        <v>15000</v>
      </c>
    </row>
    <row r="79" spans="2:3" ht="15">
      <c r="B79" s="5" t="s">
        <v>133</v>
      </c>
      <c r="C79" s="6">
        <f>+C64</f>
        <v>1395.9400000000005</v>
      </c>
    </row>
    <row r="80" spans="2:3" ht="15">
      <c r="B80" s="15" t="s">
        <v>17</v>
      </c>
      <c r="C80" s="17">
        <f>+SUM(C76:C79)</f>
        <v>20514.200000000004</v>
      </c>
    </row>
  </sheetData>
  <sheetProtection/>
  <mergeCells count="4">
    <mergeCell ref="B56:C56"/>
    <mergeCell ref="B66:C66"/>
    <mergeCell ref="B67:C67"/>
    <mergeCell ref="B75:C7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9"/>
  <sheetViews>
    <sheetView tabSelected="1" zoomScale="130" zoomScaleNormal="130" zoomScalePageLayoutView="0" workbookViewId="0" topLeftCell="A1">
      <selection activeCell="C3" sqref="C3:C9"/>
    </sheetView>
  </sheetViews>
  <sheetFormatPr defaultColWidth="9.140625" defaultRowHeight="15"/>
  <cols>
    <col min="1" max="1" width="3.28125" style="1" customWidth="1"/>
    <col min="2" max="2" width="24.140625" style="1" customWidth="1"/>
    <col min="3" max="3" width="11.7109375" style="1" customWidth="1"/>
    <col min="4" max="7" width="14.140625" style="1" customWidth="1"/>
    <col min="8" max="16384" width="9.140625" style="1" customWidth="1"/>
  </cols>
  <sheetData>
    <row r="2" spans="4:7" ht="15">
      <c r="D2" s="88" t="s">
        <v>136</v>
      </c>
      <c r="E2" s="89"/>
      <c r="F2" s="88" t="s">
        <v>140</v>
      </c>
      <c r="G2" s="89"/>
    </row>
    <row r="3" spans="3:7" ht="45">
      <c r="C3" s="55" t="s">
        <v>134</v>
      </c>
      <c r="D3" s="53" t="s">
        <v>135</v>
      </c>
      <c r="E3" s="54" t="s">
        <v>137</v>
      </c>
      <c r="F3" s="53" t="s">
        <v>135</v>
      </c>
      <c r="G3" s="54" t="s">
        <v>137</v>
      </c>
    </row>
    <row r="4" spans="2:7" ht="15">
      <c r="B4" s="3" t="s">
        <v>32</v>
      </c>
      <c r="C4" s="81">
        <v>2500</v>
      </c>
      <c r="D4" s="24">
        <v>2500</v>
      </c>
      <c r="E4" s="4">
        <f>+D4</f>
        <v>2500</v>
      </c>
      <c r="F4" s="24">
        <f>+D4*(1+10%)</f>
        <v>2750</v>
      </c>
      <c r="G4" s="4">
        <f>+E4*(1+10%)</f>
        <v>2750</v>
      </c>
    </row>
    <row r="5" spans="2:7" ht="15">
      <c r="B5" s="5" t="s">
        <v>33</v>
      </c>
      <c r="C5" s="79">
        <v>-1500</v>
      </c>
      <c r="D5" s="49">
        <f>+C5*(1+40%)</f>
        <v>-2100</v>
      </c>
      <c r="E5" s="6">
        <v>-2200</v>
      </c>
      <c r="F5" s="49">
        <f aca="true" t="shared" si="0" ref="F5:G7">+D5*(1+10%)</f>
        <v>-2310</v>
      </c>
      <c r="G5" s="6">
        <f t="shared" si="0"/>
        <v>-2420</v>
      </c>
    </row>
    <row r="6" spans="2:7" ht="15">
      <c r="B6" s="29" t="s">
        <v>34</v>
      </c>
      <c r="C6" s="64">
        <f>SUM(C4:C5)</f>
        <v>1000</v>
      </c>
      <c r="D6" s="43">
        <f>SUM(D4:D5)</f>
        <v>400</v>
      </c>
      <c r="E6" s="30">
        <f>SUM(E4:E5)</f>
        <v>300</v>
      </c>
      <c r="F6" s="43">
        <f t="shared" si="0"/>
        <v>440.00000000000006</v>
      </c>
      <c r="G6" s="30">
        <f t="shared" si="0"/>
        <v>330</v>
      </c>
    </row>
    <row r="7" spans="2:7" ht="15">
      <c r="B7" s="5" t="s">
        <v>139</v>
      </c>
      <c r="C7" s="79"/>
      <c r="D7" s="49"/>
      <c r="E7" s="6">
        <v>100</v>
      </c>
      <c r="F7" s="49"/>
      <c r="G7" s="6">
        <f t="shared" si="0"/>
        <v>110.00000000000001</v>
      </c>
    </row>
    <row r="8" spans="2:7" ht="15">
      <c r="B8" s="5" t="s">
        <v>141</v>
      </c>
      <c r="C8" s="79"/>
      <c r="D8" s="49"/>
      <c r="E8" s="6"/>
      <c r="F8" s="49">
        <v>-250</v>
      </c>
      <c r="G8" s="6">
        <v>-250</v>
      </c>
    </row>
    <row r="9" spans="2:7" ht="15">
      <c r="B9" s="15" t="s">
        <v>138</v>
      </c>
      <c r="C9" s="51">
        <f>+SUM(C6:C8)</f>
        <v>1000</v>
      </c>
      <c r="D9" s="80">
        <f>+SUM(D6:D8)</f>
        <v>400</v>
      </c>
      <c r="E9" s="17">
        <f>+SUM(E6:E8)</f>
        <v>400</v>
      </c>
      <c r="F9" s="80">
        <f>SUM(F6:F8)</f>
        <v>190.00000000000006</v>
      </c>
      <c r="G9" s="17">
        <f>+SUM(G6:G8)</f>
        <v>190</v>
      </c>
    </row>
    <row r="12" spans="2:3" ht="15">
      <c r="B12" s="88" t="s">
        <v>142</v>
      </c>
      <c r="C12" s="89"/>
    </row>
    <row r="13" spans="2:3" ht="15">
      <c r="B13" s="95" t="s">
        <v>143</v>
      </c>
      <c r="C13" s="96"/>
    </row>
    <row r="14" spans="2:3" ht="15">
      <c r="B14" s="88" t="s">
        <v>8</v>
      </c>
      <c r="C14" s="89"/>
    </row>
    <row r="15" spans="2:3" ht="15">
      <c r="B15" s="82" t="s">
        <v>39</v>
      </c>
      <c r="C15" s="6">
        <v>2500</v>
      </c>
    </row>
    <row r="16" spans="2:3" ht="15">
      <c r="B16" s="82"/>
      <c r="C16" s="6"/>
    </row>
    <row r="17" spans="2:3" ht="15">
      <c r="B17" s="82"/>
      <c r="C17" s="6"/>
    </row>
    <row r="18" spans="2:3" ht="15">
      <c r="B18" s="83" t="s">
        <v>17</v>
      </c>
      <c r="C18" s="17">
        <f>SUM(C15:C17)</f>
        <v>2500</v>
      </c>
    </row>
    <row r="19" spans="2:3" ht="15">
      <c r="B19" s="88" t="s">
        <v>144</v>
      </c>
      <c r="C19" s="89"/>
    </row>
    <row r="20" spans="2:3" ht="15">
      <c r="B20" s="82" t="s">
        <v>42</v>
      </c>
      <c r="C20" s="6">
        <f>1500*(1+40%)*(1+10%)</f>
        <v>2310</v>
      </c>
    </row>
    <row r="21" spans="2:3" ht="15">
      <c r="B21" s="82" t="s">
        <v>146</v>
      </c>
      <c r="C21" s="6">
        <f>+G7</f>
        <v>110.00000000000001</v>
      </c>
    </row>
    <row r="22" spans="2:3" ht="15">
      <c r="B22" s="82" t="s">
        <v>145</v>
      </c>
      <c r="C22" s="6">
        <f>+E4+G5</f>
        <v>80</v>
      </c>
    </row>
    <row r="23" spans="2:3" ht="15">
      <c r="B23" s="83" t="s">
        <v>17</v>
      </c>
      <c r="C23" s="17">
        <f>SUM(C20:C22)</f>
        <v>2500</v>
      </c>
    </row>
    <row r="25" spans="2:3" ht="15">
      <c r="B25" s="88" t="s">
        <v>11</v>
      </c>
      <c r="C25" s="89"/>
    </row>
    <row r="26" spans="2:3" ht="15">
      <c r="B26" s="49" t="s">
        <v>147</v>
      </c>
      <c r="C26" s="6">
        <f>+G6</f>
        <v>330</v>
      </c>
    </row>
    <row r="27" spans="2:3" ht="15">
      <c r="B27" s="49" t="s">
        <v>148</v>
      </c>
      <c r="C27" s="6">
        <f>+G7</f>
        <v>110.00000000000001</v>
      </c>
    </row>
    <row r="28" spans="2:3" ht="15">
      <c r="B28" s="49" t="s">
        <v>149</v>
      </c>
      <c r="C28" s="6">
        <f>+G8</f>
        <v>-250</v>
      </c>
    </row>
    <row r="29" spans="2:3" ht="15">
      <c r="B29" s="80" t="s">
        <v>17</v>
      </c>
      <c r="C29" s="17">
        <f>SUM(C26:C28)</f>
        <v>190</v>
      </c>
    </row>
  </sheetData>
  <sheetProtection/>
  <mergeCells count="7">
    <mergeCell ref="B25:C25"/>
    <mergeCell ref="D2:E2"/>
    <mergeCell ref="F2:G2"/>
    <mergeCell ref="B12:C12"/>
    <mergeCell ref="B13:C13"/>
    <mergeCell ref="B14:C14"/>
    <mergeCell ref="B19:C1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Roni Cleber Bonizio</dc:creator>
  <cp:keywords/>
  <dc:description/>
  <cp:lastModifiedBy>leticia nascimento</cp:lastModifiedBy>
  <dcterms:created xsi:type="dcterms:W3CDTF">2015-02-25T01:04:14Z</dcterms:created>
  <dcterms:modified xsi:type="dcterms:W3CDTF">2015-03-31T23:23:27Z</dcterms:modified>
  <cp:category/>
  <cp:version/>
  <cp:contentType/>
  <cp:contentStatus/>
</cp:coreProperties>
</file>