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.user-PC\Dropbox\acadêmicos\0 - GRADUAÇÃO\0 - RONI - 1o semestre 2017\ANÁLISE DE CUSTOS\"/>
    </mc:Choice>
  </mc:AlternateContent>
  <bookViews>
    <workbookView xWindow="0" yWindow="0" windowWidth="24000" windowHeight="10575" activeTab="1"/>
  </bookViews>
  <sheets>
    <sheet name="2 - NAZA" sheetId="2" r:id="rId1"/>
    <sheet name="3 - HOTEL CROME" sheetId="1" r:id="rId2"/>
    <sheet name="QUESTÕES E PROVAS" sheetId="3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2" i="1" l="1"/>
  <c r="F58" i="1"/>
  <c r="D58" i="1"/>
  <c r="D60" i="1"/>
  <c r="D59" i="1"/>
  <c r="K25" i="1"/>
  <c r="K26" i="1"/>
  <c r="K28" i="1"/>
  <c r="K31" i="1"/>
  <c r="K32" i="1"/>
  <c r="M32" i="1"/>
  <c r="K29" i="1"/>
  <c r="K30" i="1"/>
  <c r="M30" i="1"/>
  <c r="K27" i="1"/>
  <c r="C5" i="1"/>
  <c r="C9" i="1"/>
  <c r="D7" i="1"/>
  <c r="D8" i="1"/>
  <c r="D9" i="1"/>
  <c r="D10" i="1"/>
  <c r="D11" i="1"/>
  <c r="D12" i="1"/>
  <c r="H12" i="1"/>
  <c r="D25" i="1"/>
  <c r="D26" i="1"/>
  <c r="D28" i="1"/>
  <c r="D31" i="1"/>
  <c r="D32" i="1"/>
  <c r="D13" i="1"/>
  <c r="D18" i="1"/>
  <c r="D19" i="1"/>
  <c r="D20" i="1"/>
  <c r="D22" i="1"/>
  <c r="F32" i="1"/>
  <c r="D29" i="1"/>
  <c r="D30" i="1"/>
  <c r="F30" i="1"/>
  <c r="D27" i="1"/>
  <c r="J5" i="1"/>
  <c r="K7" i="1"/>
  <c r="K8" i="1"/>
  <c r="K9" i="1"/>
  <c r="K10" i="1"/>
  <c r="K11" i="1"/>
  <c r="K12" i="1"/>
  <c r="O12" i="1"/>
  <c r="M5" i="1"/>
  <c r="K45" i="1"/>
  <c r="M7" i="1"/>
  <c r="K44" i="1"/>
  <c r="K46" i="1"/>
  <c r="K47" i="1"/>
  <c r="K48" i="1"/>
  <c r="K49" i="1"/>
  <c r="K50" i="1"/>
  <c r="K51" i="1"/>
  <c r="K52" i="1"/>
  <c r="K53" i="1"/>
  <c r="K54" i="1"/>
  <c r="K55" i="1"/>
  <c r="K56" i="1"/>
  <c r="F5" i="1"/>
  <c r="N7" i="1"/>
  <c r="M8" i="1"/>
  <c r="N8" i="1"/>
  <c r="N9" i="1"/>
  <c r="N10" i="1"/>
  <c r="N11" i="1"/>
  <c r="N12" i="1"/>
  <c r="N13" i="1"/>
  <c r="N18" i="1"/>
  <c r="N19" i="1"/>
  <c r="N20" i="1"/>
  <c r="N21" i="1"/>
  <c r="N22" i="1"/>
  <c r="M56" i="1"/>
  <c r="D45" i="1"/>
  <c r="F7" i="1"/>
  <c r="D44" i="1"/>
  <c r="D46" i="1"/>
  <c r="D47" i="1"/>
  <c r="D48" i="1"/>
  <c r="D49" i="1"/>
  <c r="D50" i="1"/>
  <c r="D51" i="1"/>
  <c r="D52" i="1"/>
  <c r="D53" i="1"/>
  <c r="D54" i="1"/>
  <c r="D55" i="1"/>
  <c r="D56" i="1"/>
  <c r="G7" i="1"/>
  <c r="F8" i="1"/>
  <c r="G8" i="1"/>
  <c r="G9" i="1"/>
  <c r="G10" i="1"/>
  <c r="G11" i="1"/>
  <c r="G12" i="1"/>
  <c r="G13" i="1"/>
  <c r="G18" i="1"/>
  <c r="G19" i="1"/>
  <c r="G20" i="1"/>
  <c r="G21" i="1"/>
  <c r="G22" i="1"/>
  <c r="F56" i="1"/>
  <c r="C60" i="1"/>
  <c r="C59" i="1"/>
  <c r="C58" i="1"/>
  <c r="C61" i="1"/>
  <c r="C43" i="2"/>
  <c r="C41" i="2"/>
  <c r="F9" i="3"/>
  <c r="K38" i="1"/>
  <c r="K35" i="1"/>
  <c r="K36" i="1"/>
  <c r="K37" i="1"/>
  <c r="G37" i="1"/>
  <c r="G38" i="1"/>
  <c r="G36" i="1"/>
  <c r="D38" i="1"/>
  <c r="D35" i="1"/>
  <c r="D36" i="1"/>
  <c r="D37" i="1"/>
  <c r="I39" i="2"/>
  <c r="I38" i="2"/>
  <c r="I10" i="2"/>
  <c r="I25" i="2"/>
  <c r="K9" i="2"/>
  <c r="J9" i="2"/>
  <c r="I34" i="2"/>
  <c r="I21" i="2"/>
  <c r="I16" i="2"/>
  <c r="I8" i="2"/>
  <c r="I24" i="2"/>
  <c r="F10" i="2"/>
  <c r="F25" i="2"/>
  <c r="F9" i="2"/>
  <c r="F8" i="2"/>
  <c r="C10" i="2"/>
  <c r="C8" i="2"/>
  <c r="F12" i="2"/>
  <c r="F34" i="2"/>
  <c r="F21" i="2"/>
  <c r="F16" i="2"/>
  <c r="F35" i="2"/>
  <c r="F36" i="2"/>
  <c r="K39" i="1"/>
  <c r="K40" i="1"/>
  <c r="D39" i="1"/>
  <c r="D40" i="1"/>
  <c r="I12" i="2"/>
  <c r="I17" i="2"/>
  <c r="I18" i="2"/>
  <c r="I35" i="2"/>
  <c r="I36" i="2"/>
  <c r="F13" i="2"/>
  <c r="F14" i="2"/>
  <c r="F15" i="2"/>
  <c r="F24" i="2"/>
  <c r="F17" i="2"/>
  <c r="F18" i="2"/>
  <c r="C34" i="2"/>
  <c r="C21" i="2"/>
  <c r="C16" i="2"/>
  <c r="C25" i="2"/>
  <c r="J9" i="1"/>
  <c r="I13" i="2"/>
  <c r="I14" i="2"/>
  <c r="I15" i="2"/>
  <c r="K13" i="2"/>
  <c r="I19" i="2"/>
  <c r="I22" i="2"/>
  <c r="I23" i="2"/>
  <c r="I26" i="2"/>
  <c r="I27" i="2"/>
  <c r="I31" i="2"/>
  <c r="F19" i="2"/>
  <c r="F22" i="2"/>
  <c r="F23" i="2"/>
  <c r="F26" i="2"/>
  <c r="F30" i="2"/>
  <c r="F38" i="2"/>
  <c r="F27" i="2"/>
  <c r="F31" i="2"/>
  <c r="F39" i="2"/>
  <c r="C24" i="2"/>
  <c r="C12" i="2"/>
  <c r="C13" i="2"/>
  <c r="C14" i="2"/>
  <c r="C15" i="2"/>
  <c r="C17" i="2"/>
  <c r="C18" i="2"/>
  <c r="C27" i="2"/>
  <c r="C31" i="2"/>
  <c r="C39" i="2"/>
  <c r="C35" i="2"/>
  <c r="C36" i="2"/>
  <c r="M4" i="1"/>
  <c r="M9" i="1"/>
  <c r="K19" i="1"/>
  <c r="F9" i="1"/>
  <c r="K13" i="1"/>
  <c r="K18" i="1"/>
  <c r="K20" i="1"/>
  <c r="K22" i="1"/>
  <c r="F4" i="1"/>
  <c r="I30" i="2"/>
  <c r="C19" i="2"/>
  <c r="C22" i="2"/>
  <c r="C23" i="2"/>
  <c r="C26" i="2"/>
  <c r="C30" i="2"/>
  <c r="C38" i="2"/>
</calcChain>
</file>

<file path=xl/sharedStrings.xml><?xml version="1.0" encoding="utf-8"?>
<sst xmlns="http://schemas.openxmlformats.org/spreadsheetml/2006/main" count="222" uniqueCount="90">
  <si>
    <t>Diárias vendidas no período</t>
  </si>
  <si>
    <t>$/diária</t>
  </si>
  <si>
    <t>$ total</t>
  </si>
  <si>
    <t>Receita de venda</t>
  </si>
  <si>
    <t>(=) Margem de contribuição</t>
  </si>
  <si>
    <t>(=) Lucro antes do IR/CSSLL</t>
  </si>
  <si>
    <t>(-) Cst/desp operacionais fixos</t>
  </si>
  <si>
    <t>Taxa de ocupação no período</t>
  </si>
  <si>
    <t>(-) Custos e despesas variáveis</t>
  </si>
  <si>
    <t>(-) IR/CSSLL</t>
  </si>
  <si>
    <t>(=) Lucro líquido</t>
  </si>
  <si>
    <t>Capital investido</t>
  </si>
  <si>
    <t>Margem operacional</t>
  </si>
  <si>
    <t>Giro do investimento</t>
  </si>
  <si>
    <t>ROI</t>
  </si>
  <si>
    <t>Custo do capital investido</t>
  </si>
  <si>
    <t>EVA®</t>
  </si>
  <si>
    <t>TOTAL</t>
  </si>
  <si>
    <t>PROVA A</t>
  </si>
  <si>
    <t xml:space="preserve">PROVA B </t>
  </si>
  <si>
    <t>Dados do problema</t>
  </si>
  <si>
    <t>Produção (toneladas)</t>
  </si>
  <si>
    <t>Vendas</t>
  </si>
  <si>
    <t>Preço médio de venda ($/ton)</t>
  </si>
  <si>
    <t>Custos variáveis ($/ton)</t>
  </si>
  <si>
    <t>Despesas variáveis de venda ($/ton)</t>
  </si>
  <si>
    <t>Custos fixos de produção ($/mês)</t>
  </si>
  <si>
    <t>Despesas fixas ($/mês)</t>
  </si>
  <si>
    <t>Apurações</t>
  </si>
  <si>
    <t>PEC</t>
  </si>
  <si>
    <t>EBIT (toneladas)</t>
  </si>
  <si>
    <t>MC/tonelada</t>
  </si>
  <si>
    <t>EBIT ($) - CUSTEIO DIRETO/VARIÁVEL</t>
  </si>
  <si>
    <t>Estoques finais ($) - CUSTEIO DIRETO/VARIÁVEL</t>
  </si>
  <si>
    <t>Custo total de produção - absorção</t>
  </si>
  <si>
    <t>Custo unitário de produção - absorção</t>
  </si>
  <si>
    <t>CPV - absorção</t>
  </si>
  <si>
    <t>Conciliação</t>
  </si>
  <si>
    <t>Diferenças de lucros</t>
  </si>
  <si>
    <t>DRE - absorção</t>
  </si>
  <si>
    <t>(-) CPV</t>
  </si>
  <si>
    <t>(=) Lucro bruto</t>
  </si>
  <si>
    <t>(-) Despesas variáveis</t>
  </si>
  <si>
    <t>(-) Despesas fixas</t>
  </si>
  <si>
    <t>(=) EBIT</t>
  </si>
  <si>
    <t>Estoque final ($) absorção</t>
  </si>
  <si>
    <t>Diferenças de estoques</t>
  </si>
  <si>
    <t>Estoques (absorção)</t>
  </si>
  <si>
    <t>Custos variáveis</t>
  </si>
  <si>
    <t>Custos fixos</t>
  </si>
  <si>
    <t>PROVA B</t>
  </si>
  <si>
    <t>PROVA C</t>
  </si>
  <si>
    <t>Preço com base no custo</t>
  </si>
  <si>
    <t>Custo do capital investido ($/ano)</t>
  </si>
  <si>
    <t>Custo do capital investido ($/diária - líq)</t>
  </si>
  <si>
    <t>Custo do capital investido ($/diária - brt)</t>
  </si>
  <si>
    <t>Custo operacional fixo/diária</t>
  </si>
  <si>
    <t>Margem por diária</t>
  </si>
  <si>
    <t>QUESTÃO 2</t>
  </si>
  <si>
    <t>QUESTÃO 3</t>
  </si>
  <si>
    <t>PROVA 1</t>
  </si>
  <si>
    <t>PROVA 2</t>
  </si>
  <si>
    <t>PROVA 3</t>
  </si>
  <si>
    <t>PROVA 4</t>
  </si>
  <si>
    <t>A</t>
  </si>
  <si>
    <t>B</t>
  </si>
  <si>
    <t>C</t>
  </si>
  <si>
    <t>item 1</t>
  </si>
  <si>
    <t>item 2</t>
  </si>
  <si>
    <t>ITEM 2</t>
  </si>
  <si>
    <t>item 3</t>
  </si>
  <si>
    <t>Preço com base na análise da demanda</t>
  </si>
  <si>
    <t>Variação de preço</t>
  </si>
  <si>
    <t>Variação de quantidade</t>
  </si>
  <si>
    <t>Elasticidade da demanda</t>
  </si>
  <si>
    <t>PREÇO ÓTIMO</t>
  </si>
  <si>
    <t>Quantidade teórica</t>
  </si>
  <si>
    <t>Quantidade prática</t>
  </si>
  <si>
    <t>MC TOTAL</t>
  </si>
  <si>
    <t>EBIT</t>
  </si>
  <si>
    <t>NOPAT</t>
  </si>
  <si>
    <t>MC líquida</t>
  </si>
  <si>
    <t>PEC (diárias/ano)</t>
  </si>
  <si>
    <t>PEC (taxa de ocupação)</t>
  </si>
  <si>
    <t>RESPOSTAS</t>
  </si>
  <si>
    <t>PEE (diárias/ano)</t>
  </si>
  <si>
    <t>NOPAT (diárias/ano)</t>
  </si>
  <si>
    <t>NOPAT ($)</t>
  </si>
  <si>
    <t>EVA (diárias/ano)</t>
  </si>
  <si>
    <t>EVA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</si>
</sst>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%"/>
    <numFmt numFmtId="165" formatCode="#,##0.0"/>
    <numFmt numFmtId="166" formatCode="0.000%"/>
    <numFmt numFmtId="167" formatCode="#,##0.000"/>
    <numFmt numFmtId="168" formatCode="#,##0.0000"/>
    <numFmt numFmtId="169" formatCode="#,##0.00000"/>
    <numFmt numFmtId="170" formatCode="#,##0.000000"/>
    <numFmt numFmtId="171" formatCode="#,##0.00000000"/>
    <numFmt numFmtId="172" formatCode="0.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7">
    <xf numFmtId="0" fontId="0" fillId="0" borderId="0" xfId="0"/>
    <xf numFmtId="3" fontId="0" fillId="2" borderId="0" xfId="0" applyNumberFormat="1" applyFill="1" applyAlignment="1">
      <alignment horizontal="center" vertical="center" wrapText="1"/>
    </xf>
    <xf numFmtId="3" fontId="2" fillId="5" borderId="0" xfId="0" applyNumberFormat="1" applyFont="1" applyFill="1" applyAlignment="1">
      <alignment horizontal="center" vertical="center" wrapText="1"/>
    </xf>
    <xf numFmtId="3" fontId="3" fillId="7" borderId="0" xfId="0" applyNumberFormat="1" applyFont="1" applyFill="1" applyAlignment="1">
      <alignment horizontal="left" vertical="center" wrapText="1"/>
    </xf>
    <xf numFmtId="3" fontId="0" fillId="3" borderId="0" xfId="0" applyNumberFormat="1" applyFill="1" applyAlignment="1">
      <alignment horizontal="center" vertical="center" wrapText="1"/>
    </xf>
    <xf numFmtId="3" fontId="0" fillId="4" borderId="0" xfId="0" applyNumberFormat="1" applyFill="1" applyAlignment="1">
      <alignment horizontal="center" vertical="center" wrapText="1"/>
    </xf>
    <xf numFmtId="3" fontId="2" fillId="4" borderId="0" xfId="0" applyNumberFormat="1" applyFont="1" applyFill="1" applyAlignment="1">
      <alignment horizontal="center" vertical="center" wrapText="1"/>
    </xf>
    <xf numFmtId="3" fontId="0" fillId="3" borderId="0" xfId="0" applyNumberFormat="1" applyFill="1" applyAlignment="1">
      <alignment horizontal="left" vertical="center" wrapText="1"/>
    </xf>
    <xf numFmtId="165" fontId="0" fillId="3" borderId="0" xfId="0" applyNumberFormat="1" applyFill="1" applyAlignment="1">
      <alignment horizontal="center" vertical="center" wrapText="1"/>
    </xf>
    <xf numFmtId="3" fontId="2" fillId="3" borderId="0" xfId="0" applyNumberFormat="1" applyFont="1" applyFill="1" applyAlignment="1">
      <alignment horizontal="left" vertical="center" wrapText="1"/>
    </xf>
    <xf numFmtId="165" fontId="2" fillId="3" borderId="0" xfId="0" applyNumberFormat="1" applyFont="1" applyFill="1" applyAlignment="1">
      <alignment horizontal="center" vertical="center" wrapText="1"/>
    </xf>
    <xf numFmtId="3" fontId="2" fillId="3" borderId="0" xfId="0" applyNumberFormat="1" applyFont="1" applyFill="1" applyAlignment="1">
      <alignment horizontal="center" vertical="center" wrapText="1"/>
    </xf>
    <xf numFmtId="3" fontId="0" fillId="3" borderId="0" xfId="0" applyNumberFormat="1" applyFont="1" applyFill="1" applyAlignment="1">
      <alignment horizontal="left" vertical="center" wrapText="1"/>
    </xf>
    <xf numFmtId="165" fontId="0" fillId="3" borderId="0" xfId="0" applyNumberFormat="1" applyFont="1" applyFill="1" applyAlignment="1">
      <alignment horizontal="center" vertical="center" wrapText="1"/>
    </xf>
    <xf numFmtId="3" fontId="0" fillId="3" borderId="0" xfId="0" applyNumberFormat="1" applyFont="1" applyFill="1" applyAlignment="1">
      <alignment horizontal="center" vertical="center" wrapText="1"/>
    </xf>
    <xf numFmtId="4" fontId="0" fillId="3" borderId="0" xfId="0" applyNumberFormat="1" applyFont="1" applyFill="1" applyAlignment="1">
      <alignment horizontal="center" vertical="center" wrapText="1"/>
    </xf>
    <xf numFmtId="3" fontId="2" fillId="4" borderId="0" xfId="0" applyNumberFormat="1" applyFont="1" applyFill="1" applyAlignment="1">
      <alignment horizontal="left" vertical="center" wrapText="1"/>
    </xf>
    <xf numFmtId="165" fontId="2" fillId="4" borderId="0" xfId="0" applyNumberFormat="1" applyFont="1" applyFill="1" applyAlignment="1">
      <alignment horizontal="center" vertical="center" wrapText="1"/>
    </xf>
    <xf numFmtId="164" fontId="2" fillId="3" borderId="0" xfId="1" applyNumberFormat="1" applyFont="1" applyFill="1" applyAlignment="1">
      <alignment horizontal="center" vertical="center" wrapText="1"/>
    </xf>
    <xf numFmtId="164" fontId="0" fillId="3" borderId="0" xfId="1" applyNumberFormat="1" applyFont="1" applyFill="1" applyAlignment="1">
      <alignment horizontal="center" vertical="center" wrapText="1"/>
    </xf>
    <xf numFmtId="3" fontId="4" fillId="3" borderId="0" xfId="0" applyNumberFormat="1" applyFont="1" applyFill="1" applyAlignment="1">
      <alignment horizontal="left" vertical="center" wrapText="1"/>
    </xf>
    <xf numFmtId="3" fontId="2" fillId="2" borderId="0" xfId="0" applyNumberFormat="1" applyFont="1" applyFill="1" applyAlignment="1">
      <alignment horizontal="center" vertical="center" wrapText="1"/>
    </xf>
    <xf numFmtId="4" fontId="2" fillId="3" borderId="0" xfId="0" applyNumberFormat="1" applyFont="1" applyFill="1" applyAlignment="1">
      <alignment horizontal="center" vertical="center" wrapText="1"/>
    </xf>
    <xf numFmtId="4" fontId="0" fillId="3" borderId="0" xfId="0" applyNumberFormat="1" applyFill="1" applyAlignment="1">
      <alignment horizontal="center" vertical="center" wrapText="1"/>
    </xf>
    <xf numFmtId="167" fontId="2" fillId="3" borderId="0" xfId="0" applyNumberFormat="1" applyFont="1" applyFill="1" applyAlignment="1">
      <alignment horizontal="center" vertical="center" wrapText="1"/>
    </xf>
    <xf numFmtId="167" fontId="0" fillId="6" borderId="0" xfId="0" applyNumberFormat="1" applyFill="1" applyAlignment="1">
      <alignment horizontal="center" vertical="center" wrapText="1"/>
    </xf>
    <xf numFmtId="167" fontId="0" fillId="3" borderId="0" xfId="0" applyNumberFormat="1" applyFill="1" applyAlignment="1">
      <alignment horizontal="center" vertical="center" wrapText="1"/>
    </xf>
    <xf numFmtId="168" fontId="2" fillId="4" borderId="0" xfId="0" applyNumberFormat="1" applyFont="1" applyFill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left" vertical="center" wrapText="1"/>
    </xf>
    <xf numFmtId="3" fontId="0" fillId="3" borderId="2" xfId="0" applyNumberFormat="1" applyFill="1" applyBorder="1" applyAlignment="1">
      <alignment horizontal="center" vertical="center" wrapText="1"/>
    </xf>
    <xf numFmtId="3" fontId="0" fillId="3" borderId="3" xfId="0" applyNumberFormat="1" applyFill="1" applyBorder="1" applyAlignment="1">
      <alignment horizontal="left" vertical="center" wrapText="1"/>
    </xf>
    <xf numFmtId="3" fontId="0" fillId="3" borderId="4" xfId="0" applyNumberFormat="1" applyFill="1" applyBorder="1" applyAlignment="1">
      <alignment horizontal="center" vertical="center" wrapText="1"/>
    </xf>
    <xf numFmtId="3" fontId="0" fillId="3" borderId="5" xfId="0" applyNumberFormat="1" applyFill="1" applyBorder="1" applyAlignment="1">
      <alignment horizontal="left" vertical="center" wrapText="1"/>
    </xf>
    <xf numFmtId="3" fontId="4" fillId="3" borderId="3" xfId="0" applyNumberFormat="1" applyFont="1" applyFill="1" applyBorder="1" applyAlignment="1">
      <alignment horizontal="left" vertical="center" wrapText="1"/>
    </xf>
    <xf numFmtId="167" fontId="0" fillId="3" borderId="4" xfId="0" applyNumberForma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left" vertical="center" wrapText="1"/>
    </xf>
    <xf numFmtId="3" fontId="0" fillId="3" borderId="1" xfId="0" applyNumberFormat="1" applyFill="1" applyBorder="1" applyAlignment="1">
      <alignment horizontal="left" vertical="center" wrapText="1"/>
    </xf>
    <xf numFmtId="3" fontId="2" fillId="8" borderId="3" xfId="0" applyNumberFormat="1" applyFont="1" applyFill="1" applyBorder="1" applyAlignment="1">
      <alignment horizontal="left" vertical="center" wrapText="1"/>
    </xf>
    <xf numFmtId="3" fontId="2" fillId="8" borderId="5" xfId="0" applyNumberFormat="1" applyFont="1" applyFill="1" applyBorder="1" applyAlignment="1">
      <alignment horizontal="left" vertical="center" wrapText="1"/>
    </xf>
    <xf numFmtId="3" fontId="4" fillId="8" borderId="0" xfId="0" applyNumberFormat="1" applyFont="1" applyFill="1" applyAlignment="1">
      <alignment horizontal="left" vertical="center" wrapText="1"/>
    </xf>
    <xf numFmtId="3" fontId="0" fillId="8" borderId="0" xfId="0" applyNumberFormat="1" applyFill="1" applyAlignment="1">
      <alignment horizontal="center" vertical="center" wrapText="1"/>
    </xf>
    <xf numFmtId="3" fontId="0" fillId="8" borderId="0" xfId="0" applyNumberFormat="1" applyFill="1" applyAlignment="1">
      <alignment horizontal="left" vertical="center" wrapText="1"/>
    </xf>
    <xf numFmtId="4" fontId="0" fillId="8" borderId="0" xfId="0" applyNumberFormat="1" applyFill="1" applyAlignment="1">
      <alignment horizontal="center" vertical="center" wrapText="1"/>
    </xf>
    <xf numFmtId="167" fontId="0" fillId="8" borderId="0" xfId="0" applyNumberFormat="1" applyFill="1" applyAlignment="1">
      <alignment horizontal="center" vertical="center" wrapText="1"/>
    </xf>
    <xf numFmtId="3" fontId="2" fillId="8" borderId="0" xfId="0" applyNumberFormat="1" applyFont="1" applyFill="1" applyAlignment="1">
      <alignment horizontal="left" vertical="center" wrapText="1"/>
    </xf>
    <xf numFmtId="4" fontId="2" fillId="8" borderId="0" xfId="0" applyNumberFormat="1" applyFont="1" applyFill="1" applyAlignment="1">
      <alignment horizontal="center" vertical="center" wrapText="1"/>
    </xf>
    <xf numFmtId="169" fontId="0" fillId="6" borderId="4" xfId="0" applyNumberFormat="1" applyFill="1" applyBorder="1" applyAlignment="1">
      <alignment horizontal="center" vertical="center" wrapText="1"/>
    </xf>
    <xf numFmtId="3" fontId="0" fillId="6" borderId="4" xfId="0" applyNumberFormat="1" applyFill="1" applyBorder="1" applyAlignment="1">
      <alignment horizontal="center" vertical="center" wrapText="1"/>
    </xf>
    <xf numFmtId="3" fontId="0" fillId="6" borderId="6" xfId="0" applyNumberFormat="1" applyFill="1" applyBorder="1" applyAlignment="1">
      <alignment horizontal="center" vertical="center" wrapText="1"/>
    </xf>
    <xf numFmtId="4" fontId="2" fillId="8" borderId="6" xfId="0" applyNumberFormat="1" applyFont="1" applyFill="1" applyBorder="1" applyAlignment="1">
      <alignment horizontal="center" vertical="center" wrapText="1"/>
    </xf>
    <xf numFmtId="167" fontId="2" fillId="8" borderId="6" xfId="0" applyNumberFormat="1" applyFont="1" applyFill="1" applyBorder="1" applyAlignment="1">
      <alignment horizontal="center" vertical="center" wrapText="1"/>
    </xf>
    <xf numFmtId="4" fontId="0" fillId="3" borderId="4" xfId="0" applyNumberFormat="1" applyFill="1" applyBorder="1" applyAlignment="1">
      <alignment horizontal="center" vertical="center" wrapText="1"/>
    </xf>
    <xf numFmtId="4" fontId="2" fillId="8" borderId="4" xfId="0" applyNumberFormat="1" applyFont="1" applyFill="1" applyBorder="1" applyAlignment="1">
      <alignment horizontal="center" vertical="center" wrapText="1"/>
    </xf>
    <xf numFmtId="167" fontId="2" fillId="8" borderId="4" xfId="0" applyNumberFormat="1" applyFon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168" fontId="0" fillId="3" borderId="4" xfId="0" applyNumberFormat="1" applyFill="1" applyBorder="1" applyAlignment="1">
      <alignment horizontal="center" vertical="center" wrapText="1"/>
    </xf>
    <xf numFmtId="167" fontId="0" fillId="2" borderId="0" xfId="0" applyNumberFormat="1" applyFill="1" applyAlignment="1">
      <alignment horizontal="center" vertical="center" wrapText="1"/>
    </xf>
    <xf numFmtId="168" fontId="0" fillId="2" borderId="0" xfId="0" applyNumberFormat="1" applyFill="1" applyAlignment="1">
      <alignment horizontal="center" vertical="center" wrapText="1"/>
    </xf>
    <xf numFmtId="167" fontId="0" fillId="3" borderId="0" xfId="0" applyNumberFormat="1" applyFont="1" applyFill="1" applyAlignment="1">
      <alignment horizontal="center" vertical="center" wrapText="1"/>
    </xf>
    <xf numFmtId="167" fontId="0" fillId="3" borderId="0" xfId="1" applyNumberFormat="1" applyFont="1" applyFill="1" applyAlignment="1">
      <alignment horizontal="center" vertical="center" wrapText="1"/>
    </xf>
    <xf numFmtId="167" fontId="2" fillId="3" borderId="0" xfId="1" applyNumberFormat="1" applyFont="1" applyFill="1" applyAlignment="1">
      <alignment horizontal="center" vertical="center" wrapText="1"/>
    </xf>
    <xf numFmtId="167" fontId="2" fillId="4" borderId="0" xfId="0" applyNumberFormat="1" applyFont="1" applyFill="1" applyAlignment="1">
      <alignment horizontal="center" vertical="center" wrapText="1"/>
    </xf>
    <xf numFmtId="168" fontId="2" fillId="3" borderId="0" xfId="0" applyNumberFormat="1" applyFont="1" applyFill="1" applyAlignment="1">
      <alignment horizontal="center" vertical="center" wrapText="1"/>
    </xf>
    <xf numFmtId="168" fontId="0" fillId="3" borderId="0" xfId="0" applyNumberFormat="1" applyFont="1" applyFill="1" applyAlignment="1">
      <alignment horizontal="center" vertical="center" wrapText="1"/>
    </xf>
    <xf numFmtId="168" fontId="0" fillId="3" borderId="0" xfId="0" applyNumberFormat="1" applyFill="1" applyAlignment="1">
      <alignment horizontal="center" vertical="center" wrapText="1"/>
    </xf>
    <xf numFmtId="168" fontId="0" fillId="3" borderId="0" xfId="1" applyNumberFormat="1" applyFont="1" applyFill="1" applyAlignment="1">
      <alignment horizontal="center" vertical="center" wrapText="1"/>
    </xf>
    <xf numFmtId="168" fontId="2" fillId="3" borderId="0" xfId="1" applyNumberFormat="1" applyFont="1" applyFill="1" applyAlignment="1">
      <alignment horizontal="center" vertical="center" wrapText="1"/>
    </xf>
    <xf numFmtId="168" fontId="0" fillId="6" borderId="0" xfId="1" applyNumberFormat="1" applyFont="1" applyFill="1" applyAlignment="1">
      <alignment horizontal="center" vertical="center" wrapText="1"/>
    </xf>
    <xf numFmtId="3" fontId="0" fillId="2" borderId="0" xfId="0" applyNumberFormat="1" applyFill="1" applyAlignment="1">
      <alignment horizontal="left" vertical="center" wrapText="1"/>
    </xf>
    <xf numFmtId="4" fontId="0" fillId="6" borderId="0" xfId="0" applyNumberFormat="1" applyFill="1" applyAlignment="1">
      <alignment horizontal="center" vertical="center" wrapText="1"/>
    </xf>
    <xf numFmtId="171" fontId="0" fillId="2" borderId="0" xfId="0" applyNumberFormat="1" applyFill="1" applyAlignment="1">
      <alignment horizontal="center" vertical="center" wrapText="1"/>
    </xf>
    <xf numFmtId="172" fontId="0" fillId="6" borderId="0" xfId="1" applyNumberFormat="1" applyFont="1" applyFill="1" applyAlignment="1">
      <alignment horizontal="center" vertical="center" wrapText="1"/>
    </xf>
    <xf numFmtId="166" fontId="0" fillId="3" borderId="0" xfId="1" applyNumberFormat="1" applyFont="1" applyFill="1" applyAlignment="1">
      <alignment horizontal="center" vertical="center" wrapText="1"/>
    </xf>
    <xf numFmtId="166" fontId="0" fillId="3" borderId="0" xfId="0" applyNumberFormat="1" applyFont="1" applyFill="1" applyAlignment="1">
      <alignment horizontal="center" vertical="center" wrapText="1"/>
    </xf>
    <xf numFmtId="166" fontId="2" fillId="3" borderId="0" xfId="1" applyNumberFormat="1" applyFont="1" applyFill="1" applyAlignment="1">
      <alignment horizontal="center" vertical="center" wrapText="1"/>
    </xf>
    <xf numFmtId="3" fontId="4" fillId="5" borderId="0" xfId="0" applyNumberFormat="1" applyFont="1" applyFill="1" applyAlignment="1">
      <alignment horizontal="left" vertical="center" wrapText="1"/>
    </xf>
    <xf numFmtId="3" fontId="0" fillId="5" borderId="0" xfId="0" applyNumberFormat="1" applyFill="1" applyAlignment="1">
      <alignment horizontal="center" vertical="center" wrapText="1"/>
    </xf>
    <xf numFmtId="170" fontId="0" fillId="5" borderId="0" xfId="0" applyNumberFormat="1" applyFill="1" applyAlignment="1">
      <alignment horizontal="center" vertical="center" wrapText="1"/>
    </xf>
    <xf numFmtId="3" fontId="0" fillId="5" borderId="0" xfId="0" applyNumberFormat="1" applyFill="1" applyAlignment="1">
      <alignment horizontal="left" vertical="center" wrapText="1"/>
    </xf>
    <xf numFmtId="169" fontId="0" fillId="5" borderId="0" xfId="0" applyNumberFormat="1" applyFill="1" applyAlignment="1">
      <alignment horizontal="center" vertical="center" wrapText="1"/>
    </xf>
    <xf numFmtId="3" fontId="2" fillId="5" borderId="0" xfId="0" applyNumberFormat="1" applyFont="1" applyFill="1" applyAlignment="1">
      <alignment horizontal="left" vertical="center" wrapText="1"/>
    </xf>
    <xf numFmtId="170" fontId="2" fillId="5" borderId="0" xfId="0" applyNumberFormat="1" applyFont="1" applyFill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 wrapText="1"/>
    </xf>
    <xf numFmtId="3" fontId="5" fillId="3" borderId="0" xfId="0" applyNumberFormat="1" applyFont="1" applyFill="1" applyAlignment="1">
      <alignment horizontal="center" vertical="center" wrapText="1"/>
    </xf>
    <xf numFmtId="4" fontId="0" fillId="2" borderId="0" xfId="0" applyNumberFormat="1" applyFill="1" applyAlignment="1">
      <alignment horizontal="center" vertical="center" wrapText="1"/>
    </xf>
    <xf numFmtId="3" fontId="0" fillId="6" borderId="1" xfId="0" applyNumberFormat="1" applyFill="1" applyBorder="1" applyAlignment="1">
      <alignment horizontal="center" vertical="center" wrapText="1"/>
    </xf>
    <xf numFmtId="4" fontId="0" fillId="6" borderId="2" xfId="0" applyNumberFormat="1" applyFill="1" applyBorder="1" applyAlignment="1">
      <alignment horizontal="center" vertical="center" wrapText="1"/>
    </xf>
    <xf numFmtId="3" fontId="0" fillId="6" borderId="3" xfId="0" applyNumberFormat="1" applyFill="1" applyBorder="1" applyAlignment="1">
      <alignment horizontal="center" vertical="center" wrapText="1"/>
    </xf>
    <xf numFmtId="4" fontId="0" fillId="6" borderId="4" xfId="0" applyNumberFormat="1" applyFill="1" applyBorder="1" applyAlignment="1">
      <alignment horizontal="center" vertical="center" wrapText="1"/>
    </xf>
    <xf numFmtId="3" fontId="2" fillId="6" borderId="5" xfId="0" applyNumberFormat="1" applyFont="1" applyFill="1" applyBorder="1" applyAlignment="1">
      <alignment horizontal="center" vertical="center" wrapText="1"/>
    </xf>
    <xf numFmtId="4" fontId="2" fillId="6" borderId="6" xfId="0" applyNumberFormat="1" applyFont="1" applyFill="1" applyBorder="1" applyAlignment="1">
      <alignment horizontal="center" vertical="center" wrapText="1"/>
    </xf>
    <xf numFmtId="3" fontId="4" fillId="5" borderId="0" xfId="0" applyNumberFormat="1" applyFont="1" applyFill="1" applyAlignment="1">
      <alignment horizontal="left" vertical="center" wrapText="1"/>
    </xf>
    <xf numFmtId="164" fontId="0" fillId="5" borderId="2" xfId="1" applyNumberFormat="1" applyFont="1" applyFill="1" applyBorder="1" applyAlignment="1">
      <alignment horizontal="center" vertical="center" wrapText="1"/>
    </xf>
    <xf numFmtId="164" fontId="0" fillId="5" borderId="4" xfId="1" applyNumberFormat="1" applyFont="1" applyFill="1" applyBorder="1" applyAlignment="1">
      <alignment horizontal="center" vertical="center" wrapText="1"/>
    </xf>
    <xf numFmtId="3" fontId="2" fillId="5" borderId="0" xfId="0" applyNumberFormat="1" applyFont="1" applyFill="1" applyBorder="1" applyAlignment="1">
      <alignment horizontal="left" vertical="center" wrapText="1"/>
    </xf>
    <xf numFmtId="170" fontId="2" fillId="5" borderId="4" xfId="0" applyNumberFormat="1" applyFont="1" applyFill="1" applyBorder="1" applyAlignment="1">
      <alignment horizontal="center" vertical="center" wrapText="1"/>
    </xf>
    <xf numFmtId="3" fontId="2" fillId="5" borderId="10" xfId="0" applyNumberFormat="1" applyFont="1" applyFill="1" applyBorder="1" applyAlignment="1">
      <alignment horizontal="left" vertical="center" wrapText="1"/>
    </xf>
    <xf numFmtId="170" fontId="2" fillId="5" borderId="6" xfId="0" applyNumberFormat="1" applyFont="1" applyFill="1" applyBorder="1" applyAlignment="1">
      <alignment horizontal="center" vertical="center" wrapText="1"/>
    </xf>
    <xf numFmtId="3" fontId="0" fillId="5" borderId="1" xfId="0" applyNumberFormat="1" applyFill="1" applyBorder="1" applyAlignment="1">
      <alignment horizontal="left" vertical="center" wrapText="1"/>
    </xf>
    <xf numFmtId="3" fontId="0" fillId="5" borderId="9" xfId="0" applyNumberFormat="1" applyFill="1" applyBorder="1" applyAlignment="1">
      <alignment horizontal="center" vertical="center" wrapText="1"/>
    </xf>
    <xf numFmtId="10" fontId="0" fillId="5" borderId="2" xfId="1" applyNumberFormat="1" applyFont="1" applyFill="1" applyBorder="1" applyAlignment="1">
      <alignment horizontal="center" vertical="center" wrapText="1"/>
    </xf>
    <xf numFmtId="3" fontId="0" fillId="5" borderId="5" xfId="0" applyNumberFormat="1" applyFill="1" applyBorder="1" applyAlignment="1">
      <alignment horizontal="left" vertical="center" wrapText="1"/>
    </xf>
    <xf numFmtId="3" fontId="0" fillId="5" borderId="10" xfId="0" applyNumberFormat="1" applyFill="1" applyBorder="1" applyAlignment="1">
      <alignment horizontal="center" vertical="center" wrapText="1"/>
    </xf>
    <xf numFmtId="10" fontId="0" fillId="5" borderId="6" xfId="1" applyNumberFormat="1" applyFont="1" applyFill="1" applyBorder="1" applyAlignment="1">
      <alignment horizontal="center" vertical="center" wrapText="1"/>
    </xf>
    <xf numFmtId="3" fontId="0" fillId="5" borderId="2" xfId="0" applyNumberFormat="1" applyFill="1" applyBorder="1" applyAlignment="1">
      <alignment horizontal="center" vertical="center" wrapText="1"/>
    </xf>
    <xf numFmtId="3" fontId="0" fillId="5" borderId="6" xfId="0" applyNumberFormat="1" applyFill="1" applyBorder="1" applyAlignment="1">
      <alignment horizontal="center" vertical="center" wrapText="1"/>
    </xf>
    <xf numFmtId="164" fontId="0" fillId="2" borderId="0" xfId="1" applyNumberFormat="1" applyFont="1" applyFill="1" applyAlignment="1">
      <alignment horizontal="center" vertical="center" wrapText="1"/>
    </xf>
    <xf numFmtId="3" fontId="0" fillId="5" borderId="3" xfId="0" applyNumberFormat="1" applyFill="1" applyBorder="1" applyAlignment="1">
      <alignment horizontal="left" vertical="center" wrapText="1"/>
    </xf>
    <xf numFmtId="3" fontId="0" fillId="5" borderId="0" xfId="0" applyNumberFormat="1" applyFill="1" applyBorder="1" applyAlignment="1">
      <alignment horizontal="center" vertical="center" wrapText="1"/>
    </xf>
    <xf numFmtId="3" fontId="0" fillId="5" borderId="4" xfId="0" applyNumberFormat="1" applyFill="1" applyBorder="1" applyAlignment="1">
      <alignment horizontal="center" vertical="center" wrapText="1"/>
    </xf>
    <xf numFmtId="3" fontId="2" fillId="5" borderId="3" xfId="0" applyNumberFormat="1" applyFont="1" applyFill="1" applyBorder="1" applyAlignment="1">
      <alignment horizontal="left" vertical="center" wrapText="1"/>
    </xf>
    <xf numFmtId="3" fontId="2" fillId="5" borderId="0" xfId="0" applyNumberFormat="1" applyFont="1" applyFill="1" applyBorder="1" applyAlignment="1">
      <alignment horizontal="center" vertical="center" wrapText="1"/>
    </xf>
    <xf numFmtId="3" fontId="2" fillId="5" borderId="4" xfId="0" applyNumberFormat="1" applyFont="1" applyFill="1" applyBorder="1" applyAlignment="1">
      <alignment horizontal="center" vertical="center" wrapText="1"/>
    </xf>
    <xf numFmtId="3" fontId="0" fillId="5" borderId="3" xfId="0" applyNumberFormat="1" applyFont="1" applyFill="1" applyBorder="1" applyAlignment="1">
      <alignment horizontal="left" vertical="center" wrapText="1"/>
    </xf>
    <xf numFmtId="3" fontId="0" fillId="5" borderId="0" xfId="0" applyNumberFormat="1" applyFont="1" applyFill="1" applyBorder="1" applyAlignment="1">
      <alignment horizontal="center" vertical="center" wrapText="1"/>
    </xf>
    <xf numFmtId="3" fontId="0" fillId="5" borderId="4" xfId="0" applyNumberFormat="1" applyFont="1" applyFill="1" applyBorder="1" applyAlignment="1">
      <alignment horizontal="center" vertical="center" wrapText="1"/>
    </xf>
    <xf numFmtId="3" fontId="2" fillId="5" borderId="5" xfId="0" applyNumberFormat="1" applyFont="1" applyFill="1" applyBorder="1" applyAlignment="1">
      <alignment horizontal="left" vertical="center" wrapText="1"/>
    </xf>
    <xf numFmtId="3" fontId="2" fillId="5" borderId="10" xfId="0" applyNumberFormat="1" applyFont="1" applyFill="1" applyBorder="1" applyAlignment="1">
      <alignment horizontal="center" vertical="center" wrapText="1"/>
    </xf>
    <xf numFmtId="3" fontId="2" fillId="5" borderId="6" xfId="0" applyNumberFormat="1" applyFont="1" applyFill="1" applyBorder="1" applyAlignment="1">
      <alignment horizontal="center" vertical="center" wrapText="1"/>
    </xf>
    <xf numFmtId="4" fontId="0" fillId="5" borderId="0" xfId="0" applyNumberFormat="1" applyFill="1" applyAlignment="1">
      <alignment horizontal="center" vertical="center" wrapText="1"/>
    </xf>
    <xf numFmtId="9" fontId="0" fillId="5" borderId="0" xfId="1" applyNumberFormat="1" applyFont="1" applyFill="1" applyAlignment="1">
      <alignment horizontal="center" vertical="center" wrapText="1"/>
    </xf>
    <xf numFmtId="3" fontId="2" fillId="5" borderId="2" xfId="0" applyNumberFormat="1" applyFont="1" applyFill="1" applyBorder="1" applyAlignment="1">
      <alignment horizontal="center" vertical="center" wrapText="1"/>
    </xf>
    <xf numFmtId="3" fontId="2" fillId="8" borderId="7" xfId="0" applyNumberFormat="1" applyFont="1" applyFill="1" applyBorder="1" applyAlignment="1">
      <alignment horizontal="center" vertical="center" wrapText="1"/>
    </xf>
    <xf numFmtId="3" fontId="2" fillId="8" borderId="8" xfId="0" applyNumberFormat="1" applyFont="1" applyFill="1" applyBorder="1" applyAlignment="1">
      <alignment horizontal="center" vertical="center" wrapText="1"/>
    </xf>
    <xf numFmtId="3" fontId="2" fillId="5" borderId="3" xfId="0" applyNumberFormat="1" applyFont="1" applyFill="1" applyBorder="1" applyAlignment="1">
      <alignment horizontal="left" vertical="center" wrapText="1"/>
    </xf>
    <xf numFmtId="3" fontId="2" fillId="5" borderId="0" xfId="0" applyNumberFormat="1" applyFont="1" applyFill="1" applyBorder="1" applyAlignment="1">
      <alignment horizontal="left" vertical="center" wrapText="1"/>
    </xf>
    <xf numFmtId="3" fontId="0" fillId="5" borderId="0" xfId="0" applyNumberFormat="1" applyFill="1" applyAlignment="1">
      <alignment horizontal="left" vertical="center" wrapText="1"/>
    </xf>
    <xf numFmtId="3" fontId="2" fillId="5" borderId="1" xfId="0" applyNumberFormat="1" applyFont="1" applyFill="1" applyBorder="1" applyAlignment="1">
      <alignment horizontal="left" vertical="center" wrapText="1"/>
    </xf>
    <xf numFmtId="3" fontId="2" fillId="5" borderId="9" xfId="0" applyNumberFormat="1" applyFont="1" applyFill="1" applyBorder="1" applyAlignment="1">
      <alignment horizontal="left" vertical="center" wrapText="1"/>
    </xf>
    <xf numFmtId="10" fontId="3" fillId="6" borderId="0" xfId="1" applyNumberFormat="1" applyFont="1" applyFill="1" applyAlignment="1">
      <alignment horizontal="center" vertical="center" wrapText="1"/>
    </xf>
    <xf numFmtId="3" fontId="3" fillId="7" borderId="0" xfId="1" applyNumberFormat="1" applyFont="1" applyFill="1" applyAlignment="1">
      <alignment horizontal="center" vertical="center" wrapText="1"/>
    </xf>
    <xf numFmtId="166" fontId="3" fillId="6" borderId="0" xfId="1" applyNumberFormat="1" applyFont="1" applyFill="1" applyAlignment="1">
      <alignment horizontal="center" vertical="center" wrapText="1"/>
    </xf>
    <xf numFmtId="4" fontId="3" fillId="6" borderId="0" xfId="1" applyNumberFormat="1" applyFont="1" applyFill="1" applyAlignment="1">
      <alignment horizontal="center" vertical="center" wrapText="1"/>
    </xf>
    <xf numFmtId="3" fontId="2" fillId="5" borderId="0" xfId="0" applyNumberFormat="1" applyFont="1" applyFill="1" applyAlignment="1">
      <alignment horizontal="center" vertical="center" wrapText="1"/>
    </xf>
    <xf numFmtId="4" fontId="3" fillId="7" borderId="0" xfId="1" applyNumberFormat="1" applyFont="1" applyFill="1" applyAlignment="1">
      <alignment horizontal="center" vertical="center" wrapText="1"/>
    </xf>
    <xf numFmtId="3" fontId="3" fillId="6" borderId="0" xfId="1" applyNumberFormat="1" applyFont="1" applyFill="1" applyAlignment="1">
      <alignment horizontal="center" vertical="center" wrapText="1"/>
    </xf>
    <xf numFmtId="3" fontId="0" fillId="5" borderId="1" xfId="0" applyNumberFormat="1" applyFill="1" applyBorder="1" applyAlignment="1">
      <alignment horizontal="left" vertical="center" wrapText="1"/>
    </xf>
    <xf numFmtId="3" fontId="0" fillId="5" borderId="9" xfId="0" applyNumberFormat="1" applyFill="1" applyBorder="1" applyAlignment="1">
      <alignment horizontal="left" vertical="center" wrapText="1"/>
    </xf>
    <xf numFmtId="3" fontId="0" fillId="5" borderId="3" xfId="0" applyNumberFormat="1" applyFill="1" applyBorder="1" applyAlignment="1">
      <alignment horizontal="left" vertical="center" wrapText="1"/>
    </xf>
    <xf numFmtId="3" fontId="0" fillId="5" borderId="0" xfId="0" applyNumberFormat="1" applyFill="1" applyBorder="1" applyAlignment="1">
      <alignment horizontal="left" vertical="center" wrapText="1"/>
    </xf>
    <xf numFmtId="3" fontId="2" fillId="5" borderId="5" xfId="0" applyNumberFormat="1" applyFont="1" applyFill="1" applyBorder="1" applyAlignment="1">
      <alignment horizontal="left" vertical="center" wrapText="1"/>
    </xf>
    <xf numFmtId="3" fontId="2" fillId="5" borderId="10" xfId="0" applyNumberFormat="1" applyFont="1" applyFill="1" applyBorder="1" applyAlignment="1">
      <alignment horizontal="left" vertical="center" wrapText="1"/>
    </xf>
    <xf numFmtId="3" fontId="4" fillId="5" borderId="0" xfId="0" applyNumberFormat="1" applyFont="1" applyFill="1" applyAlignment="1">
      <alignment horizontal="left" vertical="center" wrapText="1"/>
    </xf>
    <xf numFmtId="3" fontId="2" fillId="2" borderId="0" xfId="0" applyNumberFormat="1" applyFont="1" applyFill="1" applyAlignment="1">
      <alignment horizontal="left" vertical="center" wrapText="1"/>
    </xf>
    <xf numFmtId="169" fontId="0" fillId="2" borderId="0" xfId="0" applyNumberFormat="1" applyFill="1" applyAlignment="1">
      <alignment horizontal="center" vertical="center" wrapText="1"/>
    </xf>
    <xf numFmtId="167" fontId="2" fillId="2" borderId="0" xfId="0" applyNumberFormat="1" applyFont="1" applyFill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4"/>
  <sheetViews>
    <sheetView workbookViewId="0">
      <selection activeCell="C43" sqref="B41:C43"/>
    </sheetView>
  </sheetViews>
  <sheetFormatPr defaultRowHeight="15" x14ac:dyDescent="0.25"/>
  <cols>
    <col min="1" max="1" width="9.140625" style="1"/>
    <col min="2" max="2" width="43.85546875" style="1" bestFit="1" customWidth="1"/>
    <col min="3" max="3" width="10.140625" style="1" bestFit="1" customWidth="1"/>
    <col min="4" max="4" width="2.28515625" style="1" customWidth="1"/>
    <col min="5" max="5" width="43.85546875" style="1" bestFit="1" customWidth="1"/>
    <col min="6" max="6" width="10.140625" style="1" bestFit="1" customWidth="1"/>
    <col min="7" max="7" width="2.140625" style="1" customWidth="1"/>
    <col min="8" max="8" width="43.85546875" style="1" bestFit="1" customWidth="1"/>
    <col min="9" max="9" width="9.85546875" style="1" bestFit="1" customWidth="1"/>
    <col min="10" max="11" width="6.5703125" style="1" bestFit="1" customWidth="1"/>
    <col min="12" max="16384" width="9.140625" style="1"/>
  </cols>
  <sheetData>
    <row r="2" spans="2:11" x14ac:dyDescent="0.25">
      <c r="B2" s="123" t="s">
        <v>18</v>
      </c>
      <c r="C2" s="124"/>
      <c r="E2" s="123" t="s">
        <v>50</v>
      </c>
      <c r="F2" s="124"/>
      <c r="H2" s="123" t="s">
        <v>51</v>
      </c>
      <c r="I2" s="124"/>
    </row>
    <row r="3" spans="2:11" x14ac:dyDescent="0.25">
      <c r="B3" s="28" t="s">
        <v>20</v>
      </c>
      <c r="C3" s="29"/>
      <c r="E3" s="28" t="s">
        <v>20</v>
      </c>
      <c r="F3" s="29"/>
      <c r="H3" s="28" t="s">
        <v>20</v>
      </c>
      <c r="I3" s="29"/>
    </row>
    <row r="4" spans="2:11" x14ac:dyDescent="0.25">
      <c r="B4" s="30" t="s">
        <v>21</v>
      </c>
      <c r="C4" s="31">
        <v>1500</v>
      </c>
      <c r="E4" s="30" t="s">
        <v>21</v>
      </c>
      <c r="F4" s="31">
        <v>1500</v>
      </c>
      <c r="H4" s="30" t="s">
        <v>21</v>
      </c>
      <c r="I4" s="31">
        <v>1500</v>
      </c>
    </row>
    <row r="5" spans="2:11" x14ac:dyDescent="0.25">
      <c r="B5" s="30" t="s">
        <v>22</v>
      </c>
      <c r="C5" s="31">
        <v>800</v>
      </c>
      <c r="E5" s="30" t="s">
        <v>22</v>
      </c>
      <c r="F5" s="31">
        <v>800</v>
      </c>
      <c r="H5" s="30" t="s">
        <v>22</v>
      </c>
      <c r="I5" s="31">
        <v>800</v>
      </c>
    </row>
    <row r="6" spans="2:11" x14ac:dyDescent="0.25">
      <c r="B6" s="30" t="s">
        <v>23</v>
      </c>
      <c r="C6" s="46">
        <v>44.5</v>
      </c>
      <c r="E6" s="30" t="s">
        <v>23</v>
      </c>
      <c r="F6" s="46">
        <v>45.4</v>
      </c>
      <c r="H6" s="30" t="s">
        <v>23</v>
      </c>
      <c r="I6" s="46">
        <v>54.5</v>
      </c>
    </row>
    <row r="7" spans="2:11" x14ac:dyDescent="0.25">
      <c r="B7" s="30" t="s">
        <v>24</v>
      </c>
      <c r="C7" s="46">
        <v>22.05</v>
      </c>
      <c r="E7" s="30" t="s">
        <v>24</v>
      </c>
      <c r="F7" s="46">
        <v>21.52</v>
      </c>
      <c r="H7" s="30" t="s">
        <v>24</v>
      </c>
      <c r="I7" s="46">
        <v>24.6</v>
      </c>
    </row>
    <row r="8" spans="2:11" x14ac:dyDescent="0.25">
      <c r="B8" s="30" t="s">
        <v>25</v>
      </c>
      <c r="C8" s="46">
        <f>C6*10%</f>
        <v>4.45</v>
      </c>
      <c r="E8" s="30" t="s">
        <v>25</v>
      </c>
      <c r="F8" s="46">
        <f>F6*20%</f>
        <v>9.08</v>
      </c>
      <c r="H8" s="30" t="s">
        <v>25</v>
      </c>
      <c r="I8" s="46">
        <f>I6*20%</f>
        <v>10.9</v>
      </c>
    </row>
    <row r="9" spans="2:11" x14ac:dyDescent="0.25">
      <c r="B9" s="30" t="s">
        <v>26</v>
      </c>
      <c r="C9" s="47">
        <v>13500</v>
      </c>
      <c r="E9" s="30" t="s">
        <v>26</v>
      </c>
      <c r="F9" s="47">
        <f>F4*8</f>
        <v>12000</v>
      </c>
      <c r="H9" s="30" t="s">
        <v>26</v>
      </c>
      <c r="I9" s="47">
        <v>18300</v>
      </c>
      <c r="J9" s="58">
        <f>3600/I4</f>
        <v>2.4</v>
      </c>
      <c r="K9" s="1">
        <f>J9*700</f>
        <v>1680</v>
      </c>
    </row>
    <row r="10" spans="2:11" x14ac:dyDescent="0.25">
      <c r="B10" s="32" t="s">
        <v>27</v>
      </c>
      <c r="C10" s="48">
        <f>17100-C9</f>
        <v>3600</v>
      </c>
      <c r="E10" s="32" t="s">
        <v>27</v>
      </c>
      <c r="F10" s="48">
        <f>15540-F9</f>
        <v>3540</v>
      </c>
      <c r="H10" s="32" t="s">
        <v>27</v>
      </c>
      <c r="I10" s="48">
        <f>21850-I9</f>
        <v>3550</v>
      </c>
    </row>
    <row r="11" spans="2:11" x14ac:dyDescent="0.25">
      <c r="B11" s="33" t="s">
        <v>28</v>
      </c>
      <c r="C11" s="31"/>
      <c r="E11" s="33" t="s">
        <v>28</v>
      </c>
      <c r="F11" s="31"/>
      <c r="H11" s="33" t="s">
        <v>28</v>
      </c>
      <c r="I11" s="31"/>
    </row>
    <row r="12" spans="2:11" x14ac:dyDescent="0.25">
      <c r="B12" s="30" t="s">
        <v>31</v>
      </c>
      <c r="C12" s="34">
        <f>C6-C7-C8</f>
        <v>18</v>
      </c>
      <c r="E12" s="30" t="s">
        <v>31</v>
      </c>
      <c r="F12" s="56">
        <f>F6-F7-F8</f>
        <v>14.799999999999999</v>
      </c>
      <c r="H12" s="30" t="s">
        <v>31</v>
      </c>
      <c r="I12" s="56">
        <f>I6-I7-I8</f>
        <v>19</v>
      </c>
    </row>
    <row r="13" spans="2:11" x14ac:dyDescent="0.25">
      <c r="B13" s="30" t="s">
        <v>29</v>
      </c>
      <c r="C13" s="34">
        <f>SUM(C9:C10)/(C12)</f>
        <v>950</v>
      </c>
      <c r="E13" s="30" t="s">
        <v>29</v>
      </c>
      <c r="F13" s="56">
        <f>SUM(F9:F10)/(F12)</f>
        <v>1050</v>
      </c>
      <c r="H13" s="30" t="s">
        <v>29</v>
      </c>
      <c r="I13" s="51">
        <f>SUM(I9:I10)/(I12)</f>
        <v>1150</v>
      </c>
      <c r="K13" s="1">
        <f>I12*1150</f>
        <v>21850</v>
      </c>
    </row>
    <row r="14" spans="2:11" x14ac:dyDescent="0.25">
      <c r="B14" s="30" t="s">
        <v>30</v>
      </c>
      <c r="C14" s="34">
        <f>C5-C13</f>
        <v>-150</v>
      </c>
      <c r="E14" s="30" t="s">
        <v>30</v>
      </c>
      <c r="F14" s="56">
        <f>F5-F13</f>
        <v>-250</v>
      </c>
      <c r="H14" s="30" t="s">
        <v>30</v>
      </c>
      <c r="I14" s="56">
        <f>I5-I13</f>
        <v>-350</v>
      </c>
    </row>
    <row r="15" spans="2:11" x14ac:dyDescent="0.25">
      <c r="B15" s="37" t="s">
        <v>32</v>
      </c>
      <c r="C15" s="53">
        <f>C14*C12</f>
        <v>-2700</v>
      </c>
      <c r="E15" s="37" t="s">
        <v>32</v>
      </c>
      <c r="F15" s="52">
        <f>F14*F12</f>
        <v>-3699.9999999999995</v>
      </c>
      <c r="H15" s="37" t="s">
        <v>32</v>
      </c>
      <c r="I15" s="52">
        <f>I14*I12</f>
        <v>-6650</v>
      </c>
    </row>
    <row r="16" spans="2:11" x14ac:dyDescent="0.25">
      <c r="B16" s="38" t="s">
        <v>33</v>
      </c>
      <c r="C16" s="50">
        <f>C7*(C4-C5)</f>
        <v>15435</v>
      </c>
      <c r="E16" s="38" t="s">
        <v>33</v>
      </c>
      <c r="F16" s="49">
        <f>F7*(F4-F5)</f>
        <v>15064</v>
      </c>
      <c r="H16" s="38" t="s">
        <v>33</v>
      </c>
      <c r="I16" s="49">
        <f>I7*(I4-I5)</f>
        <v>17220</v>
      </c>
    </row>
    <row r="17" spans="2:9" x14ac:dyDescent="0.25">
      <c r="B17" s="36" t="s">
        <v>34</v>
      </c>
      <c r="C17" s="54">
        <f>C9+C7*C4</f>
        <v>46575</v>
      </c>
      <c r="E17" s="36" t="s">
        <v>34</v>
      </c>
      <c r="F17" s="54">
        <f>F9+F7*F4</f>
        <v>44280</v>
      </c>
      <c r="H17" s="36" t="s">
        <v>34</v>
      </c>
      <c r="I17" s="54">
        <f>I9+I7*I4</f>
        <v>55200</v>
      </c>
    </row>
    <row r="18" spans="2:9" x14ac:dyDescent="0.25">
      <c r="B18" s="30" t="s">
        <v>35</v>
      </c>
      <c r="C18" s="51">
        <f>C17/C4</f>
        <v>31.05</v>
      </c>
      <c r="E18" s="30" t="s">
        <v>35</v>
      </c>
      <c r="F18" s="51">
        <f>F17/F4</f>
        <v>29.52</v>
      </c>
      <c r="H18" s="30" t="s">
        <v>35</v>
      </c>
      <c r="I18" s="51">
        <f>I17/I4</f>
        <v>36.799999999999997</v>
      </c>
    </row>
    <row r="19" spans="2:9" x14ac:dyDescent="0.25">
      <c r="B19" s="30" t="s">
        <v>36</v>
      </c>
      <c r="C19" s="51">
        <f>C18*C5</f>
        <v>24840</v>
      </c>
      <c r="E19" s="30" t="s">
        <v>36</v>
      </c>
      <c r="F19" s="51">
        <f>F18*F5</f>
        <v>23616</v>
      </c>
      <c r="H19" s="30" t="s">
        <v>36</v>
      </c>
      <c r="I19" s="51">
        <f>I18*I5</f>
        <v>29439.999999999996</v>
      </c>
    </row>
    <row r="20" spans="2:9" x14ac:dyDescent="0.25">
      <c r="B20" s="33" t="s">
        <v>39</v>
      </c>
      <c r="C20" s="51"/>
      <c r="E20" s="33" t="s">
        <v>39</v>
      </c>
      <c r="F20" s="51"/>
      <c r="H20" s="33" t="s">
        <v>39</v>
      </c>
      <c r="I20" s="51"/>
    </row>
    <row r="21" spans="2:9" x14ac:dyDescent="0.25">
      <c r="B21" s="35" t="s">
        <v>3</v>
      </c>
      <c r="C21" s="55">
        <f>C6*C5</f>
        <v>35600</v>
      </c>
      <c r="E21" s="35" t="s">
        <v>3</v>
      </c>
      <c r="F21" s="55">
        <f>F6*F5</f>
        <v>36320</v>
      </c>
      <c r="H21" s="35" t="s">
        <v>3</v>
      </c>
      <c r="I21" s="55">
        <f>I6*I5</f>
        <v>43600</v>
      </c>
    </row>
    <row r="22" spans="2:9" x14ac:dyDescent="0.25">
      <c r="B22" s="30" t="s">
        <v>40</v>
      </c>
      <c r="C22" s="51">
        <f>-C19</f>
        <v>-24840</v>
      </c>
      <c r="E22" s="30" t="s">
        <v>40</v>
      </c>
      <c r="F22" s="51">
        <f>-F19</f>
        <v>-23616</v>
      </c>
      <c r="H22" s="30" t="s">
        <v>40</v>
      </c>
      <c r="I22" s="51">
        <f>-I19</f>
        <v>-29439.999999999996</v>
      </c>
    </row>
    <row r="23" spans="2:9" x14ac:dyDescent="0.25">
      <c r="B23" s="35" t="s">
        <v>41</v>
      </c>
      <c r="C23" s="55">
        <f>SUM(C21:C22)</f>
        <v>10760</v>
      </c>
      <c r="E23" s="35" t="s">
        <v>41</v>
      </c>
      <c r="F23" s="55">
        <f>SUM(F21:F22)</f>
        <v>12704</v>
      </c>
      <c r="H23" s="35" t="s">
        <v>41</v>
      </c>
      <c r="I23" s="55">
        <f>SUM(I21:I22)</f>
        <v>14160.000000000004</v>
      </c>
    </row>
    <row r="24" spans="2:9" x14ac:dyDescent="0.25">
      <c r="B24" s="30" t="s">
        <v>42</v>
      </c>
      <c r="C24" s="51">
        <f>-C8*C5</f>
        <v>-3560</v>
      </c>
      <c r="E24" s="30" t="s">
        <v>42</v>
      </c>
      <c r="F24" s="51">
        <f>-F8*F5</f>
        <v>-7264</v>
      </c>
      <c r="H24" s="30" t="s">
        <v>42</v>
      </c>
      <c r="I24" s="51">
        <f>-I8*I5</f>
        <v>-8720</v>
      </c>
    </row>
    <row r="25" spans="2:9" x14ac:dyDescent="0.25">
      <c r="B25" s="30" t="s">
        <v>43</v>
      </c>
      <c r="C25" s="51">
        <f>-C10</f>
        <v>-3600</v>
      </c>
      <c r="E25" s="30" t="s">
        <v>43</v>
      </c>
      <c r="F25" s="51">
        <f>-F10</f>
        <v>-3540</v>
      </c>
      <c r="H25" s="30" t="s">
        <v>43</v>
      </c>
      <c r="I25" s="51">
        <f>-I10</f>
        <v>-3550</v>
      </c>
    </row>
    <row r="26" spans="2:9" x14ac:dyDescent="0.25">
      <c r="B26" s="37" t="s">
        <v>44</v>
      </c>
      <c r="C26" s="52">
        <f>SUM(C23:C25)</f>
        <v>3600</v>
      </c>
      <c r="E26" s="37" t="s">
        <v>44</v>
      </c>
      <c r="F26" s="52">
        <f>SUM(F23:F25)</f>
        <v>1900</v>
      </c>
      <c r="H26" s="37" t="s">
        <v>44</v>
      </c>
      <c r="I26" s="52">
        <f>SUM(I23:I25)</f>
        <v>1890.0000000000036</v>
      </c>
    </row>
    <row r="27" spans="2:9" x14ac:dyDescent="0.25">
      <c r="B27" s="38" t="s">
        <v>45</v>
      </c>
      <c r="C27" s="49">
        <f>C18*(C4-C5)</f>
        <v>21735</v>
      </c>
      <c r="E27" s="38" t="s">
        <v>45</v>
      </c>
      <c r="F27" s="49">
        <f>F18*(F4-F5)</f>
        <v>20664</v>
      </c>
      <c r="H27" s="38" t="s">
        <v>45</v>
      </c>
      <c r="I27" s="49">
        <f>I18*(I4-I5)</f>
        <v>25759.999999999996</v>
      </c>
    </row>
    <row r="29" spans="2:9" x14ac:dyDescent="0.25">
      <c r="B29" s="39" t="s">
        <v>37</v>
      </c>
      <c r="C29" s="40"/>
      <c r="E29" s="39" t="s">
        <v>37</v>
      </c>
      <c r="F29" s="40"/>
      <c r="H29" s="39" t="s">
        <v>37</v>
      </c>
      <c r="I29" s="40"/>
    </row>
    <row r="30" spans="2:9" x14ac:dyDescent="0.25">
      <c r="B30" s="41" t="s">
        <v>38</v>
      </c>
      <c r="C30" s="42">
        <f>C26-C15</f>
        <v>6300</v>
      </c>
      <c r="E30" s="41" t="s">
        <v>38</v>
      </c>
      <c r="F30" s="42">
        <f>F26-F15</f>
        <v>5600</v>
      </c>
      <c r="H30" s="41" t="s">
        <v>38</v>
      </c>
      <c r="I30" s="42">
        <f>I26-I15</f>
        <v>8540.0000000000036</v>
      </c>
    </row>
    <row r="31" spans="2:9" x14ac:dyDescent="0.25">
      <c r="B31" s="41" t="s">
        <v>46</v>
      </c>
      <c r="C31" s="42">
        <f>C27-C16</f>
        <v>6300</v>
      </c>
      <c r="E31" s="41" t="s">
        <v>46</v>
      </c>
      <c r="F31" s="42">
        <f>F27-F16</f>
        <v>5600</v>
      </c>
      <c r="H31" s="41" t="s">
        <v>46</v>
      </c>
      <c r="I31" s="42">
        <f>I27-I16</f>
        <v>8539.9999999999964</v>
      </c>
    </row>
    <row r="33" spans="2:9" x14ac:dyDescent="0.25">
      <c r="B33" s="39" t="s">
        <v>47</v>
      </c>
      <c r="C33" s="43"/>
      <c r="E33" s="39" t="s">
        <v>47</v>
      </c>
      <c r="F33" s="43"/>
      <c r="H33" s="39" t="s">
        <v>47</v>
      </c>
      <c r="I33" s="43"/>
    </row>
    <row r="34" spans="2:9" x14ac:dyDescent="0.25">
      <c r="B34" s="41" t="s">
        <v>48</v>
      </c>
      <c r="C34" s="42">
        <f>(C4-C5)*C7</f>
        <v>15435</v>
      </c>
      <c r="E34" s="41" t="s">
        <v>48</v>
      </c>
      <c r="F34" s="42">
        <f>(F4-F5)*F7</f>
        <v>15064</v>
      </c>
      <c r="H34" s="41" t="s">
        <v>48</v>
      </c>
      <c r="I34" s="42">
        <f>(I4-I5)*I7</f>
        <v>17220</v>
      </c>
    </row>
    <row r="35" spans="2:9" x14ac:dyDescent="0.25">
      <c r="B35" s="41" t="s">
        <v>49</v>
      </c>
      <c r="C35" s="42">
        <f>C9/C4*(C4-C5)</f>
        <v>6300</v>
      </c>
      <c r="E35" s="41" t="s">
        <v>49</v>
      </c>
      <c r="F35" s="42">
        <f>F9/F4*(F4-F5)</f>
        <v>5600</v>
      </c>
      <c r="H35" s="41" t="s">
        <v>49</v>
      </c>
      <c r="I35" s="42">
        <f>I9/I4*(I4-I5)</f>
        <v>8540</v>
      </c>
    </row>
    <row r="36" spans="2:9" x14ac:dyDescent="0.25">
      <c r="B36" s="44" t="s">
        <v>17</v>
      </c>
      <c r="C36" s="45">
        <f>SUM(C33:C35)</f>
        <v>21735</v>
      </c>
      <c r="E36" s="44" t="s">
        <v>17</v>
      </c>
      <c r="F36" s="45">
        <f>SUM(F33:F35)</f>
        <v>20664</v>
      </c>
      <c r="H36" s="44" t="s">
        <v>17</v>
      </c>
      <c r="I36" s="45">
        <f>SUM(I33:I35)</f>
        <v>25760</v>
      </c>
    </row>
    <row r="38" spans="2:9" x14ac:dyDescent="0.25">
      <c r="C38" s="1">
        <f>C30-C31</f>
        <v>0</v>
      </c>
      <c r="F38" s="1">
        <f>F30-F31</f>
        <v>0</v>
      </c>
      <c r="I38" s="1">
        <f>I30-I31</f>
        <v>0</v>
      </c>
    </row>
    <row r="39" spans="2:9" x14ac:dyDescent="0.25">
      <c r="C39" s="1">
        <f>C35-C31</f>
        <v>0</v>
      </c>
      <c r="F39" s="1">
        <f>F35-F31</f>
        <v>0</v>
      </c>
      <c r="I39" s="1">
        <f>I35-I31</f>
        <v>0</v>
      </c>
    </row>
    <row r="41" spans="2:9" x14ac:dyDescent="0.25">
      <c r="B41" s="86" t="s">
        <v>67</v>
      </c>
      <c r="C41" s="87">
        <f>3.5/2</f>
        <v>1.75</v>
      </c>
    </row>
    <row r="42" spans="2:9" x14ac:dyDescent="0.25">
      <c r="B42" s="88" t="s">
        <v>68</v>
      </c>
      <c r="C42" s="89"/>
    </row>
    <row r="43" spans="2:9" x14ac:dyDescent="0.25">
      <c r="B43" s="90" t="s">
        <v>17</v>
      </c>
      <c r="C43" s="91">
        <f>SUM(C41:C42)</f>
        <v>1.75</v>
      </c>
    </row>
    <row r="44" spans="2:9" x14ac:dyDescent="0.25">
      <c r="C44" s="85"/>
    </row>
  </sheetData>
  <mergeCells count="3">
    <mergeCell ref="B2:C2"/>
    <mergeCell ref="E2:F2"/>
    <mergeCell ref="H2:I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62"/>
  <sheetViews>
    <sheetView tabSelected="1" topLeftCell="A46" zoomScaleNormal="100" zoomScaleSheetLayoutView="110" workbookViewId="0">
      <selection activeCell="J62" sqref="J62"/>
    </sheetView>
  </sheetViews>
  <sheetFormatPr defaultRowHeight="15" x14ac:dyDescent="0.25"/>
  <cols>
    <col min="1" max="1" width="9.140625" style="1"/>
    <col min="2" max="2" width="28.42578125" style="1" bestFit="1" customWidth="1"/>
    <col min="3" max="3" width="8.140625" style="1" bestFit="1" customWidth="1"/>
    <col min="4" max="4" width="16.7109375" style="1" bestFit="1" customWidth="1"/>
    <col min="5" max="5" width="2.42578125" style="1" customWidth="1"/>
    <col min="6" max="6" width="8.140625" style="1" bestFit="1" customWidth="1"/>
    <col min="7" max="7" width="15.5703125" style="1" bestFit="1" customWidth="1"/>
    <col min="8" max="8" width="9.28515625" style="1" bestFit="1" customWidth="1"/>
    <col min="9" max="9" width="28.42578125" style="1" bestFit="1" customWidth="1"/>
    <col min="10" max="10" width="8.140625" style="1" bestFit="1" customWidth="1"/>
    <col min="11" max="11" width="13.140625" style="1" bestFit="1" customWidth="1"/>
    <col min="12" max="12" width="1.28515625" style="1" customWidth="1"/>
    <col min="13" max="13" width="8.140625" style="1" bestFit="1" customWidth="1"/>
    <col min="14" max="14" width="14.28515625" style="1" bestFit="1" customWidth="1"/>
    <col min="15" max="16384" width="9.140625" style="1"/>
  </cols>
  <sheetData>
    <row r="3" spans="2:15" x14ac:dyDescent="0.25">
      <c r="B3" s="134" t="s">
        <v>18</v>
      </c>
      <c r="C3" s="134"/>
      <c r="D3" s="134"/>
      <c r="E3" s="134"/>
      <c r="F3" s="134"/>
      <c r="G3" s="134"/>
      <c r="I3" s="134" t="s">
        <v>19</v>
      </c>
      <c r="J3" s="134"/>
      <c r="K3" s="134"/>
      <c r="L3" s="134"/>
      <c r="M3" s="134"/>
      <c r="N3" s="134"/>
    </row>
    <row r="4" spans="2:15" x14ac:dyDescent="0.25">
      <c r="B4" s="3" t="s">
        <v>7</v>
      </c>
      <c r="C4" s="130">
        <v>0.3</v>
      </c>
      <c r="D4" s="130"/>
      <c r="F4" s="132">
        <f>F5/(365*100)</f>
        <v>0.36</v>
      </c>
      <c r="G4" s="132"/>
      <c r="I4" s="3" t="s">
        <v>7</v>
      </c>
      <c r="J4" s="130">
        <v>0.25</v>
      </c>
      <c r="K4" s="130"/>
      <c r="M4" s="132">
        <f>M5/(365*100)</f>
        <v>0.3125</v>
      </c>
      <c r="N4" s="132"/>
    </row>
    <row r="5" spans="2:15" x14ac:dyDescent="0.25">
      <c r="B5" s="3" t="s">
        <v>0</v>
      </c>
      <c r="C5" s="131">
        <f>365*100*C4</f>
        <v>10950</v>
      </c>
      <c r="D5" s="131"/>
      <c r="F5" s="133">
        <f>C5*(1+20%)</f>
        <v>13140</v>
      </c>
      <c r="G5" s="133"/>
      <c r="I5" s="3" t="s">
        <v>0</v>
      </c>
      <c r="J5" s="135">
        <f>365*100*J4</f>
        <v>9125</v>
      </c>
      <c r="K5" s="135"/>
      <c r="M5" s="136">
        <f>J5*(1+25%)</f>
        <v>11406.25</v>
      </c>
      <c r="N5" s="136"/>
    </row>
    <row r="6" spans="2:15" x14ac:dyDescent="0.25">
      <c r="B6" s="5"/>
      <c r="C6" s="6" t="s">
        <v>1</v>
      </c>
      <c r="D6" s="6" t="s">
        <v>2</v>
      </c>
      <c r="F6" s="6" t="s">
        <v>1</v>
      </c>
      <c r="G6" s="6" t="s">
        <v>2</v>
      </c>
      <c r="I6" s="5"/>
      <c r="J6" s="6" t="s">
        <v>1</v>
      </c>
      <c r="K6" s="6" t="s">
        <v>2</v>
      </c>
      <c r="M6" s="6" t="s">
        <v>1</v>
      </c>
      <c r="N6" s="6" t="s">
        <v>2</v>
      </c>
    </row>
    <row r="7" spans="2:15" x14ac:dyDescent="0.25">
      <c r="B7" s="9" t="s">
        <v>3</v>
      </c>
      <c r="C7" s="24">
        <v>250</v>
      </c>
      <c r="D7" s="22">
        <f>C7*$C$5</f>
        <v>2737500</v>
      </c>
      <c r="F7" s="24">
        <f>C7*(1-10%)</f>
        <v>225</v>
      </c>
      <c r="G7" s="63">
        <f>F7*$F$5</f>
        <v>2956500</v>
      </c>
      <c r="I7" s="9" t="s">
        <v>3</v>
      </c>
      <c r="J7" s="24">
        <v>250</v>
      </c>
      <c r="K7" s="22">
        <f>J7*$J$5</f>
        <v>2281250</v>
      </c>
      <c r="M7" s="24">
        <f>J7*(1-10%)</f>
        <v>225</v>
      </c>
      <c r="N7" s="24">
        <f>M7*$F$5</f>
        <v>2956500</v>
      </c>
    </row>
    <row r="8" spans="2:15" x14ac:dyDescent="0.25">
      <c r="B8" s="7" t="s">
        <v>8</v>
      </c>
      <c r="C8" s="25">
        <v>-51.2</v>
      </c>
      <c r="D8" s="23">
        <f>C8*$C$5</f>
        <v>-560640</v>
      </c>
      <c r="F8" s="25">
        <f>C8</f>
        <v>-51.2</v>
      </c>
      <c r="G8" s="64">
        <f>F8*$F$5</f>
        <v>-672768</v>
      </c>
      <c r="I8" s="7" t="s">
        <v>8</v>
      </c>
      <c r="J8" s="25">
        <v>-52.1</v>
      </c>
      <c r="K8" s="23">
        <f>J8*$J$5</f>
        <v>-475412.5</v>
      </c>
      <c r="M8" s="25">
        <f>J8</f>
        <v>-52.1</v>
      </c>
      <c r="N8" s="59">
        <f>M8*$F$5</f>
        <v>-684594</v>
      </c>
    </row>
    <row r="9" spans="2:15" x14ac:dyDescent="0.25">
      <c r="B9" s="9" t="s">
        <v>4</v>
      </c>
      <c r="C9" s="24">
        <f>SUM(C7:C8)</f>
        <v>198.8</v>
      </c>
      <c r="D9" s="22">
        <f>SUM(D7:D8)</f>
        <v>2176860</v>
      </c>
      <c r="F9" s="24">
        <f>SUM(F7:F8)</f>
        <v>173.8</v>
      </c>
      <c r="G9" s="63">
        <f>SUM(G7:G8)</f>
        <v>2283732</v>
      </c>
      <c r="I9" s="9" t="s">
        <v>4</v>
      </c>
      <c r="J9" s="24">
        <f>SUM(J7:J8)</f>
        <v>197.9</v>
      </c>
      <c r="K9" s="22">
        <f>SUM(K7:K8)</f>
        <v>1805837.5</v>
      </c>
      <c r="M9" s="24">
        <f>SUM(M7:M8)</f>
        <v>172.9</v>
      </c>
      <c r="N9" s="24">
        <f>SUM(N7:N8)</f>
        <v>2271906</v>
      </c>
    </row>
    <row r="10" spans="2:15" x14ac:dyDescent="0.25">
      <c r="B10" s="7" t="s">
        <v>6</v>
      </c>
      <c r="C10" s="26"/>
      <c r="D10" s="70">
        <f>-C5*134</f>
        <v>-1467300</v>
      </c>
      <c r="F10" s="8"/>
      <c r="G10" s="65">
        <f>D10</f>
        <v>-1467300</v>
      </c>
      <c r="I10" s="7" t="s">
        <v>6</v>
      </c>
      <c r="J10" s="26"/>
      <c r="K10" s="70">
        <f>-J5*149</f>
        <v>-1359625</v>
      </c>
      <c r="M10" s="8"/>
      <c r="N10" s="26">
        <f>K10</f>
        <v>-1359625</v>
      </c>
    </row>
    <row r="11" spans="2:15" x14ac:dyDescent="0.25">
      <c r="B11" s="9" t="s">
        <v>5</v>
      </c>
      <c r="C11" s="10"/>
      <c r="D11" s="22">
        <f>SUM(D9:D10)</f>
        <v>709560</v>
      </c>
      <c r="F11" s="10"/>
      <c r="G11" s="63">
        <f>SUM(G9:G10)</f>
        <v>816432</v>
      </c>
      <c r="I11" s="9" t="s">
        <v>5</v>
      </c>
      <c r="J11" s="10"/>
      <c r="K11" s="22">
        <f>SUM(K9:K10)</f>
        <v>446212.5</v>
      </c>
      <c r="M11" s="10"/>
      <c r="N11" s="24">
        <f>SUM(N9:N10)</f>
        <v>912281</v>
      </c>
    </row>
    <row r="12" spans="2:15" x14ac:dyDescent="0.25">
      <c r="B12" s="7" t="s">
        <v>9</v>
      </c>
      <c r="C12" s="4"/>
      <c r="D12" s="70">
        <f>-D11*40%</f>
        <v>-283824</v>
      </c>
      <c r="F12" s="4"/>
      <c r="G12" s="70">
        <f>-G11*40%</f>
        <v>-326572.80000000005</v>
      </c>
      <c r="H12" s="107">
        <f>-D12/D11</f>
        <v>0.4</v>
      </c>
      <c r="I12" s="7" t="s">
        <v>9</v>
      </c>
      <c r="J12" s="4"/>
      <c r="K12" s="70">
        <f>-K11*20%</f>
        <v>-89242.5</v>
      </c>
      <c r="M12" s="4"/>
      <c r="N12" s="70">
        <f>-N11*20%</f>
        <v>-182456.2</v>
      </c>
      <c r="O12" s="107">
        <f>-K12/K11</f>
        <v>0.2</v>
      </c>
    </row>
    <row r="13" spans="2:15" x14ac:dyDescent="0.25">
      <c r="B13" s="9" t="s">
        <v>10</v>
      </c>
      <c r="C13" s="10"/>
      <c r="D13" s="22">
        <f>SUM(D11:D12)</f>
        <v>425736</v>
      </c>
      <c r="F13" s="10"/>
      <c r="G13" s="63">
        <f>SUM(G11:G12)</f>
        <v>489859.19999999995</v>
      </c>
      <c r="I13" s="9" t="s">
        <v>10</v>
      </c>
      <c r="J13" s="10"/>
      <c r="K13" s="11">
        <f>SUM(K11:K12)</f>
        <v>356970</v>
      </c>
      <c r="M13" s="10"/>
      <c r="N13" s="24">
        <f>SUM(N11:N12)</f>
        <v>729824.8</v>
      </c>
    </row>
    <row r="14" spans="2:15" x14ac:dyDescent="0.25">
      <c r="G14" s="58"/>
      <c r="N14" s="57"/>
    </row>
    <row r="15" spans="2:15" x14ac:dyDescent="0.25">
      <c r="B15" s="20" t="s">
        <v>11</v>
      </c>
      <c r="C15" s="13"/>
      <c r="D15" s="14"/>
      <c r="F15" s="13"/>
      <c r="G15" s="64"/>
      <c r="I15" s="20" t="s">
        <v>11</v>
      </c>
      <c r="J15" s="13"/>
      <c r="K15" s="14"/>
      <c r="M15" s="13"/>
      <c r="N15" s="59"/>
    </row>
    <row r="16" spans="2:15" x14ac:dyDescent="0.25">
      <c r="B16" s="9" t="s">
        <v>17</v>
      </c>
      <c r="C16" s="10"/>
      <c r="D16" s="11">
        <v>3000000</v>
      </c>
      <c r="E16" s="21"/>
      <c r="F16" s="10"/>
      <c r="G16" s="11">
        <v>3000000</v>
      </c>
      <c r="I16" s="9" t="s">
        <v>17</v>
      </c>
      <c r="J16" s="10"/>
      <c r="K16" s="11">
        <v>3000000</v>
      </c>
      <c r="L16" s="21"/>
      <c r="M16" s="10"/>
      <c r="N16" s="11">
        <v>3000000</v>
      </c>
    </row>
    <row r="17" spans="2:14" x14ac:dyDescent="0.25">
      <c r="G17" s="58"/>
      <c r="N17" s="57"/>
    </row>
    <row r="18" spans="2:14" x14ac:dyDescent="0.25">
      <c r="B18" s="12" t="s">
        <v>12</v>
      </c>
      <c r="C18" s="13"/>
      <c r="D18" s="73">
        <f>D13/D7</f>
        <v>0.15551999999999999</v>
      </c>
      <c r="F18" s="13"/>
      <c r="G18" s="66">
        <f>G13/G7</f>
        <v>0.16568888888888889</v>
      </c>
      <c r="I18" s="12" t="s">
        <v>12</v>
      </c>
      <c r="J18" s="13"/>
      <c r="K18" s="19">
        <f>K13/K7</f>
        <v>0.15648000000000001</v>
      </c>
      <c r="M18" s="13"/>
      <c r="N18" s="60">
        <f>N13/N7</f>
        <v>0.24685432098765434</v>
      </c>
    </row>
    <row r="19" spans="2:14" x14ac:dyDescent="0.25">
      <c r="B19" s="12" t="s">
        <v>13</v>
      </c>
      <c r="C19" s="13"/>
      <c r="D19" s="74">
        <f>D7/D16</f>
        <v>0.91249999999999998</v>
      </c>
      <c r="F19" s="13"/>
      <c r="G19" s="64">
        <f>G7/G16</f>
        <v>0.98550000000000004</v>
      </c>
      <c r="I19" s="12" t="s">
        <v>13</v>
      </c>
      <c r="J19" s="13"/>
      <c r="K19" s="15">
        <f>K7/K16</f>
        <v>0.76041666666666663</v>
      </c>
      <c r="M19" s="13"/>
      <c r="N19" s="59">
        <f>N7/N16</f>
        <v>0.98550000000000004</v>
      </c>
    </row>
    <row r="20" spans="2:14" x14ac:dyDescent="0.25">
      <c r="B20" s="9" t="s">
        <v>14</v>
      </c>
      <c r="C20" s="10"/>
      <c r="D20" s="75">
        <f>D18*D19</f>
        <v>0.14191199999999998</v>
      </c>
      <c r="F20" s="10"/>
      <c r="G20" s="67">
        <f>G18*G19</f>
        <v>0.1632864</v>
      </c>
      <c r="I20" s="9" t="s">
        <v>14</v>
      </c>
      <c r="J20" s="10"/>
      <c r="K20" s="18">
        <f>K18*K19</f>
        <v>0.11899</v>
      </c>
      <c r="M20" s="10"/>
      <c r="N20" s="61">
        <f>N18*N19</f>
        <v>0.24327493333333336</v>
      </c>
    </row>
    <row r="21" spans="2:14" x14ac:dyDescent="0.25">
      <c r="B21" s="12" t="s">
        <v>15</v>
      </c>
      <c r="C21" s="13"/>
      <c r="D21" s="72">
        <v>0.15329999999999999</v>
      </c>
      <c r="F21" s="13"/>
      <c r="G21" s="68">
        <f>D21</f>
        <v>0.15329999999999999</v>
      </c>
      <c r="I21" s="12" t="s">
        <v>15</v>
      </c>
      <c r="J21" s="13"/>
      <c r="K21" s="72">
        <v>0.136875</v>
      </c>
      <c r="M21" s="13"/>
      <c r="N21" s="72">
        <f>K21</f>
        <v>0.136875</v>
      </c>
    </row>
    <row r="22" spans="2:14" x14ac:dyDescent="0.25">
      <c r="B22" s="16" t="s">
        <v>16</v>
      </c>
      <c r="C22" s="17"/>
      <c r="D22" s="62">
        <f>(D20-D21)*D16</f>
        <v>-34164.000000000029</v>
      </c>
      <c r="F22" s="17"/>
      <c r="G22" s="27">
        <f>(G20-G21)*G16</f>
        <v>29959.200000000019</v>
      </c>
      <c r="I22" s="16" t="s">
        <v>16</v>
      </c>
      <c r="J22" s="17"/>
      <c r="K22" s="27">
        <f>(K20-K21)*K16</f>
        <v>-53654.999999999993</v>
      </c>
      <c r="M22" s="17"/>
      <c r="N22" s="62">
        <f>(N20-N21)*N16</f>
        <v>319199.8000000001</v>
      </c>
    </row>
    <row r="23" spans="2:14" x14ac:dyDescent="0.25">
      <c r="G23" s="58"/>
    </row>
    <row r="24" spans="2:14" x14ac:dyDescent="0.25">
      <c r="B24" s="92" t="s">
        <v>84</v>
      </c>
      <c r="C24" s="77"/>
      <c r="D24" s="77"/>
      <c r="G24" s="58"/>
      <c r="I24" s="92" t="s">
        <v>84</v>
      </c>
      <c r="J24" s="77"/>
      <c r="K24" s="77"/>
    </row>
    <row r="25" spans="2:14" x14ac:dyDescent="0.25">
      <c r="B25" s="127" t="s">
        <v>81</v>
      </c>
      <c r="C25" s="127"/>
      <c r="D25" s="120">
        <f>C9*(1-H12)</f>
        <v>119.28</v>
      </c>
      <c r="G25" s="58"/>
      <c r="I25" s="127" t="s">
        <v>81</v>
      </c>
      <c r="J25" s="127"/>
      <c r="K25" s="120">
        <f>J9*(1-O12)</f>
        <v>158.32000000000002</v>
      </c>
    </row>
    <row r="26" spans="2:14" x14ac:dyDescent="0.25">
      <c r="B26" s="127" t="s">
        <v>82</v>
      </c>
      <c r="C26" s="127"/>
      <c r="D26" s="77">
        <f>-D10/C9</f>
        <v>7380.7847082494964</v>
      </c>
      <c r="G26" s="58"/>
      <c r="I26" s="127" t="s">
        <v>82</v>
      </c>
      <c r="J26" s="127"/>
      <c r="K26" s="77">
        <f>-K10/J9</f>
        <v>6870.2627589691765</v>
      </c>
    </row>
    <row r="27" spans="2:14" x14ac:dyDescent="0.25">
      <c r="B27" s="127" t="s">
        <v>83</v>
      </c>
      <c r="C27" s="127"/>
      <c r="D27" s="121">
        <f>D26/(100*365)</f>
        <v>0.2022132796780684</v>
      </c>
      <c r="G27" s="58"/>
      <c r="I27" s="127" t="s">
        <v>83</v>
      </c>
      <c r="J27" s="127"/>
      <c r="K27" s="121">
        <f>K26/(100*365)</f>
        <v>0.18822637695805963</v>
      </c>
    </row>
    <row r="28" spans="2:14" x14ac:dyDescent="0.25">
      <c r="B28" s="127" t="s">
        <v>85</v>
      </c>
      <c r="C28" s="127"/>
      <c r="D28" s="77">
        <f>D16*D21/D25+D26</f>
        <v>11236.418511066397</v>
      </c>
      <c r="G28" s="58"/>
      <c r="I28" s="127" t="s">
        <v>85</v>
      </c>
      <c r="J28" s="127"/>
      <c r="K28" s="77">
        <f>K16*K21/K25+K26</f>
        <v>9463.9022233451233</v>
      </c>
    </row>
    <row r="29" spans="2:14" x14ac:dyDescent="0.25">
      <c r="B29" s="128" t="s">
        <v>86</v>
      </c>
      <c r="C29" s="129"/>
      <c r="D29" s="122">
        <f>C5-D26</f>
        <v>3569.2152917505036</v>
      </c>
      <c r="G29" s="58"/>
      <c r="I29" s="128" t="s">
        <v>86</v>
      </c>
      <c r="J29" s="129"/>
      <c r="K29" s="122">
        <f>J5-K26</f>
        <v>2254.7372410308235</v>
      </c>
    </row>
    <row r="30" spans="2:14" x14ac:dyDescent="0.25">
      <c r="B30" s="125" t="s">
        <v>87</v>
      </c>
      <c r="C30" s="126"/>
      <c r="D30" s="113">
        <f>D29*D25</f>
        <v>425736.00000000006</v>
      </c>
      <c r="F30" s="1">
        <f>D30-D13</f>
        <v>0</v>
      </c>
      <c r="G30" s="58"/>
      <c r="I30" s="125" t="s">
        <v>87</v>
      </c>
      <c r="J30" s="126"/>
      <c r="K30" s="113">
        <f>K29*K25</f>
        <v>356970</v>
      </c>
      <c r="M30" s="1">
        <f>K30-K13</f>
        <v>0</v>
      </c>
    </row>
    <row r="31" spans="2:14" x14ac:dyDescent="0.25">
      <c r="B31" s="111" t="s">
        <v>88</v>
      </c>
      <c r="C31" s="95"/>
      <c r="D31" s="113">
        <f>C5-D28</f>
        <v>-286.4185110663966</v>
      </c>
      <c r="G31" s="58"/>
      <c r="I31" s="111" t="s">
        <v>88</v>
      </c>
      <c r="J31" s="95"/>
      <c r="K31" s="113">
        <f>J5-K28</f>
        <v>-338.90222334512328</v>
      </c>
    </row>
    <row r="32" spans="2:14" x14ac:dyDescent="0.25">
      <c r="B32" s="117" t="s">
        <v>89</v>
      </c>
      <c r="C32" s="97"/>
      <c r="D32" s="119">
        <f>D31*D25</f>
        <v>-34163.999999999789</v>
      </c>
      <c r="F32" s="1">
        <f>D32-D22</f>
        <v>2.4010660126805305E-10</v>
      </c>
      <c r="G32" s="58"/>
      <c r="I32" s="117" t="s">
        <v>89</v>
      </c>
      <c r="J32" s="97"/>
      <c r="K32" s="119">
        <f>K31*K25</f>
        <v>-53654.999999999927</v>
      </c>
      <c r="M32" s="1">
        <f>K32-K22</f>
        <v>6.5483618527650833E-11</v>
      </c>
    </row>
    <row r="33" spans="2:11" x14ac:dyDescent="0.25">
      <c r="G33" s="58"/>
    </row>
    <row r="34" spans="2:11" x14ac:dyDescent="0.25">
      <c r="B34" s="76" t="s">
        <v>52</v>
      </c>
      <c r="C34" s="77"/>
      <c r="D34" s="77"/>
      <c r="I34" s="76" t="s">
        <v>52</v>
      </c>
      <c r="J34" s="77"/>
      <c r="K34" s="77"/>
    </row>
    <row r="35" spans="2:11" x14ac:dyDescent="0.25">
      <c r="B35" s="127" t="s">
        <v>53</v>
      </c>
      <c r="C35" s="127"/>
      <c r="D35" s="77">
        <f>D16*D21</f>
        <v>459900</v>
      </c>
      <c r="I35" s="127" t="s">
        <v>53</v>
      </c>
      <c r="J35" s="127"/>
      <c r="K35" s="77">
        <f>K16*K21</f>
        <v>410625</v>
      </c>
    </row>
    <row r="36" spans="2:11" x14ac:dyDescent="0.25">
      <c r="B36" s="127" t="s">
        <v>54</v>
      </c>
      <c r="C36" s="127"/>
      <c r="D36" s="78">
        <f>D35/C5</f>
        <v>42</v>
      </c>
      <c r="G36" s="57">
        <f>42/0.6</f>
        <v>70</v>
      </c>
      <c r="I36" s="127" t="s">
        <v>54</v>
      </c>
      <c r="J36" s="127"/>
      <c r="K36" s="78">
        <f>K35/J5</f>
        <v>45</v>
      </c>
    </row>
    <row r="37" spans="2:11" x14ac:dyDescent="0.25">
      <c r="B37" s="127" t="s">
        <v>55</v>
      </c>
      <c r="C37" s="127"/>
      <c r="D37" s="78">
        <f>D36/(1-40%)</f>
        <v>70</v>
      </c>
      <c r="G37" s="1">
        <f>42*10950</f>
        <v>459900</v>
      </c>
      <c r="I37" s="127" t="s">
        <v>55</v>
      </c>
      <c r="J37" s="127"/>
      <c r="K37" s="78">
        <f>K36/(1-20%)</f>
        <v>56.25</v>
      </c>
    </row>
    <row r="38" spans="2:11" x14ac:dyDescent="0.25">
      <c r="B38" s="127" t="s">
        <v>56</v>
      </c>
      <c r="C38" s="127"/>
      <c r="D38" s="78">
        <f>-D10/C5</f>
        <v>134</v>
      </c>
      <c r="G38" s="71">
        <f>G37/D16</f>
        <v>0.15329999999999999</v>
      </c>
      <c r="I38" s="127" t="s">
        <v>56</v>
      </c>
      <c r="J38" s="127"/>
      <c r="K38" s="78">
        <f>-K10/J5</f>
        <v>149</v>
      </c>
    </row>
    <row r="39" spans="2:11" x14ac:dyDescent="0.25">
      <c r="B39" s="79" t="s">
        <v>57</v>
      </c>
      <c r="C39" s="77"/>
      <c r="D39" s="80">
        <f>SUM(D37:D38)</f>
        <v>204</v>
      </c>
      <c r="I39" s="79" t="s">
        <v>57</v>
      </c>
      <c r="J39" s="77"/>
      <c r="K39" s="80">
        <f>SUM(K37:K38)</f>
        <v>205.25</v>
      </c>
    </row>
    <row r="40" spans="2:11" x14ac:dyDescent="0.25">
      <c r="B40" s="81" t="s">
        <v>52</v>
      </c>
      <c r="C40" s="2"/>
      <c r="D40" s="82">
        <f>D39-C8</f>
        <v>255.2</v>
      </c>
      <c r="I40" s="81" t="s">
        <v>52</v>
      </c>
      <c r="J40" s="2"/>
      <c r="K40" s="82">
        <f>K39-J8</f>
        <v>257.35000000000002</v>
      </c>
    </row>
    <row r="41" spans="2:11" x14ac:dyDescent="0.25">
      <c r="B41" s="69"/>
    </row>
    <row r="43" spans="2:11" x14ac:dyDescent="0.25">
      <c r="B43" s="143" t="s">
        <v>71</v>
      </c>
      <c r="C43" s="143"/>
      <c r="D43" s="143"/>
      <c r="I43" s="143" t="s">
        <v>71</v>
      </c>
      <c r="J43" s="143"/>
      <c r="K43" s="143"/>
    </row>
    <row r="44" spans="2:11" x14ac:dyDescent="0.25">
      <c r="B44" s="137" t="s">
        <v>72</v>
      </c>
      <c r="C44" s="138"/>
      <c r="D44" s="93">
        <f>F7/C7-1</f>
        <v>-9.9999999999999978E-2</v>
      </c>
      <c r="I44" s="137" t="s">
        <v>72</v>
      </c>
      <c r="J44" s="138"/>
      <c r="K44" s="93">
        <f>M7/J7-1</f>
        <v>-9.9999999999999978E-2</v>
      </c>
    </row>
    <row r="45" spans="2:11" x14ac:dyDescent="0.25">
      <c r="B45" s="139" t="s">
        <v>73</v>
      </c>
      <c r="C45" s="140"/>
      <c r="D45" s="94">
        <f>F5/C5-1</f>
        <v>0.19999999999999996</v>
      </c>
      <c r="I45" s="139" t="s">
        <v>73</v>
      </c>
      <c r="J45" s="140"/>
      <c r="K45" s="94">
        <f>M5/J5-1</f>
        <v>0.25</v>
      </c>
    </row>
    <row r="46" spans="2:11" x14ac:dyDescent="0.25">
      <c r="B46" s="125" t="s">
        <v>74</v>
      </c>
      <c r="C46" s="126"/>
      <c r="D46" s="96">
        <f>LN(1+D45)/LN(1+D44)</f>
        <v>-1.7304542945297512</v>
      </c>
      <c r="I46" s="125" t="s">
        <v>74</v>
      </c>
      <c r="J46" s="126"/>
      <c r="K46" s="96">
        <f>LN(1+K45)/LN(1+K44)</f>
        <v>-2.1179048899010815</v>
      </c>
    </row>
    <row r="47" spans="2:11" x14ac:dyDescent="0.25">
      <c r="B47" s="141" t="s">
        <v>75</v>
      </c>
      <c r="C47" s="142"/>
      <c r="D47" s="98">
        <f>D46/(1+D46)*(-C8)</f>
        <v>121.29336570874887</v>
      </c>
      <c r="I47" s="141" t="s">
        <v>75</v>
      </c>
      <c r="J47" s="142"/>
      <c r="K47" s="98">
        <f>K46/(1+K46)*(-J8)</f>
        <v>98.70503811250893</v>
      </c>
    </row>
    <row r="48" spans="2:11" x14ac:dyDescent="0.25">
      <c r="B48" s="99" t="s">
        <v>72</v>
      </c>
      <c r="C48" s="100"/>
      <c r="D48" s="101">
        <f>D47/C7-1</f>
        <v>-0.51482653716500448</v>
      </c>
      <c r="I48" s="99" t="s">
        <v>72</v>
      </c>
      <c r="J48" s="100"/>
      <c r="K48" s="101">
        <f>K47/J7-1</f>
        <v>-0.60517984754996434</v>
      </c>
    </row>
    <row r="49" spans="2:14" x14ac:dyDescent="0.25">
      <c r="B49" s="102" t="s">
        <v>73</v>
      </c>
      <c r="C49" s="103"/>
      <c r="D49" s="104">
        <f>(1+D48)^D46-1</f>
        <v>2.4957536399579188</v>
      </c>
      <c r="I49" s="102" t="s">
        <v>73</v>
      </c>
      <c r="J49" s="103"/>
      <c r="K49" s="104">
        <f>(1+K48)^K46-1</f>
        <v>6.1579369885118771</v>
      </c>
    </row>
    <row r="50" spans="2:14" x14ac:dyDescent="0.25">
      <c r="B50" s="99" t="s">
        <v>76</v>
      </c>
      <c r="C50" s="100"/>
      <c r="D50" s="105">
        <f>C5*(1+D49)</f>
        <v>38278.502357539212</v>
      </c>
      <c r="I50" s="99" t="s">
        <v>76</v>
      </c>
      <c r="J50" s="100"/>
      <c r="K50" s="105">
        <f>J5*(1+K49)</f>
        <v>65316.175020170878</v>
      </c>
    </row>
    <row r="51" spans="2:14" x14ac:dyDescent="0.25">
      <c r="B51" s="102" t="s">
        <v>77</v>
      </c>
      <c r="C51" s="103"/>
      <c r="D51" s="106">
        <f>IF(D50&gt;100*365,100*365,D50)</f>
        <v>36500</v>
      </c>
      <c r="I51" s="102" t="s">
        <v>77</v>
      </c>
      <c r="J51" s="103"/>
      <c r="K51" s="106">
        <f>IF(K50&gt;100*365,100*365,K50)</f>
        <v>36500</v>
      </c>
    </row>
    <row r="52" spans="2:14" x14ac:dyDescent="0.25">
      <c r="B52" s="99" t="s">
        <v>78</v>
      </c>
      <c r="C52" s="100"/>
      <c r="D52" s="105">
        <f>(D47+C8)*D51</f>
        <v>2558407.8483693334</v>
      </c>
      <c r="I52" s="99" t="s">
        <v>78</v>
      </c>
      <c r="J52" s="100"/>
      <c r="K52" s="105">
        <f>(K47+J8)*K51</f>
        <v>1701083.891106576</v>
      </c>
    </row>
    <row r="53" spans="2:14" x14ac:dyDescent="0.25">
      <c r="B53" s="108" t="s">
        <v>79</v>
      </c>
      <c r="C53" s="109"/>
      <c r="D53" s="110">
        <f>D52+D10</f>
        <v>1091107.8483693334</v>
      </c>
      <c r="I53" s="108" t="s">
        <v>79</v>
      </c>
      <c r="J53" s="109"/>
      <c r="K53" s="110">
        <f>K52+K10</f>
        <v>341458.89110657596</v>
      </c>
    </row>
    <row r="54" spans="2:14" x14ac:dyDescent="0.25">
      <c r="B54" s="111" t="s">
        <v>80</v>
      </c>
      <c r="C54" s="112"/>
      <c r="D54" s="113">
        <f>D53*(1-H12)</f>
        <v>654664.70902160008</v>
      </c>
      <c r="I54" s="111" t="s">
        <v>80</v>
      </c>
      <c r="J54" s="112"/>
      <c r="K54" s="113">
        <f>K53*(1-O12)</f>
        <v>273167.11288526078</v>
      </c>
    </row>
    <row r="55" spans="2:14" x14ac:dyDescent="0.25">
      <c r="B55" s="114" t="s">
        <v>15</v>
      </c>
      <c r="C55" s="115"/>
      <c r="D55" s="116">
        <f>D16*D21</f>
        <v>459900</v>
      </c>
      <c r="I55" s="114" t="s">
        <v>15</v>
      </c>
      <c r="J55" s="115"/>
      <c r="K55" s="116">
        <f>K16*K21</f>
        <v>410625</v>
      </c>
    </row>
    <row r="56" spans="2:14" x14ac:dyDescent="0.25">
      <c r="B56" s="117" t="s">
        <v>16</v>
      </c>
      <c r="C56" s="118"/>
      <c r="D56" s="119">
        <f>D54-D55</f>
        <v>194764.70902160008</v>
      </c>
      <c r="F56" s="144" t="str">
        <f>IF(D56&gt;G22,"PREÇO ÓTIMO","PREÇO SUGERIDO")</f>
        <v>PREÇO ÓTIMO</v>
      </c>
      <c r="G56" s="144"/>
      <c r="I56" s="117" t="s">
        <v>16</v>
      </c>
      <c r="J56" s="118"/>
      <c r="K56" s="119">
        <f>K54-K55</f>
        <v>-137457.88711473922</v>
      </c>
      <c r="M56" s="144" t="str">
        <f>IF(K56&gt;N22,"PREÇO ÓTIMO","PREÇO SUGERIDO")</f>
        <v>PREÇO SUGERIDO</v>
      </c>
      <c r="N56" s="144"/>
    </row>
    <row r="58" spans="2:14" x14ac:dyDescent="0.25">
      <c r="B58" s="86" t="s">
        <v>67</v>
      </c>
      <c r="C58" s="87">
        <f>3.5/3</f>
        <v>1.1666666666666667</v>
      </c>
      <c r="D58" s="145">
        <f>C58/2</f>
        <v>0.58333333333333337</v>
      </c>
      <c r="F58" s="57">
        <f>D58+C58</f>
        <v>1.75</v>
      </c>
      <c r="J58" s="57"/>
    </row>
    <row r="59" spans="2:14" x14ac:dyDescent="0.25">
      <c r="B59" s="88" t="s">
        <v>69</v>
      </c>
      <c r="C59" s="89">
        <f>3.5/3</f>
        <v>1.1666666666666667</v>
      </c>
      <c r="D59" s="58">
        <f>C59*1.5</f>
        <v>1.75</v>
      </c>
      <c r="J59" s="57">
        <v>2.7</v>
      </c>
    </row>
    <row r="60" spans="2:14" x14ac:dyDescent="0.25">
      <c r="B60" s="88" t="s">
        <v>70</v>
      </c>
      <c r="C60" s="89">
        <f t="shared" ref="C60" si="0">3.5/3</f>
        <v>1.1666666666666667</v>
      </c>
      <c r="D60" s="58">
        <f>C60*2</f>
        <v>2.3333333333333335</v>
      </c>
      <c r="J60" s="57">
        <v>2.4</v>
      </c>
    </row>
    <row r="61" spans="2:14" x14ac:dyDescent="0.25">
      <c r="B61" s="90" t="s">
        <v>17</v>
      </c>
      <c r="C61" s="91">
        <f>SUM(C58:C60)</f>
        <v>3.5</v>
      </c>
      <c r="J61" s="57">
        <v>0.5</v>
      </c>
    </row>
    <row r="62" spans="2:14" x14ac:dyDescent="0.25">
      <c r="J62" s="146">
        <f>SUM(J58:J61)</f>
        <v>5.6</v>
      </c>
    </row>
  </sheetData>
  <mergeCells count="42">
    <mergeCell ref="M56:N56"/>
    <mergeCell ref="F56:G56"/>
    <mergeCell ref="I43:K43"/>
    <mergeCell ref="I44:J44"/>
    <mergeCell ref="I45:J45"/>
    <mergeCell ref="I46:J46"/>
    <mergeCell ref="I47:J47"/>
    <mergeCell ref="B44:C44"/>
    <mergeCell ref="B45:C45"/>
    <mergeCell ref="B46:C46"/>
    <mergeCell ref="B47:C47"/>
    <mergeCell ref="B43:D43"/>
    <mergeCell ref="I3:N3"/>
    <mergeCell ref="J4:K4"/>
    <mergeCell ref="M4:N4"/>
    <mergeCell ref="J5:K5"/>
    <mergeCell ref="M5:N5"/>
    <mergeCell ref="C4:D4"/>
    <mergeCell ref="C5:D5"/>
    <mergeCell ref="F4:G4"/>
    <mergeCell ref="F5:G5"/>
    <mergeCell ref="B3:G3"/>
    <mergeCell ref="B35:C35"/>
    <mergeCell ref="B36:C36"/>
    <mergeCell ref="B37:C37"/>
    <mergeCell ref="B38:C38"/>
    <mergeCell ref="I35:J35"/>
    <mergeCell ref="I36:J36"/>
    <mergeCell ref="I37:J37"/>
    <mergeCell ref="I38:J38"/>
    <mergeCell ref="B30:C30"/>
    <mergeCell ref="I25:J25"/>
    <mergeCell ref="I26:J26"/>
    <mergeCell ref="I27:J27"/>
    <mergeCell ref="I28:J28"/>
    <mergeCell ref="I29:J29"/>
    <mergeCell ref="I30:J30"/>
    <mergeCell ref="B25:C25"/>
    <mergeCell ref="B26:C26"/>
    <mergeCell ref="B28:C28"/>
    <mergeCell ref="B29:C29"/>
    <mergeCell ref="B27:C2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7"/>
  <sheetViews>
    <sheetView zoomScale="140" zoomScaleNormal="140" workbookViewId="0">
      <selection activeCell="F9" sqref="F9"/>
    </sheetView>
  </sheetViews>
  <sheetFormatPr defaultRowHeight="15" x14ac:dyDescent="0.25"/>
  <cols>
    <col min="1" max="1" width="9.140625" style="1"/>
    <col min="2" max="2" width="16.85546875" style="1" customWidth="1"/>
    <col min="3" max="6" width="17" style="1" customWidth="1"/>
    <col min="7" max="16384" width="9.140625" style="1"/>
  </cols>
  <sheetData>
    <row r="2" spans="2:8" ht="21" x14ac:dyDescent="0.25">
      <c r="B2" s="4"/>
      <c r="C2" s="84" t="s">
        <v>60</v>
      </c>
      <c r="D2" s="84" t="s">
        <v>61</v>
      </c>
      <c r="E2" s="84" t="s">
        <v>62</v>
      </c>
      <c r="F2" s="84" t="s">
        <v>63</v>
      </c>
      <c r="G2" s="83"/>
      <c r="H2" s="83"/>
    </row>
    <row r="3" spans="2:8" x14ac:dyDescent="0.25">
      <c r="B3" s="11" t="s">
        <v>58</v>
      </c>
      <c r="C3" s="4" t="s">
        <v>64</v>
      </c>
      <c r="D3" s="4" t="s">
        <v>65</v>
      </c>
      <c r="E3" s="4" t="s">
        <v>66</v>
      </c>
      <c r="F3" s="4" t="s">
        <v>64</v>
      </c>
    </row>
    <row r="4" spans="2:8" x14ac:dyDescent="0.25">
      <c r="B4" s="11" t="s">
        <v>59</v>
      </c>
      <c r="C4" s="4" t="s">
        <v>64</v>
      </c>
      <c r="D4" s="4" t="s">
        <v>65</v>
      </c>
      <c r="E4" s="4" t="s">
        <v>64</v>
      </c>
      <c r="F4" s="4" t="s">
        <v>65</v>
      </c>
    </row>
    <row r="9" spans="2:8" x14ac:dyDescent="0.25">
      <c r="F9" s="85">
        <f>34/4</f>
        <v>8.5</v>
      </c>
    </row>
    <row r="25" ht="15" customHeight="1" x14ac:dyDescent="0.25"/>
    <row r="26" ht="15" customHeight="1" x14ac:dyDescent="0.25"/>
    <row r="27" ht="15" customHeight="1" x14ac:dyDescent="0.25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2 - NAZA</vt:lpstr>
      <vt:lpstr>3 - HOTEL CROME</vt:lpstr>
      <vt:lpstr>QUESTÕES E PROVAS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2017-06-27T14:43:35Z</dcterms:created>
  <dcterms:modified xsi:type="dcterms:W3CDTF">2017-07-01T16:19:13Z</dcterms:modified>
</cp:coreProperties>
</file>