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lms\Dropbox\FEARP\2017\ADC\cooperativa credito\"/>
    </mc:Choice>
  </mc:AlternateContent>
  <bookViews>
    <workbookView xWindow="120" yWindow="75" windowWidth="12120" windowHeight="9120"/>
  </bookViews>
  <sheets>
    <sheet name="BP e DRE" sheetId="1" r:id="rId1"/>
  </sheets>
  <calcPr calcId="152511"/>
</workbook>
</file>

<file path=xl/calcChain.xml><?xml version="1.0" encoding="utf-8"?>
<calcChain xmlns="http://schemas.openxmlformats.org/spreadsheetml/2006/main">
  <c r="I100" i="1" l="1"/>
  <c r="L100" i="1"/>
  <c r="K95" i="1"/>
  <c r="I94" i="1"/>
  <c r="R112" i="1" s="1"/>
  <c r="F11" i="1"/>
  <c r="F12" i="1"/>
  <c r="F13" i="1"/>
  <c r="F10" i="1" s="1"/>
  <c r="I95" i="1" s="1"/>
  <c r="F14" i="1"/>
  <c r="F15" i="1"/>
  <c r="F16" i="1"/>
  <c r="F30" i="1"/>
  <c r="F31" i="1"/>
  <c r="F32" i="1"/>
  <c r="F33" i="1"/>
  <c r="I97" i="1"/>
  <c r="F8" i="1"/>
  <c r="F9" i="1"/>
  <c r="F27" i="1"/>
  <c r="F28" i="1"/>
  <c r="F26" i="1" s="1"/>
  <c r="F5" i="1"/>
  <c r="F6" i="1"/>
  <c r="F18" i="1"/>
  <c r="F17" i="1" s="1"/>
  <c r="F19" i="1"/>
  <c r="F20" i="1"/>
  <c r="F21" i="1"/>
  <c r="F22" i="1"/>
  <c r="F23" i="1"/>
  <c r="F24" i="1"/>
  <c r="F35" i="1"/>
  <c r="F34" i="1"/>
  <c r="F38" i="1"/>
  <c r="F39" i="1"/>
  <c r="F40" i="1"/>
  <c r="F41" i="1"/>
  <c r="F37" i="1" s="1"/>
  <c r="F43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L94" i="1"/>
  <c r="R113" i="1" s="1"/>
  <c r="L110" i="1"/>
  <c r="F65" i="1"/>
  <c r="F66" i="1"/>
  <c r="F68" i="1"/>
  <c r="F67" i="1" s="1"/>
  <c r="F69" i="1"/>
  <c r="F70" i="1"/>
  <c r="F71" i="1"/>
  <c r="F72" i="1"/>
  <c r="F73" i="1"/>
  <c r="L91" i="1" s="1"/>
  <c r="F79" i="1"/>
  <c r="F78" i="1" s="1"/>
  <c r="F75" i="1"/>
  <c r="F74" i="1"/>
  <c r="O92" i="1" s="1"/>
  <c r="F76" i="1"/>
  <c r="F77" i="1"/>
  <c r="F80" i="1"/>
  <c r="O95" i="1"/>
  <c r="O96" i="1"/>
  <c r="C100" i="1"/>
  <c r="O97" i="1"/>
  <c r="O98" i="1"/>
  <c r="C104" i="1"/>
  <c r="O99" i="1" s="1"/>
  <c r="F100" i="1"/>
  <c r="F104" i="1"/>
  <c r="F102" i="1"/>
  <c r="F97" i="1" s="1"/>
  <c r="D100" i="1"/>
  <c r="D104" i="1"/>
  <c r="D102" i="1" s="1"/>
  <c r="D97" i="1" s="1"/>
  <c r="R114" i="1"/>
  <c r="F89" i="1"/>
  <c r="F82" i="1"/>
  <c r="F83" i="1"/>
  <c r="F84" i="1"/>
  <c r="C89" i="1"/>
  <c r="D89" i="1"/>
  <c r="D96" i="1" s="1"/>
  <c r="D106" i="1" s="1"/>
  <c r="D108" i="1" s="1"/>
  <c r="D115" i="1" s="1"/>
  <c r="F92" i="1"/>
  <c r="C92" i="1"/>
  <c r="D92" i="1"/>
  <c r="F114" i="1"/>
  <c r="C114" i="1"/>
  <c r="D114" i="1"/>
  <c r="C7" i="1"/>
  <c r="C10" i="1"/>
  <c r="C17" i="1"/>
  <c r="C4" i="1" s="1"/>
  <c r="C26" i="1"/>
  <c r="C29" i="1"/>
  <c r="C34" i="1"/>
  <c r="C37" i="1"/>
  <c r="C42" i="1"/>
  <c r="C54" i="1"/>
  <c r="D37" i="1"/>
  <c r="D42" i="1"/>
  <c r="D54" i="1"/>
  <c r="D67" i="1"/>
  <c r="D64" i="1" s="1"/>
  <c r="D63" i="1" s="1"/>
  <c r="D74" i="1"/>
  <c r="D34" i="1"/>
  <c r="D29" i="1"/>
  <c r="D26" i="1"/>
  <c r="C67" i="1"/>
  <c r="C64" i="1"/>
  <c r="C63" i="1" s="1"/>
  <c r="C62" i="1" s="1"/>
  <c r="D17" i="1"/>
  <c r="D10" i="1"/>
  <c r="D7" i="1"/>
  <c r="D4" i="1"/>
  <c r="D78" i="1"/>
  <c r="D81" i="1"/>
  <c r="C74" i="1"/>
  <c r="C78" i="1"/>
  <c r="C81" i="1"/>
  <c r="R116" i="1"/>
  <c r="R115" i="1"/>
  <c r="F29" i="1"/>
  <c r="C102" i="1"/>
  <c r="C97" i="1" s="1"/>
  <c r="F36" i="1" l="1"/>
  <c r="O90" i="1" s="1"/>
  <c r="U92" i="1" s="1"/>
  <c r="C25" i="1"/>
  <c r="C3" i="1" s="1"/>
  <c r="C96" i="1"/>
  <c r="C106" i="1" s="1"/>
  <c r="C108" i="1" s="1"/>
  <c r="C115" i="1" s="1"/>
  <c r="F96" i="1"/>
  <c r="F106" i="1" s="1"/>
  <c r="F108" i="1" s="1"/>
  <c r="F115" i="1" s="1"/>
  <c r="F54" i="1"/>
  <c r="F7" i="1"/>
  <c r="L89" i="1" s="1"/>
  <c r="L95" i="1" s="1"/>
  <c r="L96" i="1" s="1"/>
  <c r="D36" i="1"/>
  <c r="F42" i="1"/>
  <c r="D25" i="1"/>
  <c r="C36" i="1"/>
  <c r="R117" i="1"/>
  <c r="F25" i="1"/>
  <c r="F81" i="1"/>
  <c r="D62" i="1"/>
  <c r="R90" i="1"/>
  <c r="L90" i="1"/>
  <c r="F4" i="1"/>
  <c r="F64" i="1"/>
  <c r="O89" i="1"/>
  <c r="U96" i="1"/>
  <c r="R93" i="1"/>
  <c r="L101" i="1"/>
  <c r="L102" i="1" s="1"/>
  <c r="I96" i="1"/>
  <c r="I99" i="1" s="1"/>
  <c r="I89" i="1"/>
  <c r="I98" i="1"/>
  <c r="D3" i="1"/>
  <c r="O100" i="1"/>
  <c r="I110" i="1"/>
  <c r="L92" i="1" l="1"/>
  <c r="L107" i="1" s="1"/>
  <c r="F3" i="1"/>
  <c r="U90" i="1"/>
  <c r="L111" i="1"/>
  <c r="L112" i="1" s="1"/>
  <c r="O91" i="1"/>
  <c r="O93" i="1" s="1"/>
  <c r="U91" i="1"/>
  <c r="U95" i="1"/>
  <c r="L104" i="1"/>
  <c r="L99" i="1"/>
  <c r="R99" i="1" s="1"/>
  <c r="L103" i="1"/>
  <c r="R104" i="1"/>
  <c r="L105" i="1"/>
  <c r="I101" i="1"/>
  <c r="F63" i="1"/>
  <c r="F62" i="1" s="1"/>
  <c r="R89" i="1"/>
  <c r="I90" i="1"/>
  <c r="I104" i="1"/>
  <c r="R97" i="1"/>
  <c r="L93" i="1" l="1"/>
  <c r="I102" i="1"/>
  <c r="I91" i="1"/>
  <c r="O102" i="1"/>
  <c r="O94" i="1"/>
  <c r="O101" i="1" s="1"/>
  <c r="O103" i="1" s="1"/>
  <c r="R91" i="1"/>
  <c r="R100" i="1" s="1"/>
  <c r="U89" i="1"/>
  <c r="U93" i="1" s="1"/>
  <c r="U100" i="1" s="1"/>
  <c r="L106" i="1"/>
  <c r="L108" i="1" s="1"/>
  <c r="L109" i="1" s="1"/>
  <c r="R98" i="1" l="1"/>
  <c r="R101" i="1" s="1"/>
  <c r="R92" i="1"/>
  <c r="I92" i="1"/>
  <c r="I105" i="1"/>
  <c r="I106" i="1" s="1"/>
  <c r="R102" i="1"/>
  <c r="I103" i="1"/>
  <c r="U99" i="1"/>
  <c r="U101" i="1" s="1"/>
  <c r="I111" i="1" l="1"/>
  <c r="I112" i="1" s="1"/>
  <c r="R94" i="1"/>
  <c r="R118" i="1" s="1"/>
  <c r="R119" i="1" s="1"/>
  <c r="I93" i="1"/>
  <c r="I107" i="1"/>
  <c r="I108" i="1" s="1"/>
  <c r="I109" i="1" s="1"/>
  <c r="R103" i="1"/>
  <c r="R106" i="1" s="1"/>
  <c r="R107" i="1" s="1"/>
  <c r="R108" i="1"/>
  <c r="U94" i="1"/>
  <c r="U102" i="1" s="1"/>
  <c r="R105" i="1"/>
  <c r="R95" i="1" l="1"/>
  <c r="R109" i="1"/>
  <c r="R110" i="1" s="1"/>
  <c r="U103" i="1"/>
  <c r="U104" i="1" s="1"/>
  <c r="U105" i="1" s="1"/>
  <c r="U97" i="1"/>
  <c r="U109" i="1" s="1"/>
  <c r="U106" i="1" l="1"/>
  <c r="U107" i="1" s="1"/>
  <c r="U108" i="1" s="1"/>
  <c r="U110" i="1" s="1"/>
  <c r="U98" i="1"/>
</calcChain>
</file>

<file path=xl/sharedStrings.xml><?xml version="1.0" encoding="utf-8"?>
<sst xmlns="http://schemas.openxmlformats.org/spreadsheetml/2006/main" count="225" uniqueCount="175">
  <si>
    <t>ATIVO</t>
  </si>
  <si>
    <t>CIRCULANTE</t>
  </si>
  <si>
    <t>Disponibilidades</t>
  </si>
  <si>
    <t>Títulos e valores mobiliários</t>
  </si>
  <si>
    <t>Operações de crédito</t>
  </si>
  <si>
    <t>Outros créditos</t>
  </si>
  <si>
    <t>Outros valores e bens</t>
  </si>
  <si>
    <t>REALIZÁVEL A LONGO PRAZO</t>
  </si>
  <si>
    <t>PERMANENTE</t>
  </si>
  <si>
    <t>Investimentos</t>
  </si>
  <si>
    <t>Imobilizado de uso</t>
  </si>
  <si>
    <t>Diferido</t>
  </si>
  <si>
    <t>Depósitos</t>
  </si>
  <si>
    <t>Depósitos à vista</t>
  </si>
  <si>
    <t>Depósitos sob aviso</t>
  </si>
  <si>
    <t>Depósitos a prazo</t>
  </si>
  <si>
    <t>Outras obrigações</t>
  </si>
  <si>
    <t>Sociais e estatutárias</t>
  </si>
  <si>
    <t>Fiscais e previdenciárias</t>
  </si>
  <si>
    <t>Diversas</t>
  </si>
  <si>
    <t>EXIGÍVEL A LONGO PRAZO</t>
  </si>
  <si>
    <t>PATRIMÔNIO LÍQUIDO</t>
  </si>
  <si>
    <t>Capital social de domiciliados no país</t>
  </si>
  <si>
    <t>Reservas de sobras</t>
  </si>
  <si>
    <t>Sobras acumuladas</t>
  </si>
  <si>
    <t>2º Sem.</t>
  </si>
  <si>
    <t>Exercício</t>
  </si>
  <si>
    <t>RECEITAS DA INTERMEDIAÇÃO FINANCEIRA</t>
  </si>
  <si>
    <t>DESPESAS DA INTERMEDIAÇÃO FINANCEIRA</t>
  </si>
  <si>
    <t>Operações de captação no mercado</t>
  </si>
  <si>
    <t>Operações de empréstimos, cessões e repasses</t>
  </si>
  <si>
    <t>Provisão para créditos de liquid. duvidosa</t>
  </si>
  <si>
    <t>Receitas de prestação de serviços</t>
  </si>
  <si>
    <t>Outras despesas administrativas</t>
  </si>
  <si>
    <t>Outras receitas operacionais</t>
  </si>
  <si>
    <t>RESULTADO OPERACIONAL</t>
  </si>
  <si>
    <t>RESULTADO NÃO OPERACIONAL</t>
  </si>
  <si>
    <t>SOBRA DO SEMESTRE/EXERCÍCIOS</t>
  </si>
  <si>
    <t>DISTRIBUIÇÃO</t>
  </si>
  <si>
    <t>Reserva Legal</t>
  </si>
  <si>
    <t>F.A.T.E.S.</t>
  </si>
  <si>
    <t>Reserva Especial</t>
  </si>
  <si>
    <t>Sobras a Disposição AGO</t>
  </si>
  <si>
    <t>RESULTADO BRUTO DA INTERMEDIAÇÃO FINANCEIRA</t>
  </si>
  <si>
    <t xml:space="preserve">Resultado de operações com títulos e valores Mobiliários </t>
  </si>
  <si>
    <t>OUTRAS RECEITAS (DESPESAS) OPERACIONAIS</t>
  </si>
  <si>
    <t>Despesas de pessoal, honorários da Diretoria e do Conselho Fiscal</t>
  </si>
  <si>
    <t>TOTAL DISTRIBUÍDO</t>
  </si>
  <si>
    <t>Aplicações interfinanceiras de liquidez</t>
  </si>
  <si>
    <t>ATIVO TOTAL</t>
  </si>
  <si>
    <t xml:space="preserve">PASSIVO </t>
  </si>
  <si>
    <t>PASSIVO + PL</t>
  </si>
  <si>
    <t>Obrigações por empréstimos e repasses</t>
  </si>
  <si>
    <t>Outras obrigações Sociais e estatutárias</t>
  </si>
  <si>
    <t>Títulos de renda fixa – pré-fixados</t>
  </si>
  <si>
    <t>Títulos de renda variável – pós-fixados</t>
  </si>
  <si>
    <t>Títulos de capitalização</t>
  </si>
  <si>
    <t>Adiantamento a depositantes</t>
  </si>
  <si>
    <t>Cheque especial</t>
  </si>
  <si>
    <t>Financiamentos</t>
  </si>
  <si>
    <t>Empréstimos e títulos descontados</t>
  </si>
  <si>
    <t>Financiamentos rurais (próprios/repasses)</t>
  </si>
  <si>
    <t>Provisão para créditos de liquidação duvidosa</t>
  </si>
  <si>
    <t>Adiantamentos diversos</t>
  </si>
  <si>
    <t>Devedores por compra de valores e bens</t>
  </si>
  <si>
    <t>Títulos a receber</t>
  </si>
  <si>
    <t>Depósitos judiciais</t>
  </si>
  <si>
    <t>Pagamentos a ressarcir</t>
  </si>
  <si>
    <t>Devedores diversos – país</t>
  </si>
  <si>
    <t>SICOOB/SP-COCECRER</t>
  </si>
  <si>
    <t>Banco Cooperativo do Brasil S/A – BANCOOB</t>
  </si>
  <si>
    <t>COOPERCITRUS</t>
  </si>
  <si>
    <t>Marcas e patentes</t>
  </si>
  <si>
    <t>Imobilizações em curso</t>
  </si>
  <si>
    <t>Terrenos</t>
  </si>
  <si>
    <t>Edificações</t>
  </si>
  <si>
    <t>Instalações</t>
  </si>
  <si>
    <t>Móveis e utensílios</t>
  </si>
  <si>
    <t>Máquinas e equipamentos</t>
  </si>
  <si>
    <t>Sistema de comunicação</t>
  </si>
  <si>
    <t>Sistema de segurança</t>
  </si>
  <si>
    <t>Sistema de transporte</t>
  </si>
  <si>
    <t>Sistema de processamento de dados</t>
  </si>
  <si>
    <t>Depreciação acumulada</t>
  </si>
  <si>
    <t>Benfeitorias</t>
  </si>
  <si>
    <t>Softwares</t>
  </si>
  <si>
    <t>Amortização acumulada</t>
  </si>
  <si>
    <t>Até 30</t>
  </si>
  <si>
    <t>De 31 a 60</t>
  </si>
  <si>
    <t>De 61 a 90</t>
  </si>
  <si>
    <t>De 91 a 180</t>
  </si>
  <si>
    <t>De 181 a 360</t>
  </si>
  <si>
    <t>Reversão de PCL</t>
  </si>
  <si>
    <t>Outras</t>
  </si>
  <si>
    <t>Outras despesas operacionais (PIS, COFINS e outras)</t>
  </si>
  <si>
    <t>médio 01-02</t>
  </si>
  <si>
    <t>Receitas Op. crédito</t>
  </si>
  <si>
    <t>Operações de Crédito (cp e lp)</t>
  </si>
  <si>
    <t>Despesas de captção no mercado</t>
  </si>
  <si>
    <t>rentabilidade operações de crédito</t>
  </si>
  <si>
    <t>custo captação</t>
  </si>
  <si>
    <t>Despesa com PCL (líquida)</t>
  </si>
  <si>
    <t>custo PCL</t>
  </si>
  <si>
    <t>rentabilidade líquida da pcl</t>
  </si>
  <si>
    <t>spread bruto operação de crédito</t>
  </si>
  <si>
    <t>Receitas de tvm</t>
  </si>
  <si>
    <t>Op créditos (cp e lp)</t>
  </si>
  <si>
    <t>Capital próprio</t>
  </si>
  <si>
    <t>CARTEIRA TOTAL</t>
  </si>
  <si>
    <t>FINANCIAMENTO TOTAL</t>
  </si>
  <si>
    <t>PASSIVO ONEROSO / CAPITAL PRÓPRIO</t>
  </si>
  <si>
    <t>resultado líquido de operações de crédito</t>
  </si>
  <si>
    <t>capital próprio empregado</t>
  </si>
  <si>
    <t>rentabilidade do capital próprio</t>
  </si>
  <si>
    <t>rentabilidade líquida da carteira</t>
  </si>
  <si>
    <t>custo de financiamento da carteira</t>
  </si>
  <si>
    <t>spread da carteira</t>
  </si>
  <si>
    <t>spread alavancado</t>
  </si>
  <si>
    <t>rentabilidade do capital próprio empregado</t>
  </si>
  <si>
    <t>Empréstimos</t>
  </si>
  <si>
    <t>rentabilidade líquida</t>
  </si>
  <si>
    <t>INVESTIMENTO OPERACIONAL</t>
  </si>
  <si>
    <t>Rentabilidade Líquida Op. crédito</t>
  </si>
  <si>
    <t>Rentabilidade líquida tvm</t>
  </si>
  <si>
    <t>Rentabilidade líquida tvm sobre investimento total</t>
  </si>
  <si>
    <t>RENTABILIDADE INVESTIMENTO OPERACIONAL</t>
  </si>
  <si>
    <t>custo dos depósitos</t>
  </si>
  <si>
    <t>custo dos depósitos sobre passivo oneroso</t>
  </si>
  <si>
    <t>custo dos emprestimos</t>
  </si>
  <si>
    <t>custo dos empréstimos sobre passivo oneroso</t>
  </si>
  <si>
    <t>CUSTO DO PASSIVO ONEROSO</t>
  </si>
  <si>
    <t>SPREAD OPERACIONAL</t>
  </si>
  <si>
    <t>PASSIVO ONEROSO SOBRE CAPITAL PRÓPRIO</t>
  </si>
  <si>
    <t>SPREAD ALAVANCADO</t>
  </si>
  <si>
    <t>RETORNO DO CAPITAL PRÓPRIO</t>
  </si>
  <si>
    <t>Despesas com empréstimos</t>
  </si>
  <si>
    <t>CAPITAL PRÓPRIO</t>
  </si>
  <si>
    <t>RENTABILIDADE DO CAPITAL PRÓPRIO</t>
  </si>
  <si>
    <t>Outros ativos monetários</t>
  </si>
  <si>
    <t>Ativo pemanente</t>
  </si>
  <si>
    <t>INVESTIMENTOS</t>
  </si>
  <si>
    <t>Outros passivos</t>
  </si>
  <si>
    <t>FINANCIAMENTOS</t>
  </si>
  <si>
    <t>Receitas de Operações de Crédito</t>
  </si>
  <si>
    <t>Despesa de depreciação</t>
  </si>
  <si>
    <t>Despesas depreciação</t>
  </si>
  <si>
    <t>Despesas de remuneração</t>
  </si>
  <si>
    <t>Despesas administrativas</t>
  </si>
  <si>
    <t>Despesas tributárias</t>
  </si>
  <si>
    <t xml:space="preserve">Outras </t>
  </si>
  <si>
    <t>DESPESAS DA ESTRUTURA</t>
  </si>
  <si>
    <t>Custo da estrutura</t>
  </si>
  <si>
    <t>Custo da estrutura bancado pelo capital próprio</t>
  </si>
  <si>
    <t>Outros passivos sobre capital próprio</t>
  </si>
  <si>
    <t>Patrimônio líquido</t>
  </si>
  <si>
    <t>PASSIVO TOTAL</t>
  </si>
  <si>
    <t>Rentabilidade Líquida Op. crédito sobre investimento total</t>
  </si>
  <si>
    <t>Rentabilidade Líquida Op. crédito sobre ativo total</t>
  </si>
  <si>
    <t>Rentabilidade líquida tvm sobre ativo  total</t>
  </si>
  <si>
    <t>RENTABILIDADE DO ATIVO TOTAL</t>
  </si>
  <si>
    <t>Custo dos depósitos sobre passivo oneroso total</t>
  </si>
  <si>
    <t>Custo dos empréstimos sobre passivo oneroso total</t>
  </si>
  <si>
    <t>CUSTO DO FINANCIAMENTO TOTAL</t>
  </si>
  <si>
    <t>SPREAD</t>
  </si>
  <si>
    <t>PASIVO ONEROSO TOTAL SOBRE PL</t>
  </si>
  <si>
    <t>RETORNO DO CAPITAL PRÓPRIO (operações iterm. fin.)</t>
  </si>
  <si>
    <t>custo da estrutura sobre capital próprio</t>
  </si>
  <si>
    <t>RETORNO LÍQUIDO DO CAPITAL PRÓPRIO</t>
  </si>
  <si>
    <t>Operação de Crédito</t>
  </si>
  <si>
    <t>Despesas de captação no mercado</t>
  </si>
  <si>
    <t>rentabilidade tvm</t>
  </si>
  <si>
    <t>eva SPREAD ECONOMICO</t>
  </si>
  <si>
    <t>FATES = Fundo de Assistência Técnica Educacional e Social</t>
  </si>
  <si>
    <t>É um Fundo obrigatório previsto em lei</t>
  </si>
  <si>
    <t>Despesa com PCL (líquida da reversão)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</si>
</sst>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0_);\(0\)"/>
    <numFmt numFmtId="166" formatCode="0.0%"/>
  </numFmts>
  <fonts count="7" x14ac:knownFonts="1">
    <font>
      <sz val="10"/>
      <name val="Arial"/>
    </font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color indexed="58"/>
      <name val="Calibri"/>
      <family val="2"/>
    </font>
    <font>
      <sz val="9"/>
      <color indexed="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37" fontId="2" fillId="0" borderId="0" xfId="0" applyNumberFormat="1" applyFont="1" applyAlignment="1"/>
    <xf numFmtId="37" fontId="3" fillId="0" borderId="7" xfId="0" applyNumberFormat="1" applyFont="1" applyBorder="1" applyAlignment="1"/>
    <xf numFmtId="37" fontId="3" fillId="0" borderId="8" xfId="0" applyNumberFormat="1" applyFont="1" applyBorder="1" applyAlignment="1"/>
    <xf numFmtId="37" fontId="2" fillId="2" borderId="8" xfId="0" applyNumberFormat="1" applyFont="1" applyFill="1" applyBorder="1" applyAlignment="1">
      <alignment horizontal="left" indent="1"/>
    </xf>
    <xf numFmtId="37" fontId="4" fillId="0" borderId="8" xfId="0" applyNumberFormat="1" applyFont="1" applyBorder="1" applyAlignment="1">
      <alignment horizontal="left" indent="2"/>
    </xf>
    <xf numFmtId="37" fontId="2" fillId="3" borderId="8" xfId="0" applyNumberFormat="1" applyFont="1" applyFill="1" applyBorder="1" applyAlignment="1">
      <alignment horizontal="left" indent="1"/>
    </xf>
    <xf numFmtId="37" fontId="5" fillId="0" borderId="8" xfId="0" applyNumberFormat="1" applyFont="1" applyBorder="1" applyAlignment="1">
      <alignment horizontal="left" indent="2"/>
    </xf>
    <xf numFmtId="37" fontId="2" fillId="4" borderId="8" xfId="0" applyNumberFormat="1" applyFont="1" applyFill="1" applyBorder="1" applyAlignment="1">
      <alignment horizontal="left" indent="1"/>
    </xf>
    <xf numFmtId="37" fontId="6" fillId="0" borderId="8" xfId="0" applyNumberFormat="1" applyFont="1" applyBorder="1" applyAlignment="1">
      <alignment horizontal="left" indent="2"/>
    </xf>
    <xf numFmtId="37" fontId="6" fillId="0" borderId="9" xfId="0" applyNumberFormat="1" applyFont="1" applyBorder="1" applyAlignment="1">
      <alignment horizontal="left" indent="2"/>
    </xf>
    <xf numFmtId="0" fontId="2" fillId="0" borderId="0" xfId="0" applyFont="1" applyAlignment="1">
      <alignment horizontal="left" wrapText="1" indent="2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>
      <alignment horizontal="left" indent="1"/>
    </xf>
    <xf numFmtId="37" fontId="2" fillId="0" borderId="0" xfId="0" applyNumberFormat="1" applyFont="1" applyAlignment="1">
      <alignment horizontal="left" indent="1"/>
    </xf>
    <xf numFmtId="37" fontId="3" fillId="0" borderId="0" xfId="0" applyNumberFormat="1" applyFont="1" applyAlignment="1"/>
    <xf numFmtId="37" fontId="2" fillId="0" borderId="8" xfId="0" applyNumberFormat="1" applyFont="1" applyBorder="1" applyAlignment="1">
      <alignment horizontal="left" indent="3"/>
    </xf>
    <xf numFmtId="37" fontId="2" fillId="4" borderId="9" xfId="0" applyNumberFormat="1" applyFont="1" applyFill="1" applyBorder="1" applyAlignment="1">
      <alignment horizontal="left" indent="1"/>
    </xf>
    <xf numFmtId="165" fontId="3" fillId="0" borderId="0" xfId="0" applyNumberFormat="1" applyFont="1" applyAlignment="1">
      <alignment horizontal="center"/>
    </xf>
    <xf numFmtId="37" fontId="2" fillId="0" borderId="2" xfId="0" applyNumberFormat="1" applyFont="1" applyBorder="1" applyAlignment="1"/>
    <xf numFmtId="37" fontId="2" fillId="0" borderId="3" xfId="0" applyNumberFormat="1" applyFont="1" applyBorder="1" applyAlignment="1"/>
    <xf numFmtId="37" fontId="2" fillId="0" borderId="4" xfId="0" applyNumberFormat="1" applyFont="1" applyBorder="1" applyAlignment="1"/>
    <xf numFmtId="37" fontId="3" fillId="0" borderId="10" xfId="0" applyNumberFormat="1" applyFont="1" applyBorder="1" applyAlignment="1"/>
    <xf numFmtId="37" fontId="3" fillId="0" borderId="1" xfId="0" applyNumberFormat="1" applyFont="1" applyBorder="1" applyAlignment="1"/>
    <xf numFmtId="37" fontId="3" fillId="0" borderId="3" xfId="0" applyNumberFormat="1" applyFont="1" applyBorder="1" applyAlignment="1"/>
    <xf numFmtId="10" fontId="3" fillId="0" borderId="4" xfId="1" applyNumberFormat="1" applyFont="1" applyBorder="1" applyAlignment="1"/>
    <xf numFmtId="10" fontId="2" fillId="0" borderId="2" xfId="1" applyNumberFormat="1" applyFont="1" applyBorder="1" applyAlignment="1"/>
    <xf numFmtId="10" fontId="2" fillId="0" borderId="4" xfId="1" applyNumberFormat="1" applyFont="1" applyBorder="1" applyAlignment="1"/>
    <xf numFmtId="39" fontId="2" fillId="0" borderId="4" xfId="0" applyNumberFormat="1" applyFont="1" applyBorder="1" applyAlignment="1"/>
    <xf numFmtId="10" fontId="2" fillId="0" borderId="0" xfId="1" applyNumberFormat="1" applyFont="1" applyBorder="1" applyAlignment="1"/>
    <xf numFmtId="166" fontId="2" fillId="0" borderId="4" xfId="1" applyNumberFormat="1" applyFont="1" applyBorder="1" applyAlignment="1"/>
    <xf numFmtId="39" fontId="2" fillId="0" borderId="0" xfId="0" applyNumberFormat="1" applyFont="1" applyAlignment="1"/>
    <xf numFmtId="37" fontId="2" fillId="0" borderId="0" xfId="0" applyNumberFormat="1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37" fontId="3" fillId="0" borderId="14" xfId="0" applyNumberFormat="1" applyFont="1" applyBorder="1" applyAlignment="1">
      <alignment horizontal="center"/>
    </xf>
    <xf numFmtId="37" fontId="3" fillId="0" borderId="15" xfId="0" applyNumberFormat="1" applyFont="1" applyBorder="1" applyAlignment="1">
      <alignment horizontal="center"/>
    </xf>
    <xf numFmtId="37" fontId="3" fillId="0" borderId="16" xfId="0" applyNumberFormat="1" applyFont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37" fontId="2" fillId="2" borderId="15" xfId="0" applyNumberFormat="1" applyFont="1" applyFill="1" applyBorder="1" applyAlignment="1">
      <alignment horizontal="center"/>
    </xf>
    <xf numFmtId="37" fontId="2" fillId="2" borderId="16" xfId="0" applyNumberFormat="1" applyFont="1" applyFill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37" fontId="4" fillId="0" borderId="16" xfId="0" applyNumberFormat="1" applyFont="1" applyBorder="1" applyAlignment="1">
      <alignment horizontal="center"/>
    </xf>
    <xf numFmtId="37" fontId="2" fillId="3" borderId="14" xfId="0" applyNumberFormat="1" applyFont="1" applyFill="1" applyBorder="1" applyAlignment="1">
      <alignment horizontal="center"/>
    </xf>
    <xf numFmtId="37" fontId="2" fillId="3" borderId="15" xfId="0" applyNumberFormat="1" applyFont="1" applyFill="1" applyBorder="1" applyAlignment="1">
      <alignment horizontal="center"/>
    </xf>
    <xf numFmtId="37" fontId="2" fillId="3" borderId="16" xfId="0" applyNumberFormat="1" applyFont="1" applyFill="1" applyBorder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2" fillId="4" borderId="14" xfId="0" applyNumberFormat="1" applyFont="1" applyFill="1" applyBorder="1" applyAlignment="1">
      <alignment horizontal="center"/>
    </xf>
    <xf numFmtId="37" fontId="2" fillId="4" borderId="16" xfId="0" applyNumberFormat="1" applyFont="1" applyFill="1" applyBorder="1" applyAlignment="1">
      <alignment horizontal="center"/>
    </xf>
    <xf numFmtId="37" fontId="6" fillId="0" borderId="14" xfId="0" applyNumberFormat="1" applyFont="1" applyBorder="1" applyAlignment="1">
      <alignment horizontal="center"/>
    </xf>
    <xf numFmtId="37" fontId="6" fillId="0" borderId="15" xfId="0" applyNumberFormat="1" applyFont="1" applyBorder="1" applyAlignment="1">
      <alignment horizontal="center"/>
    </xf>
    <xf numFmtId="37" fontId="6" fillId="0" borderId="16" xfId="0" applyNumberFormat="1" applyFont="1" applyBorder="1" applyAlignment="1">
      <alignment horizontal="center"/>
    </xf>
    <xf numFmtId="37" fontId="2" fillId="4" borderId="15" xfId="0" applyNumberFormat="1" applyFont="1" applyFill="1" applyBorder="1" applyAlignment="1">
      <alignment horizontal="center"/>
    </xf>
    <xf numFmtId="37" fontId="6" fillId="0" borderId="17" xfId="0" applyNumberFormat="1" applyFont="1" applyBorder="1" applyAlignment="1">
      <alignment horizontal="center"/>
    </xf>
    <xf numFmtId="37" fontId="6" fillId="0" borderId="18" xfId="0" applyNumberFormat="1" applyFont="1" applyBorder="1" applyAlignment="1">
      <alignment horizontal="center"/>
    </xf>
    <xf numFmtId="37" fontId="6" fillId="0" borderId="19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3" fillId="0" borderId="13" xfId="0" applyNumberFormat="1" applyFont="1" applyBorder="1" applyAlignment="1">
      <alignment horizontal="center"/>
    </xf>
    <xf numFmtId="37" fontId="2" fillId="0" borderId="14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4" borderId="17" xfId="0" applyNumberFormat="1" applyFont="1" applyFill="1" applyBorder="1" applyAlignment="1">
      <alignment horizontal="center"/>
    </xf>
    <xf numFmtId="37" fontId="2" fillId="4" borderId="19" xfId="0" applyNumberFormat="1" applyFont="1" applyFill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37" fontId="3" fillId="0" borderId="20" xfId="0" applyNumberFormat="1" applyFont="1" applyBorder="1" applyAlignment="1"/>
    <xf numFmtId="37" fontId="3" fillId="0" borderId="2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left" indent="1"/>
    </xf>
    <xf numFmtId="37" fontId="2" fillId="0" borderId="10" xfId="0" applyNumberFormat="1" applyFont="1" applyBorder="1" applyAlignment="1">
      <alignment horizontal="left" indent="2"/>
    </xf>
    <xf numFmtId="37" fontId="3" fillId="0" borderId="21" xfId="0" applyNumberFormat="1" applyFont="1" applyBorder="1" applyAlignment="1"/>
    <xf numFmtId="37" fontId="3" fillId="0" borderId="2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left" indent="1"/>
    </xf>
    <xf numFmtId="37" fontId="2" fillId="0" borderId="3" xfId="0" applyNumberFormat="1" applyFont="1" applyBorder="1" applyAlignment="1">
      <alignment horizontal="left" indent="1"/>
    </xf>
    <xf numFmtId="37" fontId="2" fillId="5" borderId="1" xfId="0" applyNumberFormat="1" applyFont="1" applyFill="1" applyBorder="1" applyAlignment="1">
      <alignment horizontal="left" indent="1"/>
    </xf>
    <xf numFmtId="37" fontId="2" fillId="5" borderId="2" xfId="0" applyNumberFormat="1" applyFont="1" applyFill="1" applyBorder="1" applyAlignment="1"/>
    <xf numFmtId="37" fontId="3" fillId="5" borderId="3" xfId="0" applyNumberFormat="1" applyFont="1" applyFill="1" applyBorder="1" applyAlignment="1"/>
    <xf numFmtId="37" fontId="3" fillId="5" borderId="4" xfId="0" applyNumberFormat="1" applyFont="1" applyFill="1" applyBorder="1" applyAlignment="1"/>
    <xf numFmtId="37" fontId="2" fillId="6" borderId="1" xfId="0" applyNumberFormat="1" applyFont="1" applyFill="1" applyBorder="1" applyAlignment="1">
      <alignment horizontal="left" indent="1"/>
    </xf>
    <xf numFmtId="37" fontId="2" fillId="6" borderId="2" xfId="0" applyNumberFormat="1" applyFont="1" applyFill="1" applyBorder="1" applyAlignment="1"/>
    <xf numFmtId="37" fontId="3" fillId="6" borderId="3" xfId="0" applyNumberFormat="1" applyFont="1" applyFill="1" applyBorder="1" applyAlignment="1"/>
    <xf numFmtId="37" fontId="3" fillId="6" borderId="4" xfId="0" applyNumberFormat="1" applyFont="1" applyFill="1" applyBorder="1" applyAlignment="1"/>
    <xf numFmtId="37" fontId="2" fillId="5" borderId="3" xfId="0" applyNumberFormat="1" applyFont="1" applyFill="1" applyBorder="1" applyAlignment="1"/>
    <xf numFmtId="37" fontId="2" fillId="5" borderId="4" xfId="0" applyNumberFormat="1" applyFont="1" applyFill="1" applyBorder="1" applyAlignment="1"/>
    <xf numFmtId="37" fontId="2" fillId="5" borderId="3" xfId="0" applyNumberFormat="1" applyFont="1" applyFill="1" applyBorder="1" applyAlignment="1">
      <alignment horizontal="left" indent="1"/>
    </xf>
    <xf numFmtId="37" fontId="3" fillId="5" borderId="1" xfId="0" applyNumberFormat="1" applyFont="1" applyFill="1" applyBorder="1" applyAlignment="1"/>
    <xf numFmtId="10" fontId="3" fillId="5" borderId="4" xfId="1" applyNumberFormat="1" applyFont="1" applyFill="1" applyBorder="1" applyAlignment="1"/>
    <xf numFmtId="10" fontId="2" fillId="5" borderId="4" xfId="1" applyNumberFormat="1" applyFont="1" applyFill="1" applyBorder="1" applyAlignment="1"/>
    <xf numFmtId="37" fontId="2" fillId="5" borderId="22" xfId="0" applyNumberFormat="1" applyFont="1" applyFill="1" applyBorder="1" applyAlignment="1"/>
    <xf numFmtId="10" fontId="2" fillId="5" borderId="23" xfId="1" applyNumberFormat="1" applyFont="1" applyFill="1" applyBorder="1" applyAlignment="1"/>
    <xf numFmtId="37" fontId="2" fillId="5" borderId="24" xfId="0" applyNumberFormat="1" applyFont="1" applyFill="1" applyBorder="1" applyAlignment="1"/>
    <xf numFmtId="10" fontId="2" fillId="5" borderId="25" xfId="1" applyNumberFormat="1" applyFont="1" applyFill="1" applyBorder="1" applyAlignment="1"/>
    <xf numFmtId="37" fontId="2" fillId="5" borderId="26" xfId="0" applyNumberFormat="1" applyFont="1" applyFill="1" applyBorder="1" applyAlignment="1"/>
    <xf numFmtId="10" fontId="2" fillId="5" borderId="27" xfId="1" applyNumberFormat="1" applyFont="1" applyFill="1" applyBorder="1" applyAlignment="1"/>
    <xf numFmtId="39" fontId="2" fillId="5" borderId="4" xfId="0" applyNumberFormat="1" applyFont="1" applyFill="1" applyBorder="1" applyAlignment="1"/>
    <xf numFmtId="37" fontId="2" fillId="5" borderId="5" xfId="0" applyNumberFormat="1" applyFont="1" applyFill="1" applyBorder="1" applyAlignment="1"/>
    <xf numFmtId="10" fontId="2" fillId="5" borderId="6" xfId="1" applyNumberFormat="1" applyFont="1" applyFill="1" applyBorder="1" applyAlignment="1"/>
    <xf numFmtId="37" fontId="2" fillId="5" borderId="1" xfId="0" applyNumberFormat="1" applyFont="1" applyFill="1" applyBorder="1" applyAlignment="1"/>
    <xf numFmtId="37" fontId="3" fillId="5" borderId="5" xfId="0" applyNumberFormat="1" applyFont="1" applyFill="1" applyBorder="1" applyAlignment="1"/>
    <xf numFmtId="10" fontId="3" fillId="5" borderId="6" xfId="1" applyNumberFormat="1" applyFont="1" applyFill="1" applyBorder="1" applyAlignment="1"/>
    <xf numFmtId="37" fontId="2" fillId="6" borderId="3" xfId="0" applyNumberFormat="1" applyFont="1" applyFill="1" applyBorder="1" applyAlignment="1">
      <alignment horizontal="left" indent="1"/>
    </xf>
    <xf numFmtId="37" fontId="2" fillId="6" borderId="4" xfId="0" applyNumberFormat="1" applyFont="1" applyFill="1" applyBorder="1" applyAlignment="1"/>
    <xf numFmtId="37" fontId="3" fillId="6" borderId="5" xfId="0" applyNumberFormat="1" applyFont="1" applyFill="1" applyBorder="1" applyAlignment="1"/>
    <xf numFmtId="37" fontId="3" fillId="6" borderId="6" xfId="0" applyNumberFormat="1" applyFont="1" applyFill="1" applyBorder="1" applyAlignment="1"/>
    <xf numFmtId="37" fontId="2" fillId="6" borderId="3" xfId="0" applyNumberFormat="1" applyFont="1" applyFill="1" applyBorder="1" applyAlignment="1"/>
    <xf numFmtId="10" fontId="3" fillId="6" borderId="4" xfId="1" applyNumberFormat="1" applyFont="1" applyFill="1" applyBorder="1" applyAlignment="1"/>
    <xf numFmtId="10" fontId="2" fillId="6" borderId="4" xfId="1" applyNumberFormat="1" applyFont="1" applyFill="1" applyBorder="1" applyAlignment="1"/>
    <xf numFmtId="37" fontId="2" fillId="6" borderId="22" xfId="0" applyNumberFormat="1" applyFont="1" applyFill="1" applyBorder="1" applyAlignment="1"/>
    <xf numFmtId="10" fontId="2" fillId="6" borderId="23" xfId="1" applyNumberFormat="1" applyFont="1" applyFill="1" applyBorder="1" applyAlignment="1"/>
    <xf numFmtId="37" fontId="2" fillId="6" borderId="24" xfId="0" applyNumberFormat="1" applyFont="1" applyFill="1" applyBorder="1" applyAlignment="1"/>
    <xf numFmtId="10" fontId="2" fillId="6" borderId="25" xfId="1" applyNumberFormat="1" applyFont="1" applyFill="1" applyBorder="1" applyAlignment="1"/>
    <xf numFmtId="37" fontId="2" fillId="6" borderId="26" xfId="0" applyNumberFormat="1" applyFont="1" applyFill="1" applyBorder="1" applyAlignment="1"/>
    <xf numFmtId="10" fontId="2" fillId="6" borderId="27" xfId="1" applyNumberFormat="1" applyFont="1" applyFill="1" applyBorder="1" applyAlignment="1"/>
    <xf numFmtId="39" fontId="2" fillId="6" borderId="4" xfId="0" applyNumberFormat="1" applyFont="1" applyFill="1" applyBorder="1" applyAlignment="1"/>
    <xf numFmtId="37" fontId="2" fillId="6" borderId="5" xfId="0" applyNumberFormat="1" applyFont="1" applyFill="1" applyBorder="1" applyAlignment="1"/>
    <xf numFmtId="10" fontId="2" fillId="6" borderId="6" xfId="1" applyNumberFormat="1" applyFont="1" applyFill="1" applyBorder="1" applyAlignment="1"/>
    <xf numFmtId="37" fontId="2" fillId="6" borderId="1" xfId="0" applyNumberFormat="1" applyFont="1" applyFill="1" applyBorder="1" applyAlignment="1"/>
    <xf numFmtId="10" fontId="3" fillId="6" borderId="6" xfId="1" applyNumberFormat="1" applyFont="1" applyFill="1" applyBorder="1" applyAlignment="1"/>
    <xf numFmtId="37" fontId="3" fillId="7" borderId="5" xfId="0" applyNumberFormat="1" applyFont="1" applyFill="1" applyBorder="1" applyAlignment="1"/>
    <xf numFmtId="37" fontId="3" fillId="7" borderId="6" xfId="0" applyNumberFormat="1" applyFont="1" applyFill="1" applyBorder="1" applyAlignment="1"/>
    <xf numFmtId="37" fontId="2" fillId="8" borderId="1" xfId="0" applyNumberFormat="1" applyFont="1" applyFill="1" applyBorder="1" applyAlignment="1">
      <alignment horizontal="left" indent="1"/>
    </xf>
    <xf numFmtId="37" fontId="2" fillId="8" borderId="2" xfId="0" applyNumberFormat="1" applyFont="1" applyFill="1" applyBorder="1" applyAlignment="1"/>
    <xf numFmtId="37" fontId="2" fillId="8" borderId="3" xfId="0" applyNumberFormat="1" applyFont="1" applyFill="1" applyBorder="1" applyAlignment="1">
      <alignment horizontal="left" indent="1"/>
    </xf>
    <xf numFmtId="37" fontId="2" fillId="8" borderId="4" xfId="0" applyNumberFormat="1" applyFont="1" applyFill="1" applyBorder="1" applyAlignment="1"/>
    <xf numFmtId="37" fontId="3" fillId="8" borderId="5" xfId="0" applyNumberFormat="1" applyFont="1" applyFill="1" applyBorder="1" applyAlignment="1"/>
    <xf numFmtId="37" fontId="3" fillId="8" borderId="6" xfId="0" applyNumberFormat="1" applyFont="1" applyFill="1" applyBorder="1" applyAlignment="1"/>
    <xf numFmtId="10" fontId="2" fillId="8" borderId="3" xfId="1" applyNumberFormat="1" applyFont="1" applyFill="1" applyBorder="1" applyAlignment="1">
      <alignment horizontal="left" indent="1"/>
    </xf>
    <xf numFmtId="10" fontId="3" fillId="8" borderId="3" xfId="1" applyNumberFormat="1" applyFont="1" applyFill="1" applyBorder="1" applyAlignment="1"/>
    <xf numFmtId="37" fontId="3" fillId="8" borderId="4" xfId="0" applyNumberFormat="1" applyFont="1" applyFill="1" applyBorder="1" applyAlignment="1"/>
    <xf numFmtId="10" fontId="2" fillId="8" borderId="4" xfId="1" applyNumberFormat="1" applyFont="1" applyFill="1" applyBorder="1" applyAlignment="1"/>
    <xf numFmtId="39" fontId="2" fillId="8" borderId="4" xfId="0" applyNumberFormat="1" applyFont="1" applyFill="1" applyBorder="1" applyAlignment="1"/>
    <xf numFmtId="10" fontId="3" fillId="8" borderId="5" xfId="1" applyNumberFormat="1" applyFont="1" applyFill="1" applyBorder="1" applyAlignment="1"/>
    <xf numFmtId="10" fontId="3" fillId="8" borderId="6" xfId="1" applyNumberFormat="1" applyFont="1" applyFill="1" applyBorder="1" applyAlignment="1"/>
    <xf numFmtId="37" fontId="3" fillId="7" borderId="3" xfId="0" applyNumberFormat="1" applyFont="1" applyFill="1" applyBorder="1" applyAlignment="1"/>
    <xf numFmtId="10" fontId="3" fillId="7" borderId="4" xfId="1" applyNumberFormat="1" applyFont="1" applyFill="1" applyBorder="1" applyAlignment="1"/>
    <xf numFmtId="10" fontId="3" fillId="7" borderId="6" xfId="1" applyNumberFormat="1" applyFont="1" applyFill="1" applyBorder="1" applyAlignment="1"/>
    <xf numFmtId="37" fontId="3" fillId="7" borderId="5" xfId="0" applyNumberFormat="1" applyFont="1" applyFill="1" applyBorder="1" applyAlignment="1">
      <alignment horizontal="left" indent="1"/>
    </xf>
    <xf numFmtId="37" fontId="3" fillId="9" borderId="5" xfId="0" applyNumberFormat="1" applyFont="1" applyFill="1" applyBorder="1" applyAlignment="1"/>
    <xf numFmtId="37" fontId="3" fillId="9" borderId="6" xfId="0" applyNumberFormat="1" applyFont="1" applyFill="1" applyBorder="1" applyAlignment="1"/>
    <xf numFmtId="37" fontId="3" fillId="9" borderId="3" xfId="0" applyNumberFormat="1" applyFont="1" applyFill="1" applyBorder="1" applyAlignment="1"/>
    <xf numFmtId="10" fontId="3" fillId="9" borderId="4" xfId="1" applyNumberFormat="1" applyFont="1" applyFill="1" applyBorder="1" applyAlignment="1"/>
    <xf numFmtId="10" fontId="3" fillId="9" borderId="6" xfId="1" applyNumberFormat="1" applyFont="1" applyFill="1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U153"/>
  <sheetViews>
    <sheetView showGridLines="0" tabSelected="1" topLeftCell="A88" zoomScale="200" zoomScaleNormal="200" workbookViewId="0">
      <selection activeCell="B89" sqref="B89"/>
    </sheetView>
  </sheetViews>
  <sheetFormatPr defaultColWidth="4" defaultRowHeight="12" outlineLevelRow="4" x14ac:dyDescent="0.2"/>
  <cols>
    <col min="1" max="1" width="4" style="1" customWidth="1"/>
    <col min="2" max="2" width="38.42578125" style="1" customWidth="1"/>
    <col min="3" max="4" width="12.7109375" style="32" bestFit="1" customWidth="1"/>
    <col min="5" max="5" width="1" style="32" customWidth="1"/>
    <col min="6" max="6" width="12.7109375" style="32" bestFit="1" customWidth="1"/>
    <col min="7" max="7" width="4" style="1" customWidth="1"/>
    <col min="8" max="8" width="26.140625" style="1" customWidth="1"/>
    <col min="9" max="9" width="12.7109375" style="1" bestFit="1" customWidth="1"/>
    <col min="10" max="10" width="0.7109375" style="1" customWidth="1"/>
    <col min="11" max="11" width="24.42578125" style="1" customWidth="1"/>
    <col min="12" max="12" width="11.42578125" style="1" bestFit="1" customWidth="1"/>
    <col min="13" max="13" width="1" style="1" customWidth="1"/>
    <col min="14" max="14" width="27.140625" style="1" customWidth="1"/>
    <col min="15" max="15" width="11.140625" style="1" bestFit="1" customWidth="1"/>
    <col min="16" max="16" width="0.7109375" style="1" customWidth="1"/>
    <col min="17" max="17" width="35.7109375" style="1" customWidth="1"/>
    <col min="18" max="18" width="12.7109375" style="1" bestFit="1" customWidth="1"/>
    <col min="19" max="19" width="1.140625" style="1" customWidth="1"/>
    <col min="20" max="20" width="36.7109375" style="1" customWidth="1"/>
    <col min="21" max="21" width="12.7109375" style="1" bestFit="1" customWidth="1"/>
    <col min="22" max="22" width="16" style="1" bestFit="1" customWidth="1"/>
    <col min="23" max="23" width="11.85546875" style="1" bestFit="1" customWidth="1"/>
    <col min="24" max="16384" width="4" style="1"/>
  </cols>
  <sheetData>
    <row r="1" spans="2:6" ht="12.75" thickBot="1" x14ac:dyDescent="0.25"/>
    <row r="2" spans="2:6" x14ac:dyDescent="0.2">
      <c r="B2" s="2" t="s">
        <v>0</v>
      </c>
      <c r="C2" s="33">
        <v>37621</v>
      </c>
      <c r="D2" s="34">
        <v>37256</v>
      </c>
      <c r="F2" s="35" t="s">
        <v>95</v>
      </c>
    </row>
    <row r="3" spans="2:6" x14ac:dyDescent="0.2">
      <c r="B3" s="3" t="s">
        <v>49</v>
      </c>
      <c r="C3" s="36">
        <f>SUM(C4,C25,C36)</f>
        <v>256672258</v>
      </c>
      <c r="D3" s="37">
        <f>SUM(D4,D25,D36)</f>
        <v>183407489</v>
      </c>
      <c r="F3" s="38">
        <f>SUM(F4,F25,F36)</f>
        <v>220039873.5</v>
      </c>
    </row>
    <row r="4" spans="2:6" outlineLevel="1" x14ac:dyDescent="0.2">
      <c r="B4" s="3" t="s">
        <v>1</v>
      </c>
      <c r="C4" s="36">
        <f>SUM(C5,C6,C7,C10,C17,C24)</f>
        <v>228604464</v>
      </c>
      <c r="D4" s="37">
        <f>SUM(D5,D6,D7,D10,D17,D24)</f>
        <v>155483752</v>
      </c>
      <c r="F4" s="38">
        <f>SUM(F5,F6,F7,F10,F17,F24)</f>
        <v>192044108</v>
      </c>
    </row>
    <row r="5" spans="2:6" outlineLevel="2" x14ac:dyDescent="0.2">
      <c r="B5" s="4" t="s">
        <v>2</v>
      </c>
      <c r="C5" s="39">
        <v>733107</v>
      </c>
      <c r="D5" s="40">
        <v>313108</v>
      </c>
      <c r="F5" s="41">
        <f>AVERAGE(C5:D5)</f>
        <v>523107.5</v>
      </c>
    </row>
    <row r="6" spans="2:6" outlineLevel="2" x14ac:dyDescent="0.2">
      <c r="B6" s="4" t="s">
        <v>48</v>
      </c>
      <c r="C6" s="39">
        <v>0</v>
      </c>
      <c r="D6" s="40">
        <v>130503</v>
      </c>
      <c r="F6" s="41">
        <f t="shared" ref="F6:F57" si="0">AVERAGE(C6:D6)</f>
        <v>65251.5</v>
      </c>
    </row>
    <row r="7" spans="2:6" outlineLevel="2" collapsed="1" x14ac:dyDescent="0.2">
      <c r="B7" s="4" t="s">
        <v>3</v>
      </c>
      <c r="C7" s="39">
        <f>C8+C9</f>
        <v>99191907</v>
      </c>
      <c r="D7" s="40">
        <f>D8+D9</f>
        <v>55857619</v>
      </c>
      <c r="F7" s="41">
        <f>F8+F9</f>
        <v>77524763</v>
      </c>
    </row>
    <row r="8" spans="2:6" hidden="1" outlineLevel="3" x14ac:dyDescent="0.2">
      <c r="B8" s="5" t="s">
        <v>54</v>
      </c>
      <c r="C8" s="42">
        <v>52251632</v>
      </c>
      <c r="D8" s="43">
        <v>9205319</v>
      </c>
      <c r="F8" s="44">
        <f t="shared" si="0"/>
        <v>30728475.5</v>
      </c>
    </row>
    <row r="9" spans="2:6" hidden="1" outlineLevel="3" x14ac:dyDescent="0.2">
      <c r="B9" s="5" t="s">
        <v>55</v>
      </c>
      <c r="C9" s="42">
        <v>46940275</v>
      </c>
      <c r="D9" s="43">
        <v>46652300</v>
      </c>
      <c r="F9" s="44">
        <f t="shared" si="0"/>
        <v>46796287.5</v>
      </c>
    </row>
    <row r="10" spans="2:6" outlineLevel="2" collapsed="1" x14ac:dyDescent="0.2">
      <c r="B10" s="4" t="s">
        <v>4</v>
      </c>
      <c r="C10" s="39">
        <f>SUM(C11:C16)</f>
        <v>127226252</v>
      </c>
      <c r="D10" s="40">
        <f>SUM(D11:D16)</f>
        <v>98400647</v>
      </c>
      <c r="F10" s="41">
        <f>SUM(F11:F16)</f>
        <v>112813449.5</v>
      </c>
    </row>
    <row r="11" spans="2:6" hidden="1" outlineLevel="3" x14ac:dyDescent="0.2">
      <c r="B11" s="5" t="s">
        <v>57</v>
      </c>
      <c r="C11" s="42">
        <v>1630459</v>
      </c>
      <c r="D11" s="43">
        <v>1047664</v>
      </c>
      <c r="F11" s="44">
        <f t="shared" si="0"/>
        <v>1339061.5</v>
      </c>
    </row>
    <row r="12" spans="2:6" hidden="1" outlineLevel="3" x14ac:dyDescent="0.2">
      <c r="B12" s="5" t="s">
        <v>58</v>
      </c>
      <c r="C12" s="42">
        <v>5683361</v>
      </c>
      <c r="D12" s="43">
        <v>3108566</v>
      </c>
      <c r="F12" s="44">
        <f t="shared" si="0"/>
        <v>4395963.5</v>
      </c>
    </row>
    <row r="13" spans="2:6" hidden="1" outlineLevel="3" x14ac:dyDescent="0.2">
      <c r="B13" s="5" t="s">
        <v>60</v>
      </c>
      <c r="C13" s="42">
        <v>48548773</v>
      </c>
      <c r="D13" s="43">
        <v>36214904</v>
      </c>
      <c r="F13" s="44">
        <f t="shared" si="0"/>
        <v>42381838.5</v>
      </c>
    </row>
    <row r="14" spans="2:6" hidden="1" outlineLevel="3" x14ac:dyDescent="0.2">
      <c r="B14" s="5" t="s">
        <v>59</v>
      </c>
      <c r="C14" s="42">
        <v>742812</v>
      </c>
      <c r="D14" s="43">
        <v>274642</v>
      </c>
      <c r="F14" s="44">
        <f t="shared" si="0"/>
        <v>508727</v>
      </c>
    </row>
    <row r="15" spans="2:6" hidden="1" outlineLevel="3" x14ac:dyDescent="0.2">
      <c r="B15" s="5" t="s">
        <v>61</v>
      </c>
      <c r="C15" s="42">
        <v>72728853</v>
      </c>
      <c r="D15" s="43">
        <v>58176237</v>
      </c>
      <c r="F15" s="44">
        <f t="shared" si="0"/>
        <v>65452545</v>
      </c>
    </row>
    <row r="16" spans="2:6" hidden="1" outlineLevel="3" x14ac:dyDescent="0.2">
      <c r="B16" s="5" t="s">
        <v>62</v>
      </c>
      <c r="C16" s="42">
        <v>-2108006</v>
      </c>
      <c r="D16" s="43">
        <v>-421366</v>
      </c>
      <c r="F16" s="44">
        <f t="shared" si="0"/>
        <v>-1264686</v>
      </c>
    </row>
    <row r="17" spans="2:6" outlineLevel="2" collapsed="1" x14ac:dyDescent="0.2">
      <c r="B17" s="4" t="s">
        <v>5</v>
      </c>
      <c r="C17" s="39">
        <f>SUM(C18:C23)</f>
        <v>1172998</v>
      </c>
      <c r="D17" s="40">
        <f>SUM(D18:D23)</f>
        <v>420775</v>
      </c>
      <c r="F17" s="41">
        <f>SUM(F18:F23)</f>
        <v>796886.5</v>
      </c>
    </row>
    <row r="18" spans="2:6" hidden="1" outlineLevel="3" x14ac:dyDescent="0.2">
      <c r="B18" s="5" t="s">
        <v>63</v>
      </c>
      <c r="C18" s="42">
        <v>6212</v>
      </c>
      <c r="D18" s="43">
        <v>18764</v>
      </c>
      <c r="F18" s="44">
        <f t="shared" si="0"/>
        <v>12488</v>
      </c>
    </row>
    <row r="19" spans="2:6" hidden="1" outlineLevel="3" x14ac:dyDescent="0.2">
      <c r="B19" s="5" t="s">
        <v>64</v>
      </c>
      <c r="C19" s="42">
        <v>152036</v>
      </c>
      <c r="D19" s="43">
        <v>283193</v>
      </c>
      <c r="F19" s="44">
        <f t="shared" si="0"/>
        <v>217614.5</v>
      </c>
    </row>
    <row r="20" spans="2:6" hidden="1" outlineLevel="3" x14ac:dyDescent="0.2">
      <c r="B20" s="5" t="s">
        <v>65</v>
      </c>
      <c r="C20" s="42">
        <v>0</v>
      </c>
      <c r="D20" s="43">
        <v>50000</v>
      </c>
      <c r="F20" s="44">
        <f t="shared" si="0"/>
        <v>25000</v>
      </c>
    </row>
    <row r="21" spans="2:6" hidden="1" outlineLevel="3" x14ac:dyDescent="0.2">
      <c r="B21" s="5" t="s">
        <v>66</v>
      </c>
      <c r="C21" s="42">
        <v>0</v>
      </c>
      <c r="D21" s="43">
        <v>68818</v>
      </c>
      <c r="F21" s="44">
        <f t="shared" si="0"/>
        <v>34409</v>
      </c>
    </row>
    <row r="22" spans="2:6" hidden="1" outlineLevel="3" x14ac:dyDescent="0.2">
      <c r="B22" s="5" t="s">
        <v>67</v>
      </c>
      <c r="C22" s="42">
        <v>11039</v>
      </c>
      <c r="D22" s="43">
        <v>0</v>
      </c>
      <c r="F22" s="44">
        <f t="shared" si="0"/>
        <v>5519.5</v>
      </c>
    </row>
    <row r="23" spans="2:6" hidden="1" outlineLevel="3" x14ac:dyDescent="0.2">
      <c r="B23" s="5" t="s">
        <v>68</v>
      </c>
      <c r="C23" s="42">
        <v>1003711</v>
      </c>
      <c r="D23" s="43">
        <v>0</v>
      </c>
      <c r="F23" s="44">
        <f t="shared" si="0"/>
        <v>501855.5</v>
      </c>
    </row>
    <row r="24" spans="2:6" outlineLevel="2" x14ac:dyDescent="0.2">
      <c r="B24" s="4" t="s">
        <v>6</v>
      </c>
      <c r="C24" s="39">
        <v>280200</v>
      </c>
      <c r="D24" s="40">
        <v>361100</v>
      </c>
      <c r="F24" s="41">
        <f t="shared" si="0"/>
        <v>320650</v>
      </c>
    </row>
    <row r="25" spans="2:6" outlineLevel="1" x14ac:dyDescent="0.2">
      <c r="B25" s="3" t="s">
        <v>7</v>
      </c>
      <c r="C25" s="36">
        <f>SUM(C26,C29,C34)</f>
        <v>20137345</v>
      </c>
      <c r="D25" s="37">
        <f>SUM(D26,D29,D34)</f>
        <v>20740541</v>
      </c>
      <c r="F25" s="38">
        <f>SUM(F26,F29,F34)</f>
        <v>20438943</v>
      </c>
    </row>
    <row r="26" spans="2:6" outlineLevel="2" collapsed="1" x14ac:dyDescent="0.2">
      <c r="B26" s="6" t="s">
        <v>3</v>
      </c>
      <c r="C26" s="45">
        <f>SUM(C27:C28)</f>
        <v>4981734</v>
      </c>
      <c r="D26" s="46">
        <f>SUM(D27:D28)</f>
        <v>7722520</v>
      </c>
      <c r="F26" s="47">
        <f>SUM(F27:F28)</f>
        <v>6352127</v>
      </c>
    </row>
    <row r="27" spans="2:6" hidden="1" outlineLevel="3" x14ac:dyDescent="0.2">
      <c r="B27" s="7" t="s">
        <v>55</v>
      </c>
      <c r="C27" s="48">
        <v>1059299</v>
      </c>
      <c r="D27" s="49">
        <v>4674602</v>
      </c>
      <c r="F27" s="50">
        <f t="shared" si="0"/>
        <v>2866950.5</v>
      </c>
    </row>
    <row r="28" spans="2:6" hidden="1" outlineLevel="3" x14ac:dyDescent="0.2">
      <c r="B28" s="7" t="s">
        <v>56</v>
      </c>
      <c r="C28" s="48">
        <v>3922435</v>
      </c>
      <c r="D28" s="49">
        <v>3047918</v>
      </c>
      <c r="F28" s="50">
        <f t="shared" si="0"/>
        <v>3485176.5</v>
      </c>
    </row>
    <row r="29" spans="2:6" outlineLevel="2" collapsed="1" x14ac:dyDescent="0.2">
      <c r="B29" s="6" t="s">
        <v>4</v>
      </c>
      <c r="C29" s="45">
        <f>SUM(C30:C33)</f>
        <v>15155611</v>
      </c>
      <c r="D29" s="46">
        <f>SUM(D30:D33)</f>
        <v>12941546</v>
      </c>
      <c r="F29" s="47">
        <f>SUM(F30:F33)</f>
        <v>14048578.5</v>
      </c>
    </row>
    <row r="30" spans="2:6" hidden="1" outlineLevel="3" x14ac:dyDescent="0.2">
      <c r="B30" s="7" t="s">
        <v>60</v>
      </c>
      <c r="C30" s="48">
        <v>4978861</v>
      </c>
      <c r="D30" s="49">
        <v>1907101</v>
      </c>
      <c r="F30" s="50">
        <f t="shared" si="0"/>
        <v>3442981</v>
      </c>
    </row>
    <row r="31" spans="2:6" hidden="1" outlineLevel="3" x14ac:dyDescent="0.2">
      <c r="B31" s="7" t="s">
        <v>59</v>
      </c>
      <c r="C31" s="48">
        <v>5015865</v>
      </c>
      <c r="D31" s="49">
        <v>1655286</v>
      </c>
      <c r="F31" s="50">
        <f t="shared" si="0"/>
        <v>3335575.5</v>
      </c>
    </row>
    <row r="32" spans="2:6" hidden="1" outlineLevel="3" x14ac:dyDescent="0.2">
      <c r="B32" s="7" t="s">
        <v>61</v>
      </c>
      <c r="C32" s="48">
        <v>5728517</v>
      </c>
      <c r="D32" s="49">
        <v>9379159</v>
      </c>
      <c r="F32" s="50">
        <f t="shared" si="0"/>
        <v>7553838</v>
      </c>
    </row>
    <row r="33" spans="2:6" hidden="1" outlineLevel="3" x14ac:dyDescent="0.2">
      <c r="B33" s="7" t="s">
        <v>62</v>
      </c>
      <c r="C33" s="48">
        <v>-567632</v>
      </c>
      <c r="D33" s="49">
        <v>0</v>
      </c>
      <c r="F33" s="50">
        <f t="shared" si="0"/>
        <v>-283816</v>
      </c>
    </row>
    <row r="34" spans="2:6" outlineLevel="2" collapsed="1" x14ac:dyDescent="0.2">
      <c r="B34" s="6" t="s">
        <v>5</v>
      </c>
      <c r="C34" s="45">
        <f>SUM(C35:C35)</f>
        <v>0</v>
      </c>
      <c r="D34" s="46">
        <f>SUM(D35:D35)</f>
        <v>76475</v>
      </c>
      <c r="F34" s="47">
        <f>SUM(F35:F35)</f>
        <v>38237.5</v>
      </c>
    </row>
    <row r="35" spans="2:6" hidden="1" outlineLevel="3" x14ac:dyDescent="0.2">
      <c r="B35" s="7" t="s">
        <v>64</v>
      </c>
      <c r="C35" s="48">
        <v>0</v>
      </c>
      <c r="D35" s="49">
        <v>76475</v>
      </c>
      <c r="F35" s="50">
        <f t="shared" si="0"/>
        <v>38237.5</v>
      </c>
    </row>
    <row r="36" spans="2:6" outlineLevel="1" x14ac:dyDescent="0.2">
      <c r="B36" s="3" t="s">
        <v>8</v>
      </c>
      <c r="C36" s="36">
        <f>C37+C42+C54</f>
        <v>7930449</v>
      </c>
      <c r="D36" s="37">
        <f>D37+D42+D54</f>
        <v>7183196</v>
      </c>
      <c r="F36" s="38">
        <f>F37+F42+F54</f>
        <v>7556822.5</v>
      </c>
    </row>
    <row r="37" spans="2:6" outlineLevel="2" collapsed="1" x14ac:dyDescent="0.2">
      <c r="B37" s="8" t="s">
        <v>9</v>
      </c>
      <c r="C37" s="51">
        <f>SUM(C38:C41)</f>
        <v>4307984</v>
      </c>
      <c r="D37" s="51">
        <f>SUM(D38:D41)</f>
        <v>4121655</v>
      </c>
      <c r="F37" s="52">
        <f>SUM(F38:F41)</f>
        <v>4214819.5</v>
      </c>
    </row>
    <row r="38" spans="2:6" hidden="1" outlineLevel="3" x14ac:dyDescent="0.2">
      <c r="B38" s="9" t="s">
        <v>69</v>
      </c>
      <c r="C38" s="53">
        <v>3635661</v>
      </c>
      <c r="D38" s="54">
        <v>3450295</v>
      </c>
      <c r="F38" s="55">
        <f t="shared" si="0"/>
        <v>3542978</v>
      </c>
    </row>
    <row r="39" spans="2:6" hidden="1" outlineLevel="3" x14ac:dyDescent="0.2">
      <c r="B39" s="9" t="s">
        <v>70</v>
      </c>
      <c r="C39" s="53">
        <v>660152</v>
      </c>
      <c r="D39" s="54">
        <v>660152</v>
      </c>
      <c r="F39" s="55">
        <f t="shared" si="0"/>
        <v>660152</v>
      </c>
    </row>
    <row r="40" spans="2:6" hidden="1" outlineLevel="3" x14ac:dyDescent="0.2">
      <c r="B40" s="9" t="s">
        <v>71</v>
      </c>
      <c r="C40" s="53">
        <v>1401</v>
      </c>
      <c r="D40" s="54">
        <v>438</v>
      </c>
      <c r="F40" s="55">
        <f t="shared" si="0"/>
        <v>919.5</v>
      </c>
    </row>
    <row r="41" spans="2:6" hidden="1" outlineLevel="3" x14ac:dyDescent="0.2">
      <c r="B41" s="9" t="s">
        <v>72</v>
      </c>
      <c r="C41" s="53">
        <v>10770</v>
      </c>
      <c r="D41" s="54">
        <v>10770</v>
      </c>
      <c r="F41" s="55">
        <f t="shared" si="0"/>
        <v>10770</v>
      </c>
    </row>
    <row r="42" spans="2:6" outlineLevel="2" collapsed="1" x14ac:dyDescent="0.2">
      <c r="B42" s="8" t="s">
        <v>10</v>
      </c>
      <c r="C42" s="51">
        <f>SUM(C43:C53)</f>
        <v>3220571</v>
      </c>
      <c r="D42" s="56">
        <f>SUM(D43:D53)</f>
        <v>2636035</v>
      </c>
      <c r="F42" s="52">
        <f>SUM(F43:F53)</f>
        <v>2928303</v>
      </c>
    </row>
    <row r="43" spans="2:6" hidden="1" outlineLevel="3" x14ac:dyDescent="0.2">
      <c r="B43" s="9" t="s">
        <v>73</v>
      </c>
      <c r="C43" s="53">
        <v>75841</v>
      </c>
      <c r="D43" s="54">
        <v>0</v>
      </c>
      <c r="F43" s="55">
        <f t="shared" si="0"/>
        <v>37920.5</v>
      </c>
    </row>
    <row r="44" spans="2:6" hidden="1" outlineLevel="3" x14ac:dyDescent="0.2">
      <c r="B44" s="9" t="s">
        <v>74</v>
      </c>
      <c r="C44" s="53">
        <v>92000</v>
      </c>
      <c r="D44" s="54">
        <v>92000</v>
      </c>
      <c r="F44" s="55">
        <f t="shared" si="0"/>
        <v>92000</v>
      </c>
    </row>
    <row r="45" spans="2:6" hidden="1" outlineLevel="3" x14ac:dyDescent="0.2">
      <c r="B45" s="9" t="s">
        <v>75</v>
      </c>
      <c r="C45" s="53">
        <v>1511718</v>
      </c>
      <c r="D45" s="54">
        <v>1039514</v>
      </c>
      <c r="F45" s="55">
        <f t="shared" si="0"/>
        <v>1275616</v>
      </c>
    </row>
    <row r="46" spans="2:6" hidden="1" outlineLevel="3" x14ac:dyDescent="0.2">
      <c r="B46" s="9" t="s">
        <v>76</v>
      </c>
      <c r="C46" s="53">
        <v>711697</v>
      </c>
      <c r="D46" s="54">
        <v>476343</v>
      </c>
      <c r="F46" s="55">
        <f t="shared" si="0"/>
        <v>594020</v>
      </c>
    </row>
    <row r="47" spans="2:6" hidden="1" outlineLevel="3" x14ac:dyDescent="0.2">
      <c r="B47" s="9" t="s">
        <v>77</v>
      </c>
      <c r="C47" s="53">
        <v>789540</v>
      </c>
      <c r="D47" s="54">
        <v>440986</v>
      </c>
      <c r="F47" s="55">
        <f t="shared" si="0"/>
        <v>615263</v>
      </c>
    </row>
    <row r="48" spans="2:6" hidden="1" outlineLevel="3" x14ac:dyDescent="0.2">
      <c r="B48" s="9" t="s">
        <v>78</v>
      </c>
      <c r="C48" s="53">
        <v>182889</v>
      </c>
      <c r="D48" s="54">
        <v>70162</v>
      </c>
      <c r="F48" s="55">
        <f t="shared" si="0"/>
        <v>126525.5</v>
      </c>
    </row>
    <row r="49" spans="2:6" hidden="1" outlineLevel="3" x14ac:dyDescent="0.2">
      <c r="B49" s="9" t="s">
        <v>79</v>
      </c>
      <c r="C49" s="53">
        <v>64995</v>
      </c>
      <c r="D49" s="54">
        <v>32891</v>
      </c>
      <c r="F49" s="55">
        <f t="shared" si="0"/>
        <v>48943</v>
      </c>
    </row>
    <row r="50" spans="2:6" hidden="1" outlineLevel="3" x14ac:dyDescent="0.2">
      <c r="B50" s="9" t="s">
        <v>80</v>
      </c>
      <c r="C50" s="53">
        <v>1400</v>
      </c>
      <c r="D50" s="54">
        <v>0</v>
      </c>
      <c r="F50" s="55">
        <f t="shared" si="0"/>
        <v>700</v>
      </c>
    </row>
    <row r="51" spans="2:6" hidden="1" outlineLevel="3" x14ac:dyDescent="0.2">
      <c r="B51" s="9" t="s">
        <v>82</v>
      </c>
      <c r="C51" s="53">
        <v>725168</v>
      </c>
      <c r="D51" s="54">
        <v>436206</v>
      </c>
      <c r="F51" s="55">
        <f t="shared" si="0"/>
        <v>580687</v>
      </c>
    </row>
    <row r="52" spans="2:6" hidden="1" outlineLevel="3" x14ac:dyDescent="0.2">
      <c r="B52" s="9" t="s">
        <v>81</v>
      </c>
      <c r="C52" s="53">
        <v>131896</v>
      </c>
      <c r="D52" s="54">
        <v>47933</v>
      </c>
      <c r="F52" s="55">
        <f t="shared" si="0"/>
        <v>89914.5</v>
      </c>
    </row>
    <row r="53" spans="2:6" hidden="1" outlineLevel="3" x14ac:dyDescent="0.2">
      <c r="B53" s="9" t="s">
        <v>83</v>
      </c>
      <c r="C53" s="53">
        <v>-1066573</v>
      </c>
      <c r="D53" s="54">
        <v>0</v>
      </c>
      <c r="F53" s="55">
        <f t="shared" si="0"/>
        <v>-533286.5</v>
      </c>
    </row>
    <row r="54" spans="2:6" outlineLevel="2" collapsed="1" x14ac:dyDescent="0.2">
      <c r="B54" s="8" t="s">
        <v>11</v>
      </c>
      <c r="C54" s="51">
        <f>SUM(C55:C57)</f>
        <v>401894</v>
      </c>
      <c r="D54" s="56">
        <f>SUM(D55:D57)</f>
        <v>425506</v>
      </c>
      <c r="F54" s="52">
        <f>SUM(F55:F57)</f>
        <v>413700</v>
      </c>
    </row>
    <row r="55" spans="2:6" hidden="1" outlineLevel="3" x14ac:dyDescent="0.2">
      <c r="B55" s="9" t="s">
        <v>84</v>
      </c>
      <c r="C55" s="53">
        <v>427255</v>
      </c>
      <c r="D55" s="54">
        <v>302987</v>
      </c>
      <c r="F55" s="55">
        <f t="shared" si="0"/>
        <v>365121</v>
      </c>
    </row>
    <row r="56" spans="2:6" hidden="1" outlineLevel="3" x14ac:dyDescent="0.2">
      <c r="B56" s="9" t="s">
        <v>85</v>
      </c>
      <c r="C56" s="53">
        <v>156732</v>
      </c>
      <c r="D56" s="54">
        <v>122519</v>
      </c>
      <c r="F56" s="55">
        <f t="shared" si="0"/>
        <v>139625.5</v>
      </c>
    </row>
    <row r="57" spans="2:6" ht="12.75" hidden="1" outlineLevel="3" thickBot="1" x14ac:dyDescent="0.25">
      <c r="B57" s="10" t="s">
        <v>86</v>
      </c>
      <c r="C57" s="57">
        <v>-182093</v>
      </c>
      <c r="D57" s="58">
        <v>0</v>
      </c>
      <c r="F57" s="59">
        <f t="shared" si="0"/>
        <v>-91046.5</v>
      </c>
    </row>
    <row r="58" spans="2:6" x14ac:dyDescent="0.2">
      <c r="B58" s="11"/>
      <c r="C58" s="60"/>
      <c r="D58" s="60"/>
      <c r="F58" s="60"/>
    </row>
    <row r="59" spans="2:6" x14ac:dyDescent="0.2">
      <c r="B59" s="13"/>
      <c r="C59" s="60"/>
      <c r="D59" s="60"/>
      <c r="F59" s="60"/>
    </row>
    <row r="60" spans="2:6" ht="12.75" thickBot="1" x14ac:dyDescent="0.25">
      <c r="B60" s="14"/>
    </row>
    <row r="61" spans="2:6" ht="12.75" thickBot="1" x14ac:dyDescent="0.25">
      <c r="B61" s="15" t="s">
        <v>50</v>
      </c>
      <c r="C61" s="33">
        <v>37621</v>
      </c>
      <c r="D61" s="33">
        <v>37256</v>
      </c>
      <c r="F61" s="35" t="s">
        <v>95</v>
      </c>
    </row>
    <row r="62" spans="2:6" x14ac:dyDescent="0.2">
      <c r="B62" s="2" t="s">
        <v>51</v>
      </c>
      <c r="C62" s="61">
        <f>C63+C78+C81</f>
        <v>256672258</v>
      </c>
      <c r="D62" s="61">
        <f>D63+D78+D81</f>
        <v>183407489</v>
      </c>
      <c r="F62" s="62">
        <f>F63+F78+F81</f>
        <v>220039873.5</v>
      </c>
    </row>
    <row r="63" spans="2:6" outlineLevel="1" x14ac:dyDescent="0.2">
      <c r="B63" s="3" t="s">
        <v>1</v>
      </c>
      <c r="C63" s="36">
        <f>C64+C73+C74</f>
        <v>190868880</v>
      </c>
      <c r="D63" s="36">
        <f>D64+D73+D74</f>
        <v>123104833</v>
      </c>
      <c r="F63" s="38">
        <f>F64+F73+F74</f>
        <v>156986856.5</v>
      </c>
    </row>
    <row r="64" spans="2:6" outlineLevel="2" collapsed="1" x14ac:dyDescent="0.2">
      <c r="B64" s="4" t="s">
        <v>12</v>
      </c>
      <c r="C64" s="39">
        <f>SUM(C65:C67)</f>
        <v>123569214</v>
      </c>
      <c r="D64" s="39">
        <f>SUM(D65:D67)</f>
        <v>73203958</v>
      </c>
      <c r="F64" s="41">
        <f>SUM(F65:F67)</f>
        <v>98386586</v>
      </c>
    </row>
    <row r="65" spans="2:6" hidden="1" outlineLevel="3" x14ac:dyDescent="0.2">
      <c r="B65" s="5" t="s">
        <v>13</v>
      </c>
      <c r="C65" s="42">
        <v>31511167</v>
      </c>
      <c r="D65" s="42">
        <v>13117058</v>
      </c>
      <c r="F65" s="44">
        <f t="shared" ref="F65:F84" si="1">AVERAGE(C65:D65)</f>
        <v>22314112.5</v>
      </c>
    </row>
    <row r="66" spans="2:6" hidden="1" outlineLevel="3" x14ac:dyDescent="0.2">
      <c r="B66" s="5" t="s">
        <v>14</v>
      </c>
      <c r="C66" s="42">
        <v>91777441</v>
      </c>
      <c r="D66" s="42">
        <v>0</v>
      </c>
      <c r="F66" s="44">
        <f t="shared" si="1"/>
        <v>45888720.5</v>
      </c>
    </row>
    <row r="67" spans="2:6" hidden="1" outlineLevel="3" collapsed="1" x14ac:dyDescent="0.2">
      <c r="B67" s="5" t="s">
        <v>15</v>
      </c>
      <c r="C67" s="42">
        <f>SUM(C68:C72)</f>
        <v>280606</v>
      </c>
      <c r="D67" s="42">
        <f>SUM(D68:D72)</f>
        <v>60086900</v>
      </c>
      <c r="F67" s="44">
        <f>SUM(F68:F72)</f>
        <v>30183753</v>
      </c>
    </row>
    <row r="68" spans="2:6" hidden="1" outlineLevel="4" x14ac:dyDescent="0.2">
      <c r="B68" s="16" t="s">
        <v>87</v>
      </c>
      <c r="C68" s="63">
        <v>280606</v>
      </c>
      <c r="D68" s="63">
        <v>6029799</v>
      </c>
      <c r="F68" s="64">
        <f t="shared" si="1"/>
        <v>3155202.5</v>
      </c>
    </row>
    <row r="69" spans="2:6" hidden="1" outlineLevel="4" x14ac:dyDescent="0.2">
      <c r="B69" s="16" t="s">
        <v>88</v>
      </c>
      <c r="C69" s="63">
        <v>0</v>
      </c>
      <c r="D69" s="63">
        <v>8563530</v>
      </c>
      <c r="F69" s="64">
        <f t="shared" si="1"/>
        <v>4281765</v>
      </c>
    </row>
    <row r="70" spans="2:6" hidden="1" outlineLevel="4" x14ac:dyDescent="0.2">
      <c r="B70" s="16" t="s">
        <v>89</v>
      </c>
      <c r="C70" s="63">
        <v>0</v>
      </c>
      <c r="D70" s="63">
        <v>13314594</v>
      </c>
      <c r="F70" s="64">
        <f t="shared" si="1"/>
        <v>6657297</v>
      </c>
    </row>
    <row r="71" spans="2:6" hidden="1" outlineLevel="4" x14ac:dyDescent="0.2">
      <c r="B71" s="16" t="s">
        <v>90</v>
      </c>
      <c r="C71" s="63">
        <v>0</v>
      </c>
      <c r="D71" s="63">
        <v>31443810</v>
      </c>
      <c r="F71" s="64">
        <f t="shared" si="1"/>
        <v>15721905</v>
      </c>
    </row>
    <row r="72" spans="2:6" hidden="1" outlineLevel="4" x14ac:dyDescent="0.2">
      <c r="B72" s="16" t="s">
        <v>91</v>
      </c>
      <c r="C72" s="63">
        <v>0</v>
      </c>
      <c r="D72" s="63">
        <v>735167</v>
      </c>
      <c r="F72" s="64">
        <f t="shared" si="1"/>
        <v>367583.5</v>
      </c>
    </row>
    <row r="73" spans="2:6" outlineLevel="2" x14ac:dyDescent="0.2">
      <c r="B73" s="4" t="s">
        <v>52</v>
      </c>
      <c r="C73" s="39">
        <v>63391222</v>
      </c>
      <c r="D73" s="39">
        <v>43260668</v>
      </c>
      <c r="F73" s="41">
        <f t="shared" si="1"/>
        <v>53325945</v>
      </c>
    </row>
    <row r="74" spans="2:6" outlineLevel="2" collapsed="1" x14ac:dyDescent="0.2">
      <c r="B74" s="4" t="s">
        <v>16</v>
      </c>
      <c r="C74" s="39">
        <f>SUM(C75:C77)</f>
        <v>3908444</v>
      </c>
      <c r="D74" s="39">
        <f>SUM(D75:D77)</f>
        <v>6640207</v>
      </c>
      <c r="F74" s="41">
        <f>SUM(F75:F77)</f>
        <v>5274325.5</v>
      </c>
    </row>
    <row r="75" spans="2:6" hidden="1" outlineLevel="3" x14ac:dyDescent="0.2">
      <c r="B75" s="5" t="s">
        <v>17</v>
      </c>
      <c r="C75" s="42">
        <v>2346938</v>
      </c>
      <c r="D75" s="42">
        <v>1848470</v>
      </c>
      <c r="F75" s="44">
        <f t="shared" si="1"/>
        <v>2097704</v>
      </c>
    </row>
    <row r="76" spans="2:6" hidden="1" outlineLevel="3" x14ac:dyDescent="0.2">
      <c r="B76" s="5" t="s">
        <v>18</v>
      </c>
      <c r="C76" s="42">
        <v>453290</v>
      </c>
      <c r="D76" s="42">
        <v>330869</v>
      </c>
      <c r="F76" s="44">
        <f t="shared" si="1"/>
        <v>392079.5</v>
      </c>
    </row>
    <row r="77" spans="2:6" hidden="1" outlineLevel="3" x14ac:dyDescent="0.2">
      <c r="B77" s="5" t="s">
        <v>19</v>
      </c>
      <c r="C77" s="42">
        <v>1108216</v>
      </c>
      <c r="D77" s="42">
        <v>4460868</v>
      </c>
      <c r="F77" s="44">
        <f t="shared" si="1"/>
        <v>2784542</v>
      </c>
    </row>
    <row r="78" spans="2:6" outlineLevel="1" x14ac:dyDescent="0.2">
      <c r="B78" s="3" t="s">
        <v>20</v>
      </c>
      <c r="C78" s="36">
        <f>C79+C80</f>
        <v>6593431</v>
      </c>
      <c r="D78" s="36">
        <f>D79+D80</f>
        <v>12082744</v>
      </c>
      <c r="F78" s="38">
        <f>F79+F80</f>
        <v>9338087.5</v>
      </c>
    </row>
    <row r="79" spans="2:6" outlineLevel="1" x14ac:dyDescent="0.2">
      <c r="B79" s="6" t="s">
        <v>52</v>
      </c>
      <c r="C79" s="45">
        <v>6468451</v>
      </c>
      <c r="D79" s="45">
        <v>12082744</v>
      </c>
      <c r="F79" s="47">
        <f t="shared" si="1"/>
        <v>9275597.5</v>
      </c>
    </row>
    <row r="80" spans="2:6" outlineLevel="2" x14ac:dyDescent="0.2">
      <c r="B80" s="6" t="s">
        <v>53</v>
      </c>
      <c r="C80" s="45">
        <v>124980</v>
      </c>
      <c r="D80" s="45">
        <v>0</v>
      </c>
      <c r="F80" s="47">
        <f t="shared" si="1"/>
        <v>62490</v>
      </c>
    </row>
    <row r="81" spans="2:21" outlineLevel="2" x14ac:dyDescent="0.2">
      <c r="B81" s="3" t="s">
        <v>21</v>
      </c>
      <c r="C81" s="36">
        <f>SUM(C82:C84)</f>
        <v>59209947</v>
      </c>
      <c r="D81" s="36">
        <f>SUM(D82:D84)</f>
        <v>48219912</v>
      </c>
      <c r="F81" s="38">
        <f>SUM(F82:F84)</f>
        <v>53714929.5</v>
      </c>
    </row>
    <row r="82" spans="2:21" outlineLevel="1" x14ac:dyDescent="0.2">
      <c r="B82" s="8" t="s">
        <v>22</v>
      </c>
      <c r="C82" s="51">
        <v>25902953</v>
      </c>
      <c r="D82" s="51">
        <v>24175728</v>
      </c>
      <c r="F82" s="52">
        <f t="shared" si="1"/>
        <v>25039340.5</v>
      </c>
    </row>
    <row r="83" spans="2:21" outlineLevel="2" x14ac:dyDescent="0.2">
      <c r="B83" s="8" t="s">
        <v>23</v>
      </c>
      <c r="C83" s="51">
        <v>24243092</v>
      </c>
      <c r="D83" s="51">
        <v>19495275</v>
      </c>
      <c r="F83" s="52">
        <f t="shared" si="1"/>
        <v>21869183.5</v>
      </c>
    </row>
    <row r="84" spans="2:21" ht="12.75" outlineLevel="2" thickBot="1" x14ac:dyDescent="0.25">
      <c r="B84" s="17" t="s">
        <v>24</v>
      </c>
      <c r="C84" s="65">
        <v>9063902</v>
      </c>
      <c r="D84" s="65">
        <v>4548909</v>
      </c>
      <c r="F84" s="66">
        <f t="shared" si="1"/>
        <v>6806405.5</v>
      </c>
    </row>
    <row r="85" spans="2:21" outlineLevel="2" x14ac:dyDescent="0.2">
      <c r="B85" s="15"/>
    </row>
    <row r="87" spans="2:21" x14ac:dyDescent="0.2">
      <c r="C87" s="18">
        <v>2002</v>
      </c>
      <c r="D87" s="18">
        <v>2001</v>
      </c>
      <c r="E87" s="18"/>
      <c r="F87" s="18">
        <v>2002</v>
      </c>
    </row>
    <row r="88" spans="2:21" x14ac:dyDescent="0.2">
      <c r="C88" s="32" t="s">
        <v>26</v>
      </c>
      <c r="D88" s="32" t="s">
        <v>26</v>
      </c>
      <c r="F88" s="32" t="s">
        <v>25</v>
      </c>
    </row>
    <row r="89" spans="2:21" x14ac:dyDescent="0.2">
      <c r="B89" s="69" t="s">
        <v>27</v>
      </c>
      <c r="C89" s="70">
        <f>SUM(C90:C91)</f>
        <v>46242572</v>
      </c>
      <c r="D89" s="70">
        <f>SUM(D90:D91)</f>
        <v>27968398</v>
      </c>
      <c r="F89" s="70">
        <f>SUM(F90:F91)</f>
        <v>27706045</v>
      </c>
      <c r="H89" s="77" t="s">
        <v>168</v>
      </c>
      <c r="I89" s="78">
        <f>I95</f>
        <v>126862028</v>
      </c>
      <c r="K89" s="81" t="s">
        <v>3</v>
      </c>
      <c r="L89" s="82">
        <f>F7+F26</f>
        <v>83876890</v>
      </c>
      <c r="N89" s="123" t="s">
        <v>138</v>
      </c>
      <c r="O89" s="124">
        <f>F5+F6+F17+F24+F34</f>
        <v>1744133</v>
      </c>
      <c r="Q89" s="75" t="s">
        <v>106</v>
      </c>
      <c r="R89" s="19">
        <f>I89</f>
        <v>126862028</v>
      </c>
      <c r="T89" s="75" t="s">
        <v>106</v>
      </c>
      <c r="U89" s="19">
        <f>R89</f>
        <v>126862028</v>
      </c>
    </row>
    <row r="90" spans="2:21" x14ac:dyDescent="0.2">
      <c r="B90" s="71" t="s">
        <v>4</v>
      </c>
      <c r="C90" s="67">
        <v>33764298</v>
      </c>
      <c r="D90" s="67">
        <v>20429224</v>
      </c>
      <c r="F90" s="67">
        <v>20161293</v>
      </c>
      <c r="H90" s="79" t="s">
        <v>108</v>
      </c>
      <c r="I90" s="80">
        <f>I89</f>
        <v>126862028</v>
      </c>
      <c r="K90" s="83" t="s">
        <v>108</v>
      </c>
      <c r="L90" s="84">
        <f>L89</f>
        <v>83876890</v>
      </c>
      <c r="N90" s="125" t="s">
        <v>139</v>
      </c>
      <c r="O90" s="126">
        <f>F36</f>
        <v>7556822.5</v>
      </c>
      <c r="Q90" s="76" t="s">
        <v>3</v>
      </c>
      <c r="R90" s="21">
        <f>L89</f>
        <v>83876890</v>
      </c>
      <c r="T90" s="76" t="s">
        <v>3</v>
      </c>
      <c r="U90" s="21">
        <f>R90</f>
        <v>83876890</v>
      </c>
    </row>
    <row r="91" spans="2:21" x14ac:dyDescent="0.2">
      <c r="B91" s="71" t="s">
        <v>44</v>
      </c>
      <c r="C91" s="67">
        <v>12478274</v>
      </c>
      <c r="D91" s="67">
        <v>7539174</v>
      </c>
      <c r="F91" s="67">
        <v>7544752</v>
      </c>
      <c r="H91" s="77" t="s">
        <v>12</v>
      </c>
      <c r="I91" s="78">
        <f>I101</f>
        <v>98386586</v>
      </c>
      <c r="K91" s="81" t="s">
        <v>119</v>
      </c>
      <c r="L91" s="82">
        <f>F73+F79</f>
        <v>62601542.5</v>
      </c>
      <c r="N91" s="127" t="s">
        <v>140</v>
      </c>
      <c r="O91" s="128">
        <f>SUM(O89:O90)</f>
        <v>9300955.5</v>
      </c>
      <c r="Q91" s="121" t="s">
        <v>121</v>
      </c>
      <c r="R91" s="122">
        <f>SUM(R89:R90)</f>
        <v>210738918</v>
      </c>
      <c r="T91" s="76" t="s">
        <v>138</v>
      </c>
      <c r="U91" s="21">
        <f>O89</f>
        <v>1744133</v>
      </c>
    </row>
    <row r="92" spans="2:21" x14ac:dyDescent="0.2">
      <c r="B92" s="22" t="s">
        <v>28</v>
      </c>
      <c r="C92" s="68">
        <f>SUM(C93:C95)</f>
        <v>-26009205</v>
      </c>
      <c r="D92" s="68">
        <f>SUM(D93:D95)</f>
        <v>-16559155</v>
      </c>
      <c r="F92" s="68">
        <f>SUM(F93:F95)</f>
        <v>-15302279</v>
      </c>
      <c r="H92" s="87" t="s">
        <v>107</v>
      </c>
      <c r="I92" s="86">
        <f>I89-I91</f>
        <v>28475442</v>
      </c>
      <c r="K92" s="103" t="s">
        <v>107</v>
      </c>
      <c r="L92" s="104">
        <f>L89-L91</f>
        <v>21275347.5</v>
      </c>
      <c r="N92" s="123" t="s">
        <v>141</v>
      </c>
      <c r="O92" s="124">
        <f>F74+F80</f>
        <v>5336815.5</v>
      </c>
      <c r="Q92" s="76" t="s">
        <v>12</v>
      </c>
      <c r="R92" s="21">
        <f>I91</f>
        <v>98386586</v>
      </c>
      <c r="T92" s="76" t="s">
        <v>139</v>
      </c>
      <c r="U92" s="21">
        <f>O90</f>
        <v>7556822.5</v>
      </c>
    </row>
    <row r="93" spans="2:21" x14ac:dyDescent="0.2">
      <c r="B93" s="71" t="s">
        <v>29</v>
      </c>
      <c r="C93" s="67">
        <v>-12690844</v>
      </c>
      <c r="D93" s="67">
        <v>-8068989</v>
      </c>
      <c r="F93" s="67">
        <v>-7191723</v>
      </c>
      <c r="H93" s="79" t="s">
        <v>109</v>
      </c>
      <c r="I93" s="80">
        <f>SUM(I91:I92)</f>
        <v>126862028</v>
      </c>
      <c r="K93" s="105" t="s">
        <v>109</v>
      </c>
      <c r="L93" s="106">
        <f>SUM(L91:L92)</f>
        <v>83876890</v>
      </c>
      <c r="N93" s="125" t="s">
        <v>107</v>
      </c>
      <c r="O93" s="126">
        <f>O91-O92</f>
        <v>3964140</v>
      </c>
      <c r="Q93" s="76" t="s">
        <v>119</v>
      </c>
      <c r="R93" s="21">
        <f>L91</f>
        <v>62601542.5</v>
      </c>
      <c r="T93" s="140" t="s">
        <v>49</v>
      </c>
      <c r="U93" s="141">
        <f>SUM(U89:U92)</f>
        <v>220039873.5</v>
      </c>
    </row>
    <row r="94" spans="2:21" x14ac:dyDescent="0.2">
      <c r="B94" s="71" t="s">
        <v>30</v>
      </c>
      <c r="C94" s="67">
        <v>-4994207</v>
      </c>
      <c r="D94" s="67">
        <v>-3134132</v>
      </c>
      <c r="F94" s="67">
        <v>-2594694</v>
      </c>
      <c r="H94" s="88" t="s">
        <v>143</v>
      </c>
      <c r="I94" s="78">
        <f>C90</f>
        <v>33764298</v>
      </c>
      <c r="K94" s="83" t="s">
        <v>105</v>
      </c>
      <c r="L94" s="104">
        <f>C91</f>
        <v>12478274</v>
      </c>
      <c r="N94" s="127" t="s">
        <v>142</v>
      </c>
      <c r="O94" s="128">
        <f>SUM(O92:O93)</f>
        <v>9300955.5</v>
      </c>
      <c r="Q94" s="76" t="s">
        <v>107</v>
      </c>
      <c r="R94" s="21">
        <f>L92+I92</f>
        <v>49750789.5</v>
      </c>
      <c r="T94" s="75" t="s">
        <v>12</v>
      </c>
      <c r="U94" s="19">
        <f>R92</f>
        <v>98386586</v>
      </c>
    </row>
    <row r="95" spans="2:21" x14ac:dyDescent="0.2">
      <c r="B95" s="71" t="s">
        <v>31</v>
      </c>
      <c r="C95" s="67">
        <v>-8324154</v>
      </c>
      <c r="D95" s="67">
        <v>-5356034</v>
      </c>
      <c r="F95" s="67">
        <v>-5515862</v>
      </c>
      <c r="H95" s="85" t="s">
        <v>97</v>
      </c>
      <c r="I95" s="86">
        <f>F10+F29</f>
        <v>126862028</v>
      </c>
      <c r="K95" s="107" t="str">
        <f>B7</f>
        <v>Títulos e valores mobiliários</v>
      </c>
      <c r="L95" s="104">
        <f>L89</f>
        <v>83876890</v>
      </c>
      <c r="N95" s="123" t="s">
        <v>145</v>
      </c>
      <c r="O95" s="124">
        <f>C101</f>
        <v>-420941</v>
      </c>
      <c r="Q95" s="121" t="s">
        <v>109</v>
      </c>
      <c r="R95" s="122">
        <f>SUM(R92:R94)</f>
        <v>210738918</v>
      </c>
      <c r="T95" s="76" t="s">
        <v>119</v>
      </c>
      <c r="U95" s="21">
        <f>R93</f>
        <v>62601542.5</v>
      </c>
    </row>
    <row r="96" spans="2:21" x14ac:dyDescent="0.2">
      <c r="B96" s="22" t="s">
        <v>43</v>
      </c>
      <c r="C96" s="68">
        <f>C89+C92</f>
        <v>20233367</v>
      </c>
      <c r="D96" s="68">
        <f>D89+D92</f>
        <v>11409243</v>
      </c>
      <c r="F96" s="68">
        <f>F89+F92</f>
        <v>12403766</v>
      </c>
      <c r="H96" s="79" t="s">
        <v>99</v>
      </c>
      <c r="I96" s="89">
        <f>I94/I95</f>
        <v>0.26614975759334386</v>
      </c>
      <c r="K96" s="83" t="s">
        <v>170</v>
      </c>
      <c r="L96" s="108">
        <f>L94/L95</f>
        <v>0.14876891596719907</v>
      </c>
      <c r="N96" s="129" t="s">
        <v>146</v>
      </c>
      <c r="O96" s="126">
        <f>C99</f>
        <v>-3628439</v>
      </c>
      <c r="T96" s="76" t="s">
        <v>141</v>
      </c>
      <c r="U96" s="21">
        <f>O92</f>
        <v>5336815.5</v>
      </c>
    </row>
    <row r="97" spans="2:21" x14ac:dyDescent="0.2">
      <c r="B97" s="22" t="s">
        <v>45</v>
      </c>
      <c r="C97" s="68">
        <f>SUM(C98,C99,C100,C102,C105)+C101</f>
        <v>-7202536</v>
      </c>
      <c r="D97" s="68">
        <f>SUM(D98,D99,D100,D102,D105)+D101</f>
        <v>-3465336</v>
      </c>
      <c r="F97" s="68">
        <f>SUM(F98,F99,F100,F102,F105)+F101</f>
        <v>-4339726</v>
      </c>
      <c r="H97" s="85" t="s">
        <v>174</v>
      </c>
      <c r="I97" s="86">
        <f>-C95-C103</f>
        <v>6530029</v>
      </c>
      <c r="K97" s="24"/>
      <c r="L97" s="25"/>
      <c r="N97" s="129" t="s">
        <v>147</v>
      </c>
      <c r="O97" s="126">
        <f>C100</f>
        <v>-3495814</v>
      </c>
      <c r="Q97" s="75" t="s">
        <v>122</v>
      </c>
      <c r="R97" s="26">
        <f>I99</f>
        <v>0.214676285956898</v>
      </c>
      <c r="T97" s="76" t="s">
        <v>154</v>
      </c>
      <c r="U97" s="21">
        <f>U93-SUM(U94:U96)</f>
        <v>53714929.5</v>
      </c>
    </row>
    <row r="98" spans="2:21" x14ac:dyDescent="0.2">
      <c r="B98" s="71" t="s">
        <v>32</v>
      </c>
      <c r="C98" s="67">
        <v>48173</v>
      </c>
      <c r="D98" s="67">
        <v>1367</v>
      </c>
      <c r="F98" s="67">
        <v>48173</v>
      </c>
      <c r="H98" s="85" t="s">
        <v>102</v>
      </c>
      <c r="I98" s="90">
        <f>I97/I95</f>
        <v>5.1473471636445854E-2</v>
      </c>
      <c r="K98" s="24"/>
      <c r="L98" s="25"/>
      <c r="N98" s="129" t="s">
        <v>148</v>
      </c>
      <c r="O98" s="126">
        <f>C105</f>
        <v>-1645531</v>
      </c>
      <c r="Q98" s="76" t="s">
        <v>156</v>
      </c>
      <c r="R98" s="27">
        <f>R89/R91*R97</f>
        <v>0.12923227118400599</v>
      </c>
      <c r="T98" s="140" t="s">
        <v>155</v>
      </c>
      <c r="U98" s="141">
        <f>SUM(U94:U97)</f>
        <v>220039873.5</v>
      </c>
    </row>
    <row r="99" spans="2:21" x14ac:dyDescent="0.2">
      <c r="B99" s="71" t="s">
        <v>46</v>
      </c>
      <c r="C99" s="67">
        <v>-3628439</v>
      </c>
      <c r="D99" s="67">
        <v>-2676386</v>
      </c>
      <c r="F99" s="67">
        <v>-2031194</v>
      </c>
      <c r="H99" s="79" t="s">
        <v>103</v>
      </c>
      <c r="I99" s="89">
        <f>I96-I98</f>
        <v>0.214676285956898</v>
      </c>
      <c r="K99" s="83" t="s">
        <v>120</v>
      </c>
      <c r="L99" s="108">
        <f>L96</f>
        <v>0.14876891596719907</v>
      </c>
      <c r="N99" s="129" t="s">
        <v>149</v>
      </c>
      <c r="O99" s="126">
        <f>C98+C104+C107</f>
        <v>-391956</v>
      </c>
      <c r="Q99" s="76" t="s">
        <v>123</v>
      </c>
      <c r="R99" s="27">
        <f>L99</f>
        <v>0.14876891596719907</v>
      </c>
      <c r="T99" s="75" t="s">
        <v>157</v>
      </c>
      <c r="U99" s="26">
        <f>R97*U89/U93</f>
        <v>0.12376969940404915</v>
      </c>
    </row>
    <row r="100" spans="2:21" x14ac:dyDescent="0.2">
      <c r="B100" s="71" t="s">
        <v>33</v>
      </c>
      <c r="C100" s="67">
        <f>-3916755+420941</f>
        <v>-3495814</v>
      </c>
      <c r="D100" s="67">
        <f>-2350742+283132</f>
        <v>-2067610</v>
      </c>
      <c r="F100" s="67">
        <f>-2415116+-217032</f>
        <v>-2632148</v>
      </c>
      <c r="H100" s="79" t="s">
        <v>169</v>
      </c>
      <c r="I100" s="86">
        <f>-C93</f>
        <v>12690844</v>
      </c>
      <c r="K100" s="83" t="s">
        <v>98</v>
      </c>
      <c r="L100" s="104">
        <f>-C94</f>
        <v>4994207</v>
      </c>
      <c r="N100" s="130" t="s">
        <v>150</v>
      </c>
      <c r="O100" s="131">
        <f>SUM(O95:O99)</f>
        <v>-9582681</v>
      </c>
      <c r="Q100" s="76" t="s">
        <v>124</v>
      </c>
      <c r="R100" s="27">
        <f>R90/R91*R99</f>
        <v>5.9212005634384057E-2</v>
      </c>
      <c r="T100" s="76" t="s">
        <v>158</v>
      </c>
      <c r="U100" s="27">
        <f>R99*U90/U93</f>
        <v>5.6709149126101456E-2</v>
      </c>
    </row>
    <row r="101" spans="2:21" x14ac:dyDescent="0.2">
      <c r="B101" s="71" t="s">
        <v>144</v>
      </c>
      <c r="C101" s="67">
        <v>-420941</v>
      </c>
      <c r="D101" s="67">
        <v>-283132</v>
      </c>
      <c r="F101" s="67">
        <v>217032</v>
      </c>
      <c r="H101" s="85" t="s">
        <v>12</v>
      </c>
      <c r="I101" s="86">
        <f>F64</f>
        <v>98386586</v>
      </c>
      <c r="K101" s="107" t="s">
        <v>119</v>
      </c>
      <c r="L101" s="104">
        <f>L91</f>
        <v>62601542.5</v>
      </c>
      <c r="N101" s="129" t="s">
        <v>151</v>
      </c>
      <c r="O101" s="132">
        <f>-O100/O94</f>
        <v>1.0302899524677869</v>
      </c>
      <c r="Q101" s="136" t="s">
        <v>125</v>
      </c>
      <c r="R101" s="137">
        <f>R98+R100</f>
        <v>0.18844427681839004</v>
      </c>
      <c r="T101" s="142" t="s">
        <v>159</v>
      </c>
      <c r="U101" s="143">
        <f>SUM(U99:U100)</f>
        <v>0.18047884853015062</v>
      </c>
    </row>
    <row r="102" spans="2:21" x14ac:dyDescent="0.2">
      <c r="B102" s="71" t="s">
        <v>34</v>
      </c>
      <c r="C102" s="67">
        <f>C103+C104</f>
        <v>1940016</v>
      </c>
      <c r="D102" s="67">
        <f>D103+D104</f>
        <v>2784809</v>
      </c>
      <c r="F102" s="67">
        <f>F103+F104</f>
        <v>876363</v>
      </c>
      <c r="H102" s="85" t="s">
        <v>100</v>
      </c>
      <c r="I102" s="90">
        <f>I100/I101</f>
        <v>0.12898957587571949</v>
      </c>
      <c r="K102" s="107" t="s">
        <v>100</v>
      </c>
      <c r="L102" s="109">
        <f>L100/L101</f>
        <v>7.9777698768365019E-2</v>
      </c>
      <c r="N102" s="125" t="s">
        <v>153</v>
      </c>
      <c r="O102" s="133">
        <f>O92/O93</f>
        <v>1.3462732143667984</v>
      </c>
      <c r="Q102" s="76" t="s">
        <v>126</v>
      </c>
      <c r="R102" s="27">
        <f>I102</f>
        <v>0.12898957587571949</v>
      </c>
      <c r="T102" s="76" t="s">
        <v>160</v>
      </c>
      <c r="U102" s="27">
        <f>R102*U94/(U94+U95+U96)</f>
        <v>7.6301507728149309E-2</v>
      </c>
    </row>
    <row r="103" spans="2:21" ht="12.75" thickBot="1" x14ac:dyDescent="0.25">
      <c r="B103" s="72" t="s">
        <v>92</v>
      </c>
      <c r="C103" s="67">
        <v>1794125</v>
      </c>
      <c r="D103" s="67">
        <v>2472018</v>
      </c>
      <c r="F103" s="67">
        <v>813838</v>
      </c>
      <c r="H103" s="79" t="s">
        <v>104</v>
      </c>
      <c r="I103" s="89">
        <f>I99-I102</f>
        <v>8.5686710081178508E-2</v>
      </c>
      <c r="K103" s="83" t="s">
        <v>104</v>
      </c>
      <c r="L103" s="108">
        <f>L96-L102</f>
        <v>6.8991217198834054E-2</v>
      </c>
      <c r="N103" s="134" t="s">
        <v>152</v>
      </c>
      <c r="O103" s="135">
        <f>O101*O102</f>
        <v>1.3870517660386232</v>
      </c>
      <c r="Q103" s="76" t="s">
        <v>127</v>
      </c>
      <c r="R103" s="27">
        <f>R92/(R92+R93)*R102</f>
        <v>7.8830930691886389E-2</v>
      </c>
      <c r="T103" s="76" t="s">
        <v>161</v>
      </c>
      <c r="U103" s="27">
        <f>R104*U95/(U94+U95+U96)</f>
        <v>3.0026807043446232E-2</v>
      </c>
    </row>
    <row r="104" spans="2:21" x14ac:dyDescent="0.2">
      <c r="B104" s="72" t="s">
        <v>93</v>
      </c>
      <c r="C104" s="67">
        <f>1940016-C103</f>
        <v>145891</v>
      </c>
      <c r="D104" s="67">
        <f>2784809-D103</f>
        <v>312791</v>
      </c>
      <c r="F104" s="67">
        <f>876363-F103</f>
        <v>62525</v>
      </c>
      <c r="H104" s="91" t="s">
        <v>114</v>
      </c>
      <c r="I104" s="92">
        <f>I99</f>
        <v>0.214676285956898</v>
      </c>
      <c r="K104" s="110" t="s">
        <v>114</v>
      </c>
      <c r="L104" s="111">
        <f>L96</f>
        <v>0.14876891596719907</v>
      </c>
      <c r="O104" s="12"/>
      <c r="Q104" s="76" t="s">
        <v>128</v>
      </c>
      <c r="R104" s="27">
        <f>L102</f>
        <v>7.9777698768365019E-2</v>
      </c>
      <c r="T104" s="142" t="s">
        <v>162</v>
      </c>
      <c r="U104" s="143">
        <f>SUM(U102:U103)</f>
        <v>0.10632831477159554</v>
      </c>
    </row>
    <row r="105" spans="2:21" x14ac:dyDescent="0.2">
      <c r="B105" s="71" t="s">
        <v>94</v>
      </c>
      <c r="C105" s="67">
        <v>-1645531</v>
      </c>
      <c r="D105" s="67">
        <v>-1224384</v>
      </c>
      <c r="F105" s="67">
        <v>-817952</v>
      </c>
      <c r="H105" s="93" t="s">
        <v>115</v>
      </c>
      <c r="I105" s="94">
        <f>I102</f>
        <v>0.12898957587571949</v>
      </c>
      <c r="K105" s="112" t="s">
        <v>115</v>
      </c>
      <c r="L105" s="113">
        <f>L102</f>
        <v>7.9777698768365019E-2</v>
      </c>
      <c r="N105" s="29"/>
      <c r="O105" s="12"/>
      <c r="Q105" s="76" t="s">
        <v>129</v>
      </c>
      <c r="R105" s="27">
        <f>R93/(R93+R92)*R104</f>
        <v>3.102220670886301E-2</v>
      </c>
      <c r="T105" s="20" t="s">
        <v>163</v>
      </c>
      <c r="U105" s="27">
        <f>U101-U104</f>
        <v>7.4150533758555071E-2</v>
      </c>
    </row>
    <row r="106" spans="2:21" ht="12.75" thickBot="1" x14ac:dyDescent="0.25">
      <c r="B106" s="22" t="s">
        <v>35</v>
      </c>
      <c r="C106" s="68">
        <f>SUM(C96,C97)</f>
        <v>13030831</v>
      </c>
      <c r="D106" s="68">
        <f>SUM(D96,D97)</f>
        <v>7943907</v>
      </c>
      <c r="F106" s="68">
        <f>SUM(F96,F97)</f>
        <v>8064040</v>
      </c>
      <c r="H106" s="95" t="s">
        <v>116</v>
      </c>
      <c r="I106" s="96">
        <f>I104-I105</f>
        <v>8.5686710081178508E-2</v>
      </c>
      <c r="K106" s="114" t="s">
        <v>116</v>
      </c>
      <c r="L106" s="115">
        <f>L104-L105</f>
        <v>6.8991217198834054E-2</v>
      </c>
      <c r="N106" s="29"/>
      <c r="O106" s="12"/>
      <c r="Q106" s="136" t="s">
        <v>130</v>
      </c>
      <c r="R106" s="137">
        <f>R103+R105</f>
        <v>0.1098531374007494</v>
      </c>
      <c r="T106" s="20" t="s">
        <v>164</v>
      </c>
      <c r="U106" s="28">
        <f>(U94+U95+U96)/U97</f>
        <v>3.0964379093153238</v>
      </c>
    </row>
    <row r="107" spans="2:21" x14ac:dyDescent="0.2">
      <c r="B107" s="71" t="s">
        <v>36</v>
      </c>
      <c r="C107" s="67">
        <v>-586020</v>
      </c>
      <c r="D107" s="67">
        <v>-170386</v>
      </c>
      <c r="F107" s="67">
        <v>-275645</v>
      </c>
      <c r="H107" s="85" t="s">
        <v>110</v>
      </c>
      <c r="I107" s="97">
        <f>I91/I92</f>
        <v>3.4551381502699763</v>
      </c>
      <c r="K107" s="107" t="s">
        <v>110</v>
      </c>
      <c r="L107" s="116">
        <f>L91/L92</f>
        <v>2.9424451233992772</v>
      </c>
      <c r="N107" s="29"/>
      <c r="O107" s="12"/>
      <c r="Q107" s="20" t="s">
        <v>131</v>
      </c>
      <c r="R107" s="27">
        <f>R101-R106</f>
        <v>7.8591139417640649E-2</v>
      </c>
      <c r="T107" s="20" t="s">
        <v>133</v>
      </c>
      <c r="U107" s="30">
        <f>U105*U106</f>
        <v>0.2296025237259556</v>
      </c>
    </row>
    <row r="108" spans="2:21" x14ac:dyDescent="0.2">
      <c r="B108" s="22" t="s">
        <v>37</v>
      </c>
      <c r="C108" s="68">
        <f>SUM(C106:C107)</f>
        <v>12444811</v>
      </c>
      <c r="D108" s="68">
        <f>SUM(D106:D107)</f>
        <v>7773521</v>
      </c>
      <c r="F108" s="68">
        <f>SUM(F106:F107)</f>
        <v>7788395</v>
      </c>
      <c r="H108" s="85" t="s">
        <v>117</v>
      </c>
      <c r="I108" s="90">
        <f>I106*I107</f>
        <v>0.29605942097260285</v>
      </c>
      <c r="K108" s="107" t="s">
        <v>117</v>
      </c>
      <c r="L108" s="109">
        <f>L106*L107</f>
        <v>0.20300287060408961</v>
      </c>
      <c r="N108" s="29"/>
      <c r="O108" s="12"/>
      <c r="Q108" s="20" t="s">
        <v>132</v>
      </c>
      <c r="R108" s="28">
        <f>(R92+R93)/R94</f>
        <v>3.2358909299318759</v>
      </c>
      <c r="T108" s="20" t="s">
        <v>165</v>
      </c>
      <c r="U108" s="27">
        <f>U107+U101</f>
        <v>0.41008137225610619</v>
      </c>
    </row>
    <row r="109" spans="2:21" x14ac:dyDescent="0.2">
      <c r="B109" s="22" t="s">
        <v>38</v>
      </c>
      <c r="C109" s="67"/>
      <c r="D109" s="67"/>
      <c r="F109" s="67"/>
      <c r="H109" s="98" t="s">
        <v>118</v>
      </c>
      <c r="I109" s="99">
        <f>I108+I104</f>
        <v>0.51073570692950088</v>
      </c>
      <c r="K109" s="117" t="s">
        <v>118</v>
      </c>
      <c r="L109" s="118">
        <f>L108+L104</f>
        <v>0.35177178657128871</v>
      </c>
      <c r="N109" s="29"/>
      <c r="O109" s="12"/>
      <c r="Q109" s="20" t="s">
        <v>133</v>
      </c>
      <c r="R109" s="27">
        <f>R107*R108</f>
        <v>0.25431235521455492</v>
      </c>
      <c r="T109" s="76" t="s">
        <v>166</v>
      </c>
      <c r="U109" s="27">
        <f>-O100/U97</f>
        <v>0.1783988378873326</v>
      </c>
    </row>
    <row r="110" spans="2:21" x14ac:dyDescent="0.2">
      <c r="B110" s="71" t="s">
        <v>39</v>
      </c>
      <c r="C110" s="67">
        <v>1866722</v>
      </c>
      <c r="D110" s="67">
        <v>1166028</v>
      </c>
      <c r="F110" s="67">
        <v>1168259</v>
      </c>
      <c r="H110" s="100" t="s">
        <v>111</v>
      </c>
      <c r="I110" s="78">
        <f>I94-I97-I100</f>
        <v>14543425</v>
      </c>
      <c r="K110" s="119" t="s">
        <v>111</v>
      </c>
      <c r="L110" s="82">
        <f>L94-L100</f>
        <v>7484067</v>
      </c>
      <c r="N110" s="29"/>
      <c r="O110" s="12"/>
      <c r="Q110" s="121" t="s">
        <v>134</v>
      </c>
      <c r="R110" s="138">
        <f>R109+R101</f>
        <v>0.44275663203294496</v>
      </c>
      <c r="T110" s="140" t="s">
        <v>167</v>
      </c>
      <c r="U110" s="144">
        <f>U108-U109</f>
        <v>0.23168253436877359</v>
      </c>
    </row>
    <row r="111" spans="2:21" x14ac:dyDescent="0.2">
      <c r="B111" s="71" t="s">
        <v>40</v>
      </c>
      <c r="C111" s="67">
        <v>622241</v>
      </c>
      <c r="D111" s="67">
        <v>388675</v>
      </c>
      <c r="F111" s="67">
        <v>389420</v>
      </c>
      <c r="H111" s="85" t="s">
        <v>112</v>
      </c>
      <c r="I111" s="86">
        <f>I92</f>
        <v>28475442</v>
      </c>
      <c r="K111" s="107" t="s">
        <v>112</v>
      </c>
      <c r="L111" s="104">
        <f>L92</f>
        <v>21275347.5</v>
      </c>
      <c r="N111" s="29"/>
      <c r="O111" s="12"/>
    </row>
    <row r="112" spans="2:21" x14ac:dyDescent="0.2">
      <c r="B112" s="71" t="s">
        <v>41</v>
      </c>
      <c r="C112" s="67">
        <v>891946</v>
      </c>
      <c r="D112" s="67">
        <v>1669909</v>
      </c>
      <c r="F112" s="67">
        <v>342497</v>
      </c>
      <c r="H112" s="101" t="s">
        <v>113</v>
      </c>
      <c r="I112" s="102">
        <f>I110/I111</f>
        <v>0.51073570692950088</v>
      </c>
      <c r="K112" s="105" t="s">
        <v>113</v>
      </c>
      <c r="L112" s="120">
        <f>L110/L111</f>
        <v>0.35177178657128866</v>
      </c>
      <c r="N112" s="29"/>
      <c r="O112" s="29"/>
      <c r="Q112" s="23" t="s">
        <v>96</v>
      </c>
      <c r="R112" s="19">
        <f>I94</f>
        <v>33764298</v>
      </c>
      <c r="T112" s="1" t="s">
        <v>171</v>
      </c>
    </row>
    <row r="113" spans="2:18" x14ac:dyDescent="0.2">
      <c r="B113" s="71" t="s">
        <v>42</v>
      </c>
      <c r="C113" s="67">
        <v>9063902</v>
      </c>
      <c r="D113" s="67">
        <v>4548909</v>
      </c>
      <c r="F113" s="67">
        <v>5888219</v>
      </c>
      <c r="N113" s="29"/>
      <c r="O113" s="29"/>
      <c r="Q113" s="24" t="s">
        <v>105</v>
      </c>
      <c r="R113" s="21">
        <f>L94</f>
        <v>12478274</v>
      </c>
    </row>
    <row r="114" spans="2:18" x14ac:dyDescent="0.2">
      <c r="B114" s="73" t="s">
        <v>47</v>
      </c>
      <c r="C114" s="74">
        <f>SUM(C110:C113)</f>
        <v>12444811</v>
      </c>
      <c r="D114" s="74">
        <f>SUM(D110:D113)</f>
        <v>7773521</v>
      </c>
      <c r="F114" s="74">
        <f>SUM(F110:F113)</f>
        <v>7788395</v>
      </c>
      <c r="I114" s="31"/>
      <c r="Q114" s="20" t="s">
        <v>101</v>
      </c>
      <c r="R114" s="21">
        <f>-I97</f>
        <v>-6530029</v>
      </c>
    </row>
    <row r="115" spans="2:18" x14ac:dyDescent="0.2">
      <c r="C115" s="32">
        <f>C114-C108</f>
        <v>0</v>
      </c>
      <c r="D115" s="32">
        <f>D114-D108</f>
        <v>0</v>
      </c>
      <c r="F115" s="32">
        <f>F114-F108</f>
        <v>0</v>
      </c>
      <c r="Q115" s="24" t="s">
        <v>98</v>
      </c>
      <c r="R115" s="21">
        <f>-I100</f>
        <v>-12690844</v>
      </c>
    </row>
    <row r="116" spans="2:18" x14ac:dyDescent="0.2">
      <c r="Q116" s="24" t="s">
        <v>135</v>
      </c>
      <c r="R116" s="21">
        <f>-L100</f>
        <v>-4994207</v>
      </c>
    </row>
    <row r="117" spans="2:18" x14ac:dyDescent="0.2">
      <c r="B117" s="1" t="s">
        <v>172</v>
      </c>
      <c r="Q117" s="76" t="s">
        <v>35</v>
      </c>
      <c r="R117" s="21">
        <f>SUM(R112:R116)</f>
        <v>22027492</v>
      </c>
    </row>
    <row r="118" spans="2:18" x14ac:dyDescent="0.2">
      <c r="B118" s="1" t="s">
        <v>173</v>
      </c>
      <c r="Q118" s="76" t="s">
        <v>136</v>
      </c>
      <c r="R118" s="21">
        <f>R94</f>
        <v>49750789.5</v>
      </c>
    </row>
    <row r="119" spans="2:18" x14ac:dyDescent="0.2">
      <c r="Q119" s="139" t="s">
        <v>137</v>
      </c>
      <c r="R119" s="138">
        <f>R117/R118</f>
        <v>0.44275663203294491</v>
      </c>
    </row>
    <row r="139" spans="9:9" x14ac:dyDescent="0.2">
      <c r="I139" s="31"/>
    </row>
    <row r="140" spans="9:9" x14ac:dyDescent="0.2">
      <c r="I140" s="31"/>
    </row>
    <row r="141" spans="9:9" x14ac:dyDescent="0.2">
      <c r="I141" s="31"/>
    </row>
    <row r="142" spans="9:9" x14ac:dyDescent="0.2">
      <c r="I142" s="31"/>
    </row>
    <row r="143" spans="9:9" x14ac:dyDescent="0.2">
      <c r="I143" s="31"/>
    </row>
    <row r="144" spans="9:9" x14ac:dyDescent="0.2">
      <c r="I144" s="31"/>
    </row>
    <row r="145" spans="9:9" x14ac:dyDescent="0.2">
      <c r="I145" s="31"/>
    </row>
    <row r="146" spans="9:9" x14ac:dyDescent="0.2">
      <c r="I146" s="31"/>
    </row>
    <row r="147" spans="9:9" x14ac:dyDescent="0.2">
      <c r="I147" s="31"/>
    </row>
    <row r="148" spans="9:9" x14ac:dyDescent="0.2">
      <c r="I148" s="31"/>
    </row>
    <row r="149" spans="9:9" x14ac:dyDescent="0.2">
      <c r="I149" s="31"/>
    </row>
    <row r="150" spans="9:9" x14ac:dyDescent="0.2">
      <c r="I150" s="31"/>
    </row>
    <row r="151" spans="9:9" x14ac:dyDescent="0.2">
      <c r="I151" s="31"/>
    </row>
    <row r="152" spans="9:9" x14ac:dyDescent="0.2">
      <c r="I152" s="31"/>
    </row>
    <row r="153" spans="9:9" x14ac:dyDescent="0.2">
      <c r="I153" s="3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BP e DRE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</dc:creator>
  <cp:lastModifiedBy>.</cp:lastModifiedBy>
  <dcterms:created xsi:type="dcterms:W3CDTF">2003-09-08T19:29:55Z</dcterms:created>
  <dcterms:modified xsi:type="dcterms:W3CDTF">2017-05-19T13:54:32Z</dcterms:modified>
</cp:coreProperties>
</file>