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3804" windowHeight="5112"/>
  </bookViews>
  <sheets>
    <sheet name="slide 38" sheetId="4" r:id="rId1"/>
    <sheet name="slide 39" sheetId="5" r:id="rId2"/>
    <sheet name="Lista 1" sheetId="1" r:id="rId3"/>
    <sheet name="Lista 2" sheetId="2" r:id="rId4"/>
    <sheet name="LIsta 3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14" i="4"/>
  <c r="B10" i="4"/>
  <c r="G13" i="4"/>
  <c r="E12" i="4"/>
  <c r="B9" i="4"/>
  <c r="B17" i="3"/>
  <c r="B12" i="3"/>
  <c r="G15" i="3"/>
  <c r="E14" i="3"/>
  <c r="B13" i="3"/>
  <c r="B29" i="2"/>
  <c r="B25" i="2"/>
  <c r="B17" i="2"/>
  <c r="C6" i="2"/>
  <c r="B6" i="2"/>
  <c r="F24" i="2"/>
  <c r="E23" i="2"/>
  <c r="B22" i="2"/>
  <c r="B21" i="2"/>
  <c r="F16" i="2"/>
  <c r="E15" i="2"/>
  <c r="C27" i="1"/>
  <c r="C29" i="1" s="1"/>
  <c r="G25" i="1"/>
  <c r="F24" i="1"/>
  <c r="C15" i="1"/>
  <c r="E15" i="1"/>
  <c r="F15" i="1"/>
  <c r="G15" i="1"/>
  <c r="H15" i="1"/>
  <c r="D15" i="1"/>
  <c r="E12" i="1"/>
  <c r="F12" i="1"/>
  <c r="G12" i="1"/>
  <c r="H12" i="1"/>
  <c r="E13" i="1"/>
  <c r="F13" i="1"/>
  <c r="G13" i="1"/>
  <c r="H13" i="1"/>
  <c r="D13" i="1"/>
  <c r="D12" i="1"/>
  <c r="E11" i="1"/>
  <c r="F11" i="1"/>
  <c r="G11" i="1"/>
  <c r="H11" i="1"/>
  <c r="D11" i="1"/>
  <c r="F10" i="1"/>
  <c r="G10" i="1"/>
  <c r="H10" i="1"/>
  <c r="E10" i="1"/>
  <c r="D10" i="1"/>
  <c r="E8" i="1"/>
  <c r="F8" i="1"/>
  <c r="G8" i="1"/>
  <c r="H8" i="1"/>
  <c r="D8" i="1"/>
  <c r="F7" i="1"/>
  <c r="G7" i="1" s="1"/>
  <c r="H7" i="1" s="1"/>
  <c r="F9" i="1"/>
  <c r="G9" i="1" s="1"/>
  <c r="H9" i="1" s="1"/>
  <c r="E9" i="1"/>
  <c r="E7" i="1"/>
  <c r="F6" i="1"/>
  <c r="G6" i="1"/>
  <c r="H6" i="1" s="1"/>
  <c r="E6" i="1"/>
</calcChain>
</file>

<file path=xl/sharedStrings.xml><?xml version="1.0" encoding="utf-8"?>
<sst xmlns="http://schemas.openxmlformats.org/spreadsheetml/2006/main" count="86" uniqueCount="56">
  <si>
    <t>Investimento</t>
  </si>
  <si>
    <t>Ano 0</t>
  </si>
  <si>
    <t>Ano 1</t>
  </si>
  <si>
    <t>Ano 2</t>
  </si>
  <si>
    <t>Ano 3</t>
  </si>
  <si>
    <t>Ano 4</t>
  </si>
  <si>
    <t>Ano 5</t>
  </si>
  <si>
    <t>Receita</t>
  </si>
  <si>
    <t>Custos</t>
  </si>
  <si>
    <t>Despesas</t>
  </si>
  <si>
    <t>Lucro bruto</t>
  </si>
  <si>
    <t>Depreciação</t>
  </si>
  <si>
    <t>LAIR</t>
  </si>
  <si>
    <t>IR</t>
  </si>
  <si>
    <t>Lucro líquido</t>
  </si>
  <si>
    <t>Fluxo de Caixa</t>
  </si>
  <si>
    <t>RF</t>
  </si>
  <si>
    <t>Beta</t>
  </si>
  <si>
    <t>RM - RF</t>
  </si>
  <si>
    <t>Custo do capital de terceiros [Ki (após IR) = Ki (antes IR) x (1 - IR)]
)</t>
  </si>
  <si>
    <t>Custo do capital próprio [Ke = RF + β x (RM - RF)
]</t>
  </si>
  <si>
    <t>Ki antes IR</t>
  </si>
  <si>
    <t>WAAC</t>
  </si>
  <si>
    <t>VPL</t>
  </si>
  <si>
    <t>Aliquota IR</t>
  </si>
  <si>
    <t>Capital próprio</t>
  </si>
  <si>
    <t>P/PL</t>
  </si>
  <si>
    <t>Indicador</t>
  </si>
  <si>
    <t>Papel e celulose</t>
  </si>
  <si>
    <t>Construção civil</t>
  </si>
  <si>
    <t>Endividamento (P/PL)</t>
  </si>
  <si>
    <t>Coeficiente beta</t>
  </si>
  <si>
    <t>RM</t>
  </si>
  <si>
    <t>0,8PL + PL = PAS</t>
  </si>
  <si>
    <t>1,8PL = PAS</t>
  </si>
  <si>
    <t>Beta não alavancado</t>
  </si>
  <si>
    <t>P/PL histórico</t>
  </si>
  <si>
    <t xml:space="preserve">Beta </t>
  </si>
  <si>
    <t>EMPRESA</t>
  </si>
  <si>
    <t>Covarância</t>
  </si>
  <si>
    <t>Endividamento</t>
  </si>
  <si>
    <t>milhões</t>
  </si>
  <si>
    <t>Capital</t>
  </si>
  <si>
    <t>Risco empresa</t>
  </si>
  <si>
    <t>Risco mercado</t>
  </si>
  <si>
    <t>Capital Proprio</t>
  </si>
  <si>
    <t>Bu</t>
  </si>
  <si>
    <t>Rm - Rf</t>
  </si>
  <si>
    <t>Rf</t>
  </si>
  <si>
    <t>Fonte de Capital</t>
  </si>
  <si>
    <t>Proporção</t>
  </si>
  <si>
    <t>Custo anual após IR</t>
  </si>
  <si>
    <t>Dívidas de LP</t>
  </si>
  <si>
    <t>Capital Próprio</t>
  </si>
  <si>
    <t>TIR</t>
  </si>
  <si>
    <t>Não aceito (WAAC &gt; TIR)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</si>
</sst>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Perpetua"/>
      <family val="1"/>
    </font>
    <font>
      <sz val="11"/>
      <color rgb="FF000000"/>
      <name val="Perpetua"/>
      <family val="1"/>
    </font>
    <font>
      <b/>
      <sz val="11"/>
      <color rgb="FFFFFFFF"/>
      <name val="Perpetua"/>
      <family val="1"/>
    </font>
  </fonts>
  <fills count="5">
    <fill>
      <patternFill patternType="none"/>
    </fill>
    <fill>
      <patternFill patternType="gray125"/>
    </fill>
    <fill>
      <patternFill patternType="solid">
        <fgColor rgb="FFD34817"/>
        <bgColor indexed="64"/>
      </patternFill>
    </fill>
    <fill>
      <patternFill patternType="solid">
        <fgColor rgb="FFEFCFCC"/>
        <bgColor indexed="64"/>
      </patternFill>
    </fill>
    <fill>
      <patternFill patternType="solid">
        <fgColor rgb="FFF7E9E7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/>
    <xf numFmtId="10" fontId="0" fillId="0" borderId="0" xfId="1" applyNumberFormat="1" applyFont="1"/>
    <xf numFmtId="9" fontId="0" fillId="0" borderId="0" xfId="1" applyNumberFormat="1" applyFont="1"/>
    <xf numFmtId="164" fontId="0" fillId="0" borderId="0" xfId="2" applyNumberFormat="1" applyFont="1"/>
    <xf numFmtId="10" fontId="0" fillId="0" borderId="0" xfId="2" applyNumberFormat="1" applyFont="1"/>
    <xf numFmtId="8" fontId="0" fillId="0" borderId="0" xfId="1" applyNumberFormat="1" applyFont="1"/>
    <xf numFmtId="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Border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10" fontId="2" fillId="0" borderId="0" xfId="2" applyNumberFormat="1" applyFont="1"/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left" vertical="center" wrapText="1" indent="1" readingOrder="1"/>
    </xf>
    <xf numFmtId="0" fontId="4" fillId="3" borderId="4" xfId="0" applyFont="1" applyFill="1" applyBorder="1" applyAlignment="1">
      <alignment horizontal="left" vertical="center" wrapText="1" indent="1" readingOrder="1"/>
    </xf>
    <xf numFmtId="9" fontId="4" fillId="3" borderId="4" xfId="0" applyNumberFormat="1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left" vertical="center" wrapText="1" indent="1" readingOrder="1"/>
    </xf>
    <xf numFmtId="9" fontId="4" fillId="4" borderId="5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E25" sqref="E25"/>
    </sheetView>
  </sheetViews>
  <sheetFormatPr defaultRowHeight="14.4" x14ac:dyDescent="0.3"/>
  <cols>
    <col min="1" max="1" width="13.21875" bestFit="1" customWidth="1"/>
  </cols>
  <sheetData>
    <row r="2" spans="1:7" x14ac:dyDescent="0.3">
      <c r="A2" t="s">
        <v>26</v>
      </c>
      <c r="B2" s="10">
        <v>1.25</v>
      </c>
    </row>
    <row r="3" spans="1:7" x14ac:dyDescent="0.3">
      <c r="A3" t="s">
        <v>46</v>
      </c>
      <c r="B3">
        <v>1.3</v>
      </c>
    </row>
    <row r="4" spans="1:7" x14ac:dyDescent="0.3">
      <c r="A4" t="s">
        <v>48</v>
      </c>
      <c r="B4" s="10">
        <v>0.08</v>
      </c>
    </row>
    <row r="5" spans="1:7" x14ac:dyDescent="0.3">
      <c r="A5" t="s">
        <v>47</v>
      </c>
      <c r="B5" s="10">
        <v>0.06</v>
      </c>
    </row>
    <row r="6" spans="1:7" x14ac:dyDescent="0.3">
      <c r="A6" t="s">
        <v>21</v>
      </c>
      <c r="B6" s="6">
        <v>0.1</v>
      </c>
    </row>
    <row r="7" spans="1:7" x14ac:dyDescent="0.3">
      <c r="A7" t="s">
        <v>24</v>
      </c>
      <c r="B7" s="6">
        <v>0.4</v>
      </c>
    </row>
    <row r="9" spans="1:7" x14ac:dyDescent="0.3">
      <c r="A9" t="s">
        <v>17</v>
      </c>
      <c r="B9">
        <f>B3*(1+B2*(1-B7))</f>
        <v>2.2749999999999999</v>
      </c>
    </row>
    <row r="10" spans="1:7" x14ac:dyDescent="0.3">
      <c r="A10" t="s">
        <v>25</v>
      </c>
      <c r="B10" s="8">
        <f>1/(1+B2)</f>
        <v>0.44444444444444442</v>
      </c>
    </row>
    <row r="12" spans="1:7" x14ac:dyDescent="0.3">
      <c r="A12" s="4" t="s">
        <v>20</v>
      </c>
      <c r="B12" s="3"/>
      <c r="C12" s="3"/>
      <c r="D12" s="3"/>
      <c r="E12" s="8">
        <f>B4+B9*B5</f>
        <v>0.21649999999999997</v>
      </c>
      <c r="F12" s="3"/>
    </row>
    <row r="13" spans="1:7" x14ac:dyDescent="0.3">
      <c r="A13" s="4" t="s">
        <v>19</v>
      </c>
      <c r="B13" s="3"/>
      <c r="C13" s="3"/>
      <c r="D13" s="3"/>
      <c r="E13" s="3"/>
      <c r="G13" s="8">
        <f>B6*(1-B7)</f>
        <v>0.06</v>
      </c>
    </row>
    <row r="14" spans="1:7" x14ac:dyDescent="0.3">
      <c r="A14" t="s">
        <v>22</v>
      </c>
      <c r="B14" s="20">
        <f>E12*B10+G13*(1-B10)</f>
        <v>0.12955555555555553</v>
      </c>
      <c r="C14" s="3"/>
      <c r="D14" s="3"/>
      <c r="E14" s="3"/>
      <c r="F14" s="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1" sqref="C11"/>
    </sheetView>
  </sheetViews>
  <sheetFormatPr defaultRowHeight="14.4" x14ac:dyDescent="0.3"/>
  <cols>
    <col min="1" max="1" width="14.33203125" customWidth="1"/>
    <col min="2" max="2" width="10.21875" customWidth="1"/>
    <col min="3" max="3" width="12.6640625" customWidth="1"/>
  </cols>
  <sheetData>
    <row r="1" spans="1:3" ht="15" thickBot="1" x14ac:dyDescent="0.35"/>
    <row r="2" spans="1:3" ht="30.6" thickBot="1" x14ac:dyDescent="0.35">
      <c r="A2" s="21" t="s">
        <v>49</v>
      </c>
      <c r="B2" s="21" t="s">
        <v>50</v>
      </c>
      <c r="C2" s="22" t="s">
        <v>51</v>
      </c>
    </row>
    <row r="3" spans="1:3" ht="16.2" thickTop="1" thickBot="1" x14ac:dyDescent="0.35">
      <c r="A3" s="23" t="s">
        <v>52</v>
      </c>
      <c r="B3" s="24">
        <v>0.4</v>
      </c>
      <c r="C3" s="24">
        <v>0.1</v>
      </c>
    </row>
    <row r="4" spans="1:3" ht="15.6" thickBot="1" x14ac:dyDescent="0.35">
      <c r="A4" s="25" t="s">
        <v>53</v>
      </c>
      <c r="B4" s="26">
        <v>0.6</v>
      </c>
      <c r="C4" s="26">
        <v>0.14000000000000001</v>
      </c>
    </row>
    <row r="6" spans="1:3" x14ac:dyDescent="0.3">
      <c r="A6" s="1" t="s">
        <v>54</v>
      </c>
      <c r="B6" s="10">
        <v>0.1</v>
      </c>
    </row>
    <row r="8" spans="1:3" x14ac:dyDescent="0.3">
      <c r="A8" t="s">
        <v>22</v>
      </c>
      <c r="B8" s="27">
        <f>B3*C3+B4*C4</f>
        <v>0.12400000000000001</v>
      </c>
    </row>
    <row r="10" spans="1:3" x14ac:dyDescent="0.3">
      <c r="A10" t="s">
        <v>55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topLeftCell="B9" zoomScale="110" zoomScaleNormal="110" workbookViewId="0">
      <selection activeCell="B18" sqref="B18:C21"/>
    </sheetView>
  </sheetViews>
  <sheetFormatPr defaultRowHeight="14.4" x14ac:dyDescent="0.3"/>
  <cols>
    <col min="2" max="2" width="13.109375" customWidth="1"/>
    <col min="3" max="3" width="12.6640625" style="3" bestFit="1" customWidth="1"/>
    <col min="4" max="8" width="11.33203125" style="3" bestFit="1" customWidth="1"/>
    <col min="9" max="9" width="8.88671875" style="3"/>
  </cols>
  <sheetData>
    <row r="3" spans="2:8" x14ac:dyDescent="0.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x14ac:dyDescent="0.3">
      <c r="B4" t="s">
        <v>0</v>
      </c>
      <c r="C4" s="3">
        <v>-300000</v>
      </c>
    </row>
    <row r="6" spans="2:8" x14ac:dyDescent="0.3">
      <c r="B6" t="s">
        <v>7</v>
      </c>
      <c r="D6" s="3">
        <v>300000</v>
      </c>
      <c r="E6" s="3">
        <f>D6*1.05</f>
        <v>315000</v>
      </c>
      <c r="F6" s="3">
        <f t="shared" ref="F6:H6" si="0">E6*1.05</f>
        <v>330750</v>
      </c>
      <c r="G6" s="3">
        <f t="shared" si="0"/>
        <v>347287.5</v>
      </c>
      <c r="H6" s="3">
        <f t="shared" si="0"/>
        <v>364651.875</v>
      </c>
    </row>
    <row r="7" spans="2:8" x14ac:dyDescent="0.3">
      <c r="B7" t="s">
        <v>8</v>
      </c>
      <c r="D7" s="3">
        <v>-75000</v>
      </c>
      <c r="E7" s="3">
        <f>D7*1.06</f>
        <v>-79500</v>
      </c>
      <c r="F7" s="3">
        <f t="shared" ref="F7:H7" si="1">E7*1.06</f>
        <v>-84270</v>
      </c>
      <c r="G7" s="3">
        <f t="shared" si="1"/>
        <v>-89326.200000000012</v>
      </c>
      <c r="H7" s="3">
        <f t="shared" si="1"/>
        <v>-94685.772000000012</v>
      </c>
    </row>
    <row r="8" spans="2:8" x14ac:dyDescent="0.3">
      <c r="B8" t="s">
        <v>10</v>
      </c>
      <c r="D8" s="3">
        <f>D6+D7</f>
        <v>225000</v>
      </c>
      <c r="E8" s="3">
        <f t="shared" ref="E8:H8" si="2">E6+E7</f>
        <v>235500</v>
      </c>
      <c r="F8" s="3">
        <f t="shared" si="2"/>
        <v>246480</v>
      </c>
      <c r="G8" s="3">
        <f t="shared" si="2"/>
        <v>257961.3</v>
      </c>
      <c r="H8" s="3">
        <f t="shared" si="2"/>
        <v>269966.103</v>
      </c>
    </row>
    <row r="9" spans="2:8" x14ac:dyDescent="0.3">
      <c r="B9" t="s">
        <v>9</v>
      </c>
      <c r="D9" s="3">
        <v>-93000</v>
      </c>
      <c r="E9" s="3">
        <f>D9*1.08</f>
        <v>-100440</v>
      </c>
      <c r="F9" s="3">
        <f t="shared" ref="F9:H9" si="3">E9*1.08</f>
        <v>-108475.20000000001</v>
      </c>
      <c r="G9" s="3">
        <f t="shared" si="3"/>
        <v>-117153.21600000001</v>
      </c>
      <c r="H9" s="3">
        <f t="shared" si="3"/>
        <v>-126525.47328000002</v>
      </c>
    </row>
    <row r="10" spans="2:8" x14ac:dyDescent="0.3">
      <c r="B10" t="s">
        <v>11</v>
      </c>
      <c r="D10" s="3">
        <f>C4/5</f>
        <v>-60000</v>
      </c>
      <c r="E10" s="3">
        <f>D10</f>
        <v>-60000</v>
      </c>
      <c r="F10" s="3">
        <f t="shared" ref="F10:H10" si="4">E10</f>
        <v>-60000</v>
      </c>
      <c r="G10" s="3">
        <f t="shared" si="4"/>
        <v>-60000</v>
      </c>
      <c r="H10" s="3">
        <f t="shared" si="4"/>
        <v>-60000</v>
      </c>
    </row>
    <row r="11" spans="2:8" x14ac:dyDescent="0.3">
      <c r="B11" t="s">
        <v>12</v>
      </c>
      <c r="D11" s="3">
        <f>+D8+D9+D10</f>
        <v>72000</v>
      </c>
      <c r="E11" s="3">
        <f t="shared" ref="E11:H11" si="5">+E8+E9+E10</f>
        <v>75060</v>
      </c>
      <c r="F11" s="3">
        <f t="shared" si="5"/>
        <v>78004.799999999988</v>
      </c>
      <c r="G11" s="3">
        <f t="shared" si="5"/>
        <v>80808.083999999973</v>
      </c>
      <c r="H11" s="3">
        <f t="shared" si="5"/>
        <v>83440.629719999968</v>
      </c>
    </row>
    <row r="12" spans="2:8" x14ac:dyDescent="0.3">
      <c r="B12" t="s">
        <v>13</v>
      </c>
      <c r="D12" s="3">
        <f>-D11*0.34</f>
        <v>-24480</v>
      </c>
      <c r="E12" s="3">
        <f t="shared" ref="E12:H12" si="6">-E11*0.34</f>
        <v>-25520.400000000001</v>
      </c>
      <c r="F12" s="3">
        <f t="shared" si="6"/>
        <v>-26521.631999999998</v>
      </c>
      <c r="G12" s="3">
        <f t="shared" si="6"/>
        <v>-27474.748559999993</v>
      </c>
      <c r="H12" s="3">
        <f t="shared" si="6"/>
        <v>-28369.814104799992</v>
      </c>
    </row>
    <row r="13" spans="2:8" x14ac:dyDescent="0.3">
      <c r="B13" t="s">
        <v>14</v>
      </c>
      <c r="D13" s="3">
        <f>D11+D12</f>
        <v>47520</v>
      </c>
      <c r="E13" s="3">
        <f t="shared" ref="E13:H13" si="7">E11+E12</f>
        <v>49539.6</v>
      </c>
      <c r="F13" s="3">
        <f t="shared" si="7"/>
        <v>51483.167999999991</v>
      </c>
      <c r="G13" s="3">
        <f t="shared" si="7"/>
        <v>53333.335439999981</v>
      </c>
      <c r="H13" s="3">
        <f t="shared" si="7"/>
        <v>55070.815615199972</v>
      </c>
    </row>
    <row r="15" spans="2:8" x14ac:dyDescent="0.3">
      <c r="B15" t="s">
        <v>15</v>
      </c>
      <c r="C15" s="3">
        <f>C4</f>
        <v>-300000</v>
      </c>
      <c r="D15" s="3">
        <f>D13-D10</f>
        <v>107520</v>
      </c>
      <c r="E15" s="3">
        <f t="shared" ref="E15:H15" si="8">E13-E10</f>
        <v>109539.6</v>
      </c>
      <c r="F15" s="3">
        <f t="shared" si="8"/>
        <v>111483.16799999999</v>
      </c>
      <c r="G15" s="3">
        <f t="shared" si="8"/>
        <v>113333.33543999998</v>
      </c>
      <c r="H15" s="3">
        <f t="shared" si="8"/>
        <v>115070.81561519997</v>
      </c>
    </row>
    <row r="17" spans="2:7" x14ac:dyDescent="0.3">
      <c r="B17" t="s">
        <v>16</v>
      </c>
      <c r="C17" s="5">
        <v>5.5E-2</v>
      </c>
    </row>
    <row r="18" spans="2:7" x14ac:dyDescent="0.3">
      <c r="B18" t="s">
        <v>21</v>
      </c>
      <c r="C18" s="6">
        <v>0.15</v>
      </c>
    </row>
    <row r="19" spans="2:7" x14ac:dyDescent="0.3">
      <c r="B19" t="s">
        <v>17</v>
      </c>
      <c r="C19" s="3">
        <v>0.9</v>
      </c>
    </row>
    <row r="20" spans="2:7" x14ac:dyDescent="0.3">
      <c r="B20" t="s">
        <v>18</v>
      </c>
      <c r="C20" s="6">
        <v>0.14000000000000001</v>
      </c>
    </row>
    <row r="21" spans="2:7" x14ac:dyDescent="0.3">
      <c r="B21" t="s">
        <v>24</v>
      </c>
      <c r="C21" s="6">
        <v>0.34</v>
      </c>
    </row>
    <row r="22" spans="2:7" x14ac:dyDescent="0.3">
      <c r="B22" t="s">
        <v>25</v>
      </c>
      <c r="C22" s="6">
        <v>0.4</v>
      </c>
    </row>
    <row r="24" spans="2:7" x14ac:dyDescent="0.3">
      <c r="B24" s="4" t="s">
        <v>20</v>
      </c>
      <c r="F24" s="8">
        <f>C17+C19*C20</f>
        <v>0.18100000000000002</v>
      </c>
    </row>
    <row r="25" spans="2:7" x14ac:dyDescent="0.3">
      <c r="B25" s="4" t="s">
        <v>19</v>
      </c>
      <c r="G25" s="8">
        <f>C18*(1-C21)</f>
        <v>9.8999999999999991E-2</v>
      </c>
    </row>
    <row r="27" spans="2:7" x14ac:dyDescent="0.3">
      <c r="B27" t="s">
        <v>22</v>
      </c>
      <c r="C27" s="8">
        <f>F24*C22+G25*(1-C22)</f>
        <v>0.1318</v>
      </c>
    </row>
    <row r="29" spans="2:7" x14ac:dyDescent="0.3">
      <c r="B29" t="s">
        <v>23</v>
      </c>
      <c r="C29" s="9">
        <f>NPV(C27,D15:H15)+C15</f>
        <v>88436.504873710102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6" sqref="B6"/>
    </sheetView>
  </sheetViews>
  <sheetFormatPr defaultRowHeight="14.4" x14ac:dyDescent="0.3"/>
  <cols>
    <col min="1" max="1" width="19.44140625" customWidth="1"/>
    <col min="2" max="2" width="10.21875" bestFit="1" customWidth="1"/>
    <col min="3" max="3" width="11" customWidth="1"/>
  </cols>
  <sheetData>
    <row r="1" spans="1:6" ht="15" thickBot="1" x14ac:dyDescent="0.35"/>
    <row r="2" spans="1:6" ht="30.6" thickBot="1" x14ac:dyDescent="0.35">
      <c r="A2" s="11" t="s">
        <v>27</v>
      </c>
      <c r="B2" s="11" t="s">
        <v>28</v>
      </c>
      <c r="C2" s="11" t="s">
        <v>29</v>
      </c>
    </row>
    <row r="3" spans="1:6" ht="15" x14ac:dyDescent="0.3">
      <c r="A3" s="12" t="s">
        <v>30</v>
      </c>
      <c r="B3" s="13">
        <v>0.8</v>
      </c>
      <c r="C3" s="13">
        <v>0.4</v>
      </c>
    </row>
    <row r="4" spans="1:6" ht="15.6" thickBot="1" x14ac:dyDescent="0.35">
      <c r="A4" s="14" t="s">
        <v>31</v>
      </c>
      <c r="B4" s="15">
        <v>0.8</v>
      </c>
      <c r="C4" s="15">
        <v>1.06</v>
      </c>
    </row>
    <row r="5" spans="1:6" ht="15" x14ac:dyDescent="0.3">
      <c r="A5" s="17" t="s">
        <v>36</v>
      </c>
      <c r="B5" s="19">
        <v>0.8</v>
      </c>
      <c r="C5" s="19">
        <v>0.6</v>
      </c>
    </row>
    <row r="6" spans="1:6" ht="15" x14ac:dyDescent="0.3">
      <c r="A6" t="s">
        <v>25</v>
      </c>
      <c r="B6" s="18">
        <f>1/(B5+1)</f>
        <v>0.55555555555555558</v>
      </c>
      <c r="C6" s="18">
        <f>1/(C5+1)</f>
        <v>0.625</v>
      </c>
      <c r="E6" t="s">
        <v>33</v>
      </c>
    </row>
    <row r="7" spans="1:6" x14ac:dyDescent="0.3">
      <c r="E7" t="s">
        <v>34</v>
      </c>
    </row>
    <row r="8" spans="1:6" x14ac:dyDescent="0.3">
      <c r="A8" t="s">
        <v>16</v>
      </c>
      <c r="B8" s="16">
        <v>6.5000000000000002E-2</v>
      </c>
    </row>
    <row r="9" spans="1:6" x14ac:dyDescent="0.3">
      <c r="A9" t="s">
        <v>21</v>
      </c>
      <c r="B9" s="16">
        <v>0.125</v>
      </c>
    </row>
    <row r="10" spans="1:6" x14ac:dyDescent="0.3">
      <c r="A10" t="s">
        <v>32</v>
      </c>
      <c r="B10" s="16">
        <v>0.158</v>
      </c>
    </row>
    <row r="11" spans="1:6" x14ac:dyDescent="0.3">
      <c r="A11" t="s">
        <v>24</v>
      </c>
      <c r="B11" s="10">
        <v>0.34</v>
      </c>
    </row>
    <row r="13" spans="1:6" ht="15" thickBot="1" x14ac:dyDescent="0.35"/>
    <row r="14" spans="1:6" ht="15.6" thickBot="1" x14ac:dyDescent="0.35">
      <c r="A14" s="11" t="s">
        <v>28</v>
      </c>
    </row>
    <row r="15" spans="1:6" x14ac:dyDescent="0.3">
      <c r="A15" s="4" t="s">
        <v>20</v>
      </c>
      <c r="B15" s="3"/>
      <c r="C15" s="3"/>
      <c r="D15" s="3"/>
      <c r="E15" s="8">
        <f>B8+B4*(B10-B8)</f>
        <v>0.13940000000000002</v>
      </c>
      <c r="F15" s="3"/>
    </row>
    <row r="16" spans="1:6" x14ac:dyDescent="0.3">
      <c r="A16" s="4" t="s">
        <v>19</v>
      </c>
      <c r="B16" s="3"/>
      <c r="C16" s="3"/>
      <c r="D16" s="3"/>
      <c r="E16" s="3"/>
      <c r="F16" s="8">
        <f>B9*(1-B11)</f>
        <v>8.249999999999999E-2</v>
      </c>
    </row>
    <row r="17" spans="1:6" x14ac:dyDescent="0.3">
      <c r="A17" t="s">
        <v>22</v>
      </c>
      <c r="B17" s="8">
        <f>E15*B6+F16*(1-B6)</f>
        <v>0.11411111111111111</v>
      </c>
      <c r="C17" s="3"/>
      <c r="D17" s="3"/>
      <c r="E17" s="3"/>
      <c r="F17" s="3"/>
    </row>
    <row r="19" spans="1:6" ht="15" thickBot="1" x14ac:dyDescent="0.35"/>
    <row r="20" spans="1:6" ht="15.6" thickBot="1" x14ac:dyDescent="0.35">
      <c r="A20" s="11" t="s">
        <v>29</v>
      </c>
    </row>
    <row r="21" spans="1:6" x14ac:dyDescent="0.3">
      <c r="A21" s="4" t="s">
        <v>35</v>
      </c>
      <c r="B21">
        <f>C4/(1+C3*(1-B11))</f>
        <v>0.83860759493670889</v>
      </c>
    </row>
    <row r="22" spans="1:6" x14ac:dyDescent="0.3">
      <c r="A22" s="4" t="s">
        <v>37</v>
      </c>
      <c r="B22">
        <f>B21*(1+C5*(1-B11))</f>
        <v>1.1706962025316456</v>
      </c>
    </row>
    <row r="23" spans="1:6" x14ac:dyDescent="0.3">
      <c r="A23" s="4" t="s">
        <v>20</v>
      </c>
      <c r="B23" s="3"/>
      <c r="C23" s="3"/>
      <c r="D23" s="3"/>
      <c r="E23" s="8">
        <f>B8+B22*(B10-B8)</f>
        <v>0.17387474683544304</v>
      </c>
      <c r="F23" s="3"/>
    </row>
    <row r="24" spans="1:6" x14ac:dyDescent="0.3">
      <c r="A24" s="4" t="s">
        <v>19</v>
      </c>
      <c r="B24" s="3"/>
      <c r="C24" s="3"/>
      <c r="D24" s="3"/>
      <c r="E24" s="3"/>
      <c r="F24" s="8">
        <f>B9*(1-B11)</f>
        <v>8.249999999999999E-2</v>
      </c>
    </row>
    <row r="25" spans="1:6" x14ac:dyDescent="0.3">
      <c r="A25" t="s">
        <v>22</v>
      </c>
      <c r="B25" s="8">
        <f>E23*C6+F24*(1-C6)</f>
        <v>0.13960921677215191</v>
      </c>
      <c r="C25" s="3"/>
      <c r="D25" s="3"/>
      <c r="E25" s="3"/>
      <c r="F25" s="3"/>
    </row>
    <row r="27" spans="1:6" ht="15" thickBot="1" x14ac:dyDescent="0.35"/>
    <row r="28" spans="1:6" ht="15.6" thickBot="1" x14ac:dyDescent="0.35">
      <c r="A28" s="11" t="s">
        <v>38</v>
      </c>
    </row>
    <row r="29" spans="1:6" x14ac:dyDescent="0.3">
      <c r="A29" t="s">
        <v>22</v>
      </c>
      <c r="B29" s="20">
        <f>B17*0.5+B25*0.5</f>
        <v>0.12686016394163152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="130" zoomScaleNormal="130" workbookViewId="0">
      <selection activeCell="A13" sqref="A13:B13"/>
    </sheetView>
  </sheetViews>
  <sheetFormatPr defaultRowHeight="14.4" x14ac:dyDescent="0.3"/>
  <cols>
    <col min="1" max="1" width="13.77734375" bestFit="1" customWidth="1"/>
  </cols>
  <sheetData>
    <row r="2" spans="1:7" x14ac:dyDescent="0.3">
      <c r="A2" t="s">
        <v>39</v>
      </c>
      <c r="B2">
        <v>5.1999999999999998E-2</v>
      </c>
    </row>
    <row r="3" spans="1:7" x14ac:dyDescent="0.3">
      <c r="A3" t="s">
        <v>43</v>
      </c>
      <c r="B3">
        <v>0.19800000000000001</v>
      </c>
    </row>
    <row r="4" spans="1:7" x14ac:dyDescent="0.3">
      <c r="A4" t="s">
        <v>44</v>
      </c>
      <c r="B4">
        <v>0.21099999999999999</v>
      </c>
    </row>
    <row r="5" spans="1:7" x14ac:dyDescent="0.3">
      <c r="A5" t="s">
        <v>40</v>
      </c>
      <c r="B5">
        <v>15</v>
      </c>
      <c r="C5" t="s">
        <v>41</v>
      </c>
    </row>
    <row r="6" spans="1:7" x14ac:dyDescent="0.3">
      <c r="A6" t="s">
        <v>21</v>
      </c>
      <c r="B6" s="7">
        <v>0.15</v>
      </c>
    </row>
    <row r="7" spans="1:7" x14ac:dyDescent="0.3">
      <c r="A7" t="s">
        <v>42</v>
      </c>
      <c r="B7">
        <v>30</v>
      </c>
      <c r="C7" t="s">
        <v>41</v>
      </c>
    </row>
    <row r="8" spans="1:7" x14ac:dyDescent="0.3">
      <c r="A8" t="s">
        <v>24</v>
      </c>
      <c r="B8" s="7">
        <v>0.34</v>
      </c>
    </row>
    <row r="9" spans="1:7" x14ac:dyDescent="0.3">
      <c r="A9" t="s">
        <v>16</v>
      </c>
      <c r="B9" s="16">
        <v>6.5000000000000002E-2</v>
      </c>
    </row>
    <row r="10" spans="1:7" x14ac:dyDescent="0.3">
      <c r="A10" t="s">
        <v>18</v>
      </c>
      <c r="B10" s="7">
        <v>0.10100000000000001</v>
      </c>
    </row>
    <row r="12" spans="1:7" x14ac:dyDescent="0.3">
      <c r="A12" t="s">
        <v>45</v>
      </c>
      <c r="B12" s="8">
        <f>B7/(B5+B7)</f>
        <v>0.66666666666666663</v>
      </c>
    </row>
    <row r="13" spans="1:7" x14ac:dyDescent="0.3">
      <c r="A13" t="s">
        <v>17</v>
      </c>
      <c r="B13">
        <f>B2/B4^2</f>
        <v>1.1679881404281125</v>
      </c>
    </row>
    <row r="14" spans="1:7" x14ac:dyDescent="0.3">
      <c r="A14" s="4" t="s">
        <v>20</v>
      </c>
      <c r="B14" s="3"/>
      <c r="C14" s="3"/>
      <c r="D14" s="3"/>
      <c r="E14" s="8">
        <f>B9+B10*B13</f>
        <v>0.18296680218323935</v>
      </c>
    </row>
    <row r="15" spans="1:7" x14ac:dyDescent="0.3">
      <c r="A15" s="4" t="s">
        <v>19</v>
      </c>
      <c r="B15" s="3"/>
      <c r="C15" s="3"/>
      <c r="D15" s="3"/>
      <c r="E15" s="3"/>
      <c r="G15" s="8">
        <f>B6*(1-B8)</f>
        <v>9.8999999999999991E-2</v>
      </c>
    </row>
    <row r="17" spans="1:2" x14ac:dyDescent="0.3">
      <c r="A17" t="s">
        <v>22</v>
      </c>
      <c r="B17" s="20">
        <f>E14*B12+G15*(1-B12)</f>
        <v>0.15497786812215958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slide 38</vt:lpstr>
      <vt:lpstr>slide 39</vt:lpstr>
      <vt:lpstr>Lista 1</vt:lpstr>
      <vt:lpstr>Lista 2</vt:lpstr>
      <vt:lpstr>LIsta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2017-05-07T14:22:41Z</dcterms:created>
  <dcterms:modified xsi:type="dcterms:W3CDTF">2017-05-07T16:58:57Z</dcterms:modified>
</cp:coreProperties>
</file>