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icardo\Dropbox\FEARP\2017\ADC\tema 5 -Desempenho\ex_03\"/>
    </mc:Choice>
  </mc:AlternateContent>
  <bookViews>
    <workbookView xWindow="0" yWindow="0" windowWidth="15600" windowHeight="9435" tabRatio="500" activeTab="3"/>
  </bookViews>
  <sheets>
    <sheet name="Ex_03" sheetId="8" r:id="rId1"/>
    <sheet name="Ex_03_analises" sheetId="10" r:id="rId2"/>
    <sheet name="ROI op X ROI fin" sheetId="12" r:id="rId3"/>
    <sheet name="Ex_03_fluxos" sheetId="11" r:id="rId4"/>
    <sheet name="FLuxos de Caixa" sheetId="13" r:id="rId5"/>
  </sheets>
  <calcPr calcId="152511" concurrentCalc="0"/>
</workbook>
</file>

<file path=xl/calcChain.xml><?xml version="1.0" encoding="utf-8"?>
<calcChain xmlns="http://schemas.openxmlformats.org/spreadsheetml/2006/main">
  <c r="Z35" i="10" l="1"/>
  <c r="Y35" i="10"/>
  <c r="X35" i="10"/>
  <c r="W35" i="10"/>
  <c r="V35" i="10"/>
  <c r="V30" i="10"/>
  <c r="V27" i="10"/>
  <c r="V13" i="10"/>
  <c r="V15" i="10"/>
  <c r="V19" i="10"/>
  <c r="V21" i="10"/>
  <c r="V22" i="10"/>
  <c r="S56" i="11"/>
  <c r="S54" i="11"/>
  <c r="S53" i="11"/>
  <c r="V12" i="10"/>
  <c r="K24" i="10"/>
  <c r="U33" i="11"/>
  <c r="U53" i="11"/>
  <c r="M43" i="10"/>
  <c r="C57" i="10"/>
  <c r="Z49" i="10"/>
  <c r="Y49" i="10"/>
  <c r="X49" i="10"/>
  <c r="W49" i="10"/>
  <c r="V49" i="10"/>
  <c r="C49" i="10"/>
  <c r="C70" i="10"/>
  <c r="C59" i="10"/>
  <c r="C53" i="10"/>
  <c r="D53" i="10"/>
  <c r="E53" i="10"/>
  <c r="F53" i="10"/>
  <c r="K23" i="10"/>
  <c r="K28" i="10"/>
  <c r="C46" i="10"/>
  <c r="T23" i="11"/>
  <c r="T33" i="11"/>
  <c r="X54" i="11"/>
  <c r="W54" i="11"/>
  <c r="V54" i="11"/>
  <c r="U54" i="11"/>
  <c r="T54" i="11"/>
  <c r="X33" i="11"/>
  <c r="W33" i="11"/>
  <c r="V33" i="11"/>
  <c r="S33" i="11"/>
  <c r="X23" i="11"/>
  <c r="W23" i="11"/>
  <c r="W52" i="11"/>
  <c r="V23" i="11"/>
  <c r="V52" i="11"/>
  <c r="U23" i="11"/>
  <c r="S23" i="11"/>
  <c r="H34" i="11"/>
  <c r="X7" i="11"/>
  <c r="H35" i="11"/>
  <c r="X8" i="11"/>
  <c r="H36" i="11"/>
  <c r="X9" i="11"/>
  <c r="G34" i="11"/>
  <c r="G35" i="11"/>
  <c r="W8" i="11"/>
  <c r="G36" i="11"/>
  <c r="W9" i="11"/>
  <c r="F34" i="11"/>
  <c r="F35" i="11"/>
  <c r="V8" i="11"/>
  <c r="F36" i="11"/>
  <c r="V9" i="11"/>
  <c r="E34" i="11"/>
  <c r="U7" i="11"/>
  <c r="E35" i="11"/>
  <c r="E36" i="11"/>
  <c r="D34" i="11"/>
  <c r="D35" i="11"/>
  <c r="T8" i="11"/>
  <c r="D36" i="11"/>
  <c r="T9" i="11"/>
  <c r="C34" i="11"/>
  <c r="C35" i="11"/>
  <c r="S8" i="11"/>
  <c r="C36" i="11"/>
  <c r="S9" i="11"/>
  <c r="U9" i="11"/>
  <c r="U8" i="11"/>
  <c r="T7" i="11"/>
  <c r="H30" i="11"/>
  <c r="X3" i="11"/>
  <c r="H32" i="11"/>
  <c r="X5" i="11"/>
  <c r="G30" i="11"/>
  <c r="F30" i="11"/>
  <c r="F31" i="11"/>
  <c r="V4" i="11"/>
  <c r="E30" i="11"/>
  <c r="E31" i="11"/>
  <c r="U4" i="11"/>
  <c r="E32" i="11"/>
  <c r="D30" i="11"/>
  <c r="T3" i="11"/>
  <c r="D32" i="11"/>
  <c r="C30" i="11"/>
  <c r="U3" i="11"/>
  <c r="S14" i="11"/>
  <c r="K26" i="11"/>
  <c r="K24" i="11"/>
  <c r="S18" i="11"/>
  <c r="K23" i="11"/>
  <c r="S17" i="11"/>
  <c r="S13" i="11"/>
  <c r="X41" i="11"/>
  <c r="X40" i="11"/>
  <c r="W41" i="11"/>
  <c r="W40" i="11"/>
  <c r="V41" i="11"/>
  <c r="V40" i="11"/>
  <c r="U41" i="11"/>
  <c r="U56" i="11"/>
  <c r="T41" i="11"/>
  <c r="T40" i="11"/>
  <c r="S41" i="11"/>
  <c r="S40" i="11"/>
  <c r="H26" i="11"/>
  <c r="H27" i="11"/>
  <c r="G26" i="11"/>
  <c r="G28" i="11"/>
  <c r="G27" i="11"/>
  <c r="F26" i="11"/>
  <c r="F27" i="11"/>
  <c r="E26" i="11"/>
  <c r="E27" i="11"/>
  <c r="D26" i="11"/>
  <c r="D27" i="11"/>
  <c r="C26" i="11"/>
  <c r="C27" i="11"/>
  <c r="H23" i="11"/>
  <c r="G23" i="11"/>
  <c r="F23" i="11"/>
  <c r="E23" i="11"/>
  <c r="D23" i="11"/>
  <c r="C23" i="11"/>
  <c r="P26" i="11"/>
  <c r="P24" i="11"/>
  <c r="X18" i="11"/>
  <c r="P23" i="11"/>
  <c r="P28" i="11"/>
  <c r="O26" i="11"/>
  <c r="O24" i="11"/>
  <c r="O29" i="11"/>
  <c r="O23" i="11"/>
  <c r="O28" i="11"/>
  <c r="N26" i="11"/>
  <c r="N24" i="11"/>
  <c r="V18" i="11"/>
  <c r="N23" i="11"/>
  <c r="N28" i="11"/>
  <c r="M26" i="11"/>
  <c r="M24" i="11"/>
  <c r="U18" i="11"/>
  <c r="M23" i="11"/>
  <c r="M28" i="11"/>
  <c r="L26" i="11"/>
  <c r="L24" i="11"/>
  <c r="T18" i="11"/>
  <c r="L23" i="11"/>
  <c r="T17" i="11"/>
  <c r="X13" i="11"/>
  <c r="W13" i="11"/>
  <c r="V13" i="11"/>
  <c r="U13" i="11"/>
  <c r="T13" i="11"/>
  <c r="N29" i="11"/>
  <c r="K28" i="11"/>
  <c r="P76" i="10"/>
  <c r="O76" i="10"/>
  <c r="O80" i="10"/>
  <c r="N71" i="10"/>
  <c r="N76" i="10"/>
  <c r="M71" i="10"/>
  <c r="M80" i="10"/>
  <c r="L76" i="10"/>
  <c r="K53" i="10"/>
  <c r="K76" i="10"/>
  <c r="K80" i="10"/>
  <c r="P84" i="10"/>
  <c r="O84" i="10"/>
  <c r="N84" i="10"/>
  <c r="M84" i="10"/>
  <c r="L84" i="10"/>
  <c r="K84" i="10"/>
  <c r="P82" i="10"/>
  <c r="O82" i="10"/>
  <c r="N82" i="10"/>
  <c r="M82" i="10"/>
  <c r="L82" i="10"/>
  <c r="K82" i="10"/>
  <c r="P81" i="10"/>
  <c r="O81" i="10"/>
  <c r="N81" i="10"/>
  <c r="M81" i="10"/>
  <c r="L81" i="10"/>
  <c r="K81" i="10"/>
  <c r="P80" i="10"/>
  <c r="N80" i="10"/>
  <c r="L80" i="10"/>
  <c r="P78" i="10"/>
  <c r="O78" i="10"/>
  <c r="N78" i="10"/>
  <c r="M78" i="10"/>
  <c r="L78" i="10"/>
  <c r="K78" i="10"/>
  <c r="P77" i="10"/>
  <c r="O77" i="10"/>
  <c r="N77" i="10"/>
  <c r="M77" i="10"/>
  <c r="L77" i="10"/>
  <c r="K77" i="10"/>
  <c r="P73" i="10"/>
  <c r="O73" i="10"/>
  <c r="N73" i="10"/>
  <c r="M73" i="10"/>
  <c r="L73" i="10"/>
  <c r="K73" i="10"/>
  <c r="P72" i="10"/>
  <c r="O72" i="10"/>
  <c r="N72" i="10"/>
  <c r="M72" i="10"/>
  <c r="L72" i="10"/>
  <c r="K72" i="10"/>
  <c r="P71" i="10"/>
  <c r="O71" i="10"/>
  <c r="L71" i="10"/>
  <c r="K71" i="10"/>
  <c r="N70" i="10"/>
  <c r="K70" i="10"/>
  <c r="P69" i="10"/>
  <c r="O69" i="10"/>
  <c r="N69" i="10"/>
  <c r="M69" i="10"/>
  <c r="L69" i="10"/>
  <c r="K69" i="10"/>
  <c r="P68" i="10"/>
  <c r="O68" i="10"/>
  <c r="N68" i="10"/>
  <c r="M68" i="10"/>
  <c r="L68" i="10"/>
  <c r="K68" i="10"/>
  <c r="P64" i="10"/>
  <c r="O64" i="10"/>
  <c r="N64" i="10"/>
  <c r="M64" i="10"/>
  <c r="L64" i="10"/>
  <c r="K64" i="10"/>
  <c r="P63" i="10"/>
  <c r="O63" i="10"/>
  <c r="N63" i="10"/>
  <c r="M63" i="10"/>
  <c r="L63" i="10"/>
  <c r="K63" i="10"/>
  <c r="L62" i="10"/>
  <c r="P60" i="10"/>
  <c r="O60" i="10"/>
  <c r="N60" i="10"/>
  <c r="M60" i="10"/>
  <c r="L60" i="10"/>
  <c r="K60" i="10"/>
  <c r="P59" i="10"/>
  <c r="O59" i="10"/>
  <c r="N59" i="10"/>
  <c r="M59" i="10"/>
  <c r="L59" i="10"/>
  <c r="K59" i="10"/>
  <c r="O58" i="10"/>
  <c r="K58" i="10"/>
  <c r="P56" i="10"/>
  <c r="O56" i="10"/>
  <c r="N56" i="10"/>
  <c r="M56" i="10"/>
  <c r="L56" i="10"/>
  <c r="K56" i="10"/>
  <c r="P55" i="10"/>
  <c r="O55" i="10"/>
  <c r="N55" i="10"/>
  <c r="M55" i="10"/>
  <c r="L55" i="10"/>
  <c r="K55" i="10"/>
  <c r="P54" i="10"/>
  <c r="O54" i="10"/>
  <c r="L54" i="10"/>
  <c r="K54" i="10"/>
  <c r="P53" i="10"/>
  <c r="N53" i="10"/>
  <c r="L53" i="10"/>
  <c r="P52" i="10"/>
  <c r="O52" i="10"/>
  <c r="N52" i="10"/>
  <c r="M52" i="10"/>
  <c r="L52" i="10"/>
  <c r="K52" i="10"/>
  <c r="P51" i="10"/>
  <c r="O51" i="10"/>
  <c r="N51" i="10"/>
  <c r="M51" i="10"/>
  <c r="L51" i="10"/>
  <c r="P23" i="10"/>
  <c r="P28" i="10"/>
  <c r="G46" i="10"/>
  <c r="Y3" i="10"/>
  <c r="H46" i="10"/>
  <c r="G49" i="10"/>
  <c r="G62" i="10"/>
  <c r="G50" i="10"/>
  <c r="H49" i="10"/>
  <c r="H50" i="10"/>
  <c r="Z10" i="10"/>
  <c r="P26" i="10"/>
  <c r="P24" i="10"/>
  <c r="Z15" i="10"/>
  <c r="O23" i="10"/>
  <c r="Y14" i="10"/>
  <c r="F46" i="10"/>
  <c r="F49" i="10"/>
  <c r="F50" i="10"/>
  <c r="X7" i="10"/>
  <c r="Y10" i="10"/>
  <c r="O26" i="10"/>
  <c r="O24" i="10"/>
  <c r="Y15" i="10"/>
  <c r="N23" i="10"/>
  <c r="X14" i="10"/>
  <c r="E46" i="10"/>
  <c r="X3" i="10"/>
  <c r="E49" i="10"/>
  <c r="E50" i="10"/>
  <c r="X10" i="10"/>
  <c r="N26" i="10"/>
  <c r="N24" i="10"/>
  <c r="X15" i="10"/>
  <c r="X11" i="10"/>
  <c r="M23" i="10"/>
  <c r="W14" i="10"/>
  <c r="D46" i="10"/>
  <c r="D49" i="10"/>
  <c r="W6" i="10"/>
  <c r="D50" i="10"/>
  <c r="W10" i="10"/>
  <c r="M26" i="10"/>
  <c r="M24" i="10"/>
  <c r="W15" i="10"/>
  <c r="W11" i="10"/>
  <c r="L23" i="10"/>
  <c r="L28" i="10"/>
  <c r="C50" i="10"/>
  <c r="V10" i="10"/>
  <c r="L26" i="10"/>
  <c r="L24" i="10"/>
  <c r="V11" i="10"/>
  <c r="K26" i="10"/>
  <c r="K29" i="10"/>
  <c r="K51" i="10"/>
  <c r="L35" i="10"/>
  <c r="R35" i="10"/>
  <c r="M35" i="10"/>
  <c r="N35" i="10"/>
  <c r="O35" i="10"/>
  <c r="P35" i="10"/>
  <c r="L36" i="10"/>
  <c r="M36" i="10"/>
  <c r="N36" i="10"/>
  <c r="O36" i="10"/>
  <c r="L37" i="10"/>
  <c r="R37" i="10"/>
  <c r="M37" i="10"/>
  <c r="N37" i="10"/>
  <c r="O37" i="10"/>
  <c r="P37" i="10"/>
  <c r="L38" i="10"/>
  <c r="M38" i="10"/>
  <c r="N38" i="10"/>
  <c r="O38" i="10"/>
  <c r="P38" i="10"/>
  <c r="L39" i="10"/>
  <c r="M39" i="10"/>
  <c r="N39" i="10"/>
  <c r="O39" i="10"/>
  <c r="P39" i="10"/>
  <c r="O41" i="10"/>
  <c r="P41" i="10"/>
  <c r="L42" i="10"/>
  <c r="M42" i="10"/>
  <c r="N42" i="10"/>
  <c r="O42" i="10"/>
  <c r="P42" i="10"/>
  <c r="L43" i="10"/>
  <c r="N43" i="10"/>
  <c r="O43" i="10"/>
  <c r="P43" i="10"/>
  <c r="L45" i="10"/>
  <c r="M45" i="10"/>
  <c r="N45" i="10"/>
  <c r="L46" i="10"/>
  <c r="M46" i="10"/>
  <c r="N46" i="10"/>
  <c r="O46" i="10"/>
  <c r="P46" i="10"/>
  <c r="L47" i="10"/>
  <c r="M47" i="10"/>
  <c r="N47" i="10"/>
  <c r="O47" i="10"/>
  <c r="P47" i="10"/>
  <c r="L34" i="10"/>
  <c r="M34" i="10"/>
  <c r="N34" i="10"/>
  <c r="O34" i="10"/>
  <c r="P34" i="10"/>
  <c r="H31" i="10"/>
  <c r="H41" i="10"/>
  <c r="G31" i="10"/>
  <c r="G43" i="10"/>
  <c r="F31" i="10"/>
  <c r="F40" i="10"/>
  <c r="F43" i="10"/>
  <c r="E31" i="10"/>
  <c r="E40" i="10"/>
  <c r="D31" i="10"/>
  <c r="D43" i="10"/>
  <c r="C31" i="10"/>
  <c r="C43" i="10"/>
  <c r="E42" i="10"/>
  <c r="D42" i="10"/>
  <c r="H27" i="10"/>
  <c r="H39" i="10"/>
  <c r="G27" i="10"/>
  <c r="G55" i="10"/>
  <c r="F27" i="10"/>
  <c r="E27" i="10"/>
  <c r="D27" i="10"/>
  <c r="D39" i="10"/>
  <c r="C27" i="10"/>
  <c r="C39" i="10"/>
  <c r="H38" i="10"/>
  <c r="F38" i="10"/>
  <c r="D38" i="10"/>
  <c r="D37" i="10"/>
  <c r="H24" i="10"/>
  <c r="H36" i="10"/>
  <c r="G24" i="10"/>
  <c r="F24" i="10"/>
  <c r="F54" i="10"/>
  <c r="E24" i="10"/>
  <c r="D24" i="10"/>
  <c r="D36" i="10"/>
  <c r="C24" i="10"/>
  <c r="D35" i="10"/>
  <c r="H34" i="10"/>
  <c r="D34" i="10"/>
  <c r="H10" i="10"/>
  <c r="H16" i="10"/>
  <c r="G10" i="10"/>
  <c r="G20" i="10"/>
  <c r="F10" i="10"/>
  <c r="F20" i="10"/>
  <c r="E10" i="10"/>
  <c r="E17" i="10"/>
  <c r="E20" i="10"/>
  <c r="D10" i="10"/>
  <c r="D18" i="10"/>
  <c r="D20" i="10"/>
  <c r="C10" i="10"/>
  <c r="C20" i="10"/>
  <c r="H9" i="10"/>
  <c r="G9" i="10"/>
  <c r="G19" i="10"/>
  <c r="F9" i="10"/>
  <c r="F19" i="10"/>
  <c r="E9" i="10"/>
  <c r="E19" i="10"/>
  <c r="D9" i="10"/>
  <c r="C9" i="10"/>
  <c r="G18" i="10"/>
  <c r="C18" i="10"/>
  <c r="G17" i="10"/>
  <c r="F17" i="10"/>
  <c r="G16" i="10"/>
  <c r="F16" i="10"/>
  <c r="D16" i="10"/>
  <c r="H5" i="10"/>
  <c r="H54" i="10"/>
  <c r="G5" i="10"/>
  <c r="F5" i="10"/>
  <c r="F15" i="10"/>
  <c r="E5" i="10"/>
  <c r="D5" i="10"/>
  <c r="C5" i="10"/>
  <c r="G14" i="10"/>
  <c r="C14" i="10"/>
  <c r="G13" i="10"/>
  <c r="F13" i="10"/>
  <c r="E13" i="10"/>
  <c r="D13" i="10"/>
  <c r="O29" i="10"/>
  <c r="M28" i="10"/>
  <c r="H70" i="10"/>
  <c r="G70" i="10"/>
  <c r="F70" i="10"/>
  <c r="E70" i="10"/>
  <c r="D70" i="10"/>
  <c r="H69" i="10"/>
  <c r="G69" i="10"/>
  <c r="F69" i="10"/>
  <c r="E69" i="10"/>
  <c r="D69" i="10"/>
  <c r="C69" i="10"/>
  <c r="H68" i="10"/>
  <c r="G68" i="10"/>
  <c r="F68" i="10"/>
  <c r="E68" i="10"/>
  <c r="D68" i="10"/>
  <c r="C68" i="10"/>
  <c r="H57" i="10"/>
  <c r="H58" i="10"/>
  <c r="H59" i="10"/>
  <c r="G57" i="10"/>
  <c r="G58" i="10"/>
  <c r="G63" i="10"/>
  <c r="G59" i="10"/>
  <c r="F57" i="10"/>
  <c r="F58" i="10"/>
  <c r="F59" i="10"/>
  <c r="E57" i="10"/>
  <c r="E58" i="10"/>
  <c r="E59" i="10"/>
  <c r="D57" i="10"/>
  <c r="D58" i="10"/>
  <c r="D59" i="10"/>
  <c r="C58" i="10"/>
  <c r="H63" i="10"/>
  <c r="G53" i="10"/>
  <c r="H53" i="10"/>
  <c r="D55" i="10"/>
  <c r="K4" i="8"/>
  <c r="K14" i="8"/>
  <c r="L4" i="8"/>
  <c r="L14" i="8"/>
  <c r="M4" i="8"/>
  <c r="M14" i="8"/>
  <c r="N4" i="8"/>
  <c r="N3" i="8"/>
  <c r="N14" i="8"/>
  <c r="O4" i="8"/>
  <c r="O14" i="8"/>
  <c r="O3" i="8"/>
  <c r="P4" i="8"/>
  <c r="P14" i="8"/>
  <c r="K22" i="8"/>
  <c r="K21" i="8"/>
  <c r="L22" i="8"/>
  <c r="L21" i="8"/>
  <c r="M22" i="8"/>
  <c r="M21" i="8"/>
  <c r="N22" i="8"/>
  <c r="N21" i="8"/>
  <c r="O22" i="8"/>
  <c r="O21" i="8"/>
  <c r="P22" i="8"/>
  <c r="P21" i="8"/>
  <c r="C16" i="10"/>
  <c r="C15" i="10"/>
  <c r="G36" i="10"/>
  <c r="D40" i="10"/>
  <c r="H42" i="10"/>
  <c r="H43" i="10"/>
  <c r="F63" i="10"/>
  <c r="N30" i="8"/>
  <c r="P29" i="10"/>
  <c r="H40" i="10"/>
  <c r="E54" i="10"/>
  <c r="H35" i="10"/>
  <c r="C37" i="10"/>
  <c r="D41" i="10"/>
  <c r="H55" i="10"/>
  <c r="H56" i="10"/>
  <c r="F35" i="10"/>
  <c r="C36" i="10"/>
  <c r="F41" i="10"/>
  <c r="F42" i="10"/>
  <c r="H37" i="10"/>
  <c r="F39" i="10"/>
  <c r="E33" i="11"/>
  <c r="U6" i="11"/>
  <c r="R34" i="10"/>
  <c r="D62" i="10"/>
  <c r="G54" i="10"/>
  <c r="E15" i="10"/>
  <c r="E16" i="10"/>
  <c r="E18" i="10"/>
  <c r="C34" i="10"/>
  <c r="G39" i="10"/>
  <c r="C41" i="10"/>
  <c r="G42" i="10"/>
  <c r="E37" i="11"/>
  <c r="U10" i="11"/>
  <c r="L28" i="11"/>
  <c r="V17" i="11"/>
  <c r="X17" i="11"/>
  <c r="E28" i="11"/>
  <c r="E24" i="11"/>
  <c r="E25" i="11"/>
  <c r="F55" i="10"/>
  <c r="O28" i="10"/>
  <c r="H18" i="10"/>
  <c r="E14" i="10"/>
  <c r="C17" i="10"/>
  <c r="C19" i="10"/>
  <c r="D54" i="10"/>
  <c r="V7" i="10"/>
  <c r="O25" i="10"/>
  <c r="Y12" i="10"/>
  <c r="K29" i="11"/>
  <c r="G34" i="10"/>
  <c r="C54" i="10"/>
  <c r="G60" i="10"/>
  <c r="G65" i="10"/>
  <c r="F14" i="10"/>
  <c r="G15" i="10"/>
  <c r="C55" i="10"/>
  <c r="H19" i="10"/>
  <c r="C35" i="10"/>
  <c r="G37" i="10"/>
  <c r="C40" i="10"/>
  <c r="C42" i="10"/>
  <c r="P25" i="10"/>
  <c r="Z12" i="10"/>
  <c r="Z14" i="10"/>
  <c r="U22" i="11"/>
  <c r="C13" i="10"/>
  <c r="D19" i="10"/>
  <c r="F36" i="10"/>
  <c r="E43" i="10"/>
  <c r="V18" i="10"/>
  <c r="H20" i="10"/>
  <c r="C38" i="10"/>
  <c r="E55" i="10"/>
  <c r="G40" i="10"/>
  <c r="H62" i="10"/>
  <c r="U17" i="11"/>
  <c r="W17" i="11"/>
  <c r="C28" i="11"/>
  <c r="V53" i="11"/>
  <c r="V55" i="11"/>
  <c r="N28" i="10"/>
  <c r="E36" i="10"/>
  <c r="D15" i="10"/>
  <c r="H15" i="10"/>
  <c r="T53" i="11"/>
  <c r="D14" i="10"/>
  <c r="D17" i="10"/>
  <c r="F18" i="10"/>
  <c r="Y7" i="10"/>
  <c r="W53" i="11"/>
  <c r="W55" i="11"/>
  <c r="E35" i="10"/>
  <c r="E39" i="10"/>
  <c r="H17" i="10"/>
  <c r="V3" i="10"/>
  <c r="D28" i="11"/>
  <c r="H28" i="11"/>
  <c r="S22" i="11"/>
  <c r="S52" i="11"/>
  <c r="E38" i="10"/>
  <c r="E41" i="10"/>
  <c r="H14" i="10"/>
  <c r="C63" i="10"/>
  <c r="M29" i="10"/>
  <c r="E34" i="10"/>
  <c r="G35" i="10"/>
  <c r="E37" i="10"/>
  <c r="G38" i="10"/>
  <c r="G41" i="10"/>
  <c r="W18" i="11"/>
  <c r="T5" i="11"/>
  <c r="O30" i="8"/>
  <c r="X53" i="11"/>
  <c r="G56" i="10"/>
  <c r="N29" i="10"/>
  <c r="H13" i="10"/>
  <c r="F34" i="10"/>
  <c r="F37" i="10"/>
  <c r="W18" i="10"/>
  <c r="U5" i="11"/>
  <c r="X22" i="11"/>
  <c r="X49" i="11"/>
  <c r="E56" i="10"/>
  <c r="P3" i="8"/>
  <c r="P30" i="8"/>
  <c r="M3" i="8"/>
  <c r="M30" i="8"/>
  <c r="L3" i="8"/>
  <c r="L30" i="8"/>
  <c r="K3" i="8"/>
  <c r="K30" i="8"/>
  <c r="D60" i="10"/>
  <c r="E60" i="10"/>
  <c r="E64" i="10"/>
  <c r="Q34" i="10"/>
  <c r="R47" i="10"/>
  <c r="R43" i="10"/>
  <c r="Q42" i="10"/>
  <c r="R39" i="10"/>
  <c r="R38" i="10"/>
  <c r="Q37" i="10"/>
  <c r="Q35" i="10"/>
  <c r="M25" i="10"/>
  <c r="W12" i="10"/>
  <c r="W7" i="10"/>
  <c r="Y23" i="10"/>
  <c r="M41" i="10"/>
  <c r="L25" i="11"/>
  <c r="L30" i="11"/>
  <c r="M25" i="11"/>
  <c r="M30" i="11"/>
  <c r="N25" i="11"/>
  <c r="O25" i="11"/>
  <c r="P25" i="11"/>
  <c r="C24" i="11"/>
  <c r="C25" i="11"/>
  <c r="G24" i="11"/>
  <c r="G25" i="11"/>
  <c r="D24" i="11"/>
  <c r="D25" i="11"/>
  <c r="F28" i="11"/>
  <c r="F24" i="11"/>
  <c r="F25" i="11"/>
  <c r="H24" i="11"/>
  <c r="H25" i="11"/>
  <c r="K25" i="11"/>
  <c r="S15" i="11"/>
  <c r="C32" i="11"/>
  <c r="S5" i="11"/>
  <c r="C31" i="11"/>
  <c r="S4" i="11"/>
  <c r="D31" i="11"/>
  <c r="T4" i="11"/>
  <c r="F32" i="11"/>
  <c r="F33" i="11"/>
  <c r="V6" i="11"/>
  <c r="G32" i="11"/>
  <c r="G31" i="11"/>
  <c r="W4" i="11"/>
  <c r="H31" i="11"/>
  <c r="C37" i="11"/>
  <c r="S10" i="11"/>
  <c r="F37" i="11"/>
  <c r="V10" i="11"/>
  <c r="G37" i="11"/>
  <c r="W10" i="11"/>
  <c r="T22" i="11"/>
  <c r="T49" i="11"/>
  <c r="U52" i="11"/>
  <c r="U55" i="11"/>
  <c r="U57" i="11"/>
  <c r="O57" i="10"/>
  <c r="D56" i="10"/>
  <c r="R46" i="10"/>
  <c r="N41" i="10"/>
  <c r="Q39" i="10"/>
  <c r="C62" i="10"/>
  <c r="E51" i="10"/>
  <c r="E47" i="10"/>
  <c r="F51" i="10"/>
  <c r="F47" i="10"/>
  <c r="H51" i="10"/>
  <c r="H47" i="10"/>
  <c r="H48" i="10"/>
  <c r="Z3" i="10"/>
  <c r="Z23" i="10"/>
  <c r="M53" i="10"/>
  <c r="N58" i="10"/>
  <c r="N62" i="10"/>
  <c r="M76" i="10"/>
  <c r="K25" i="10"/>
  <c r="K30" i="10"/>
  <c r="S37" i="10"/>
  <c r="L25" i="10"/>
  <c r="F56" i="10"/>
  <c r="F62" i="10"/>
  <c r="E63" i="10"/>
  <c r="F60" i="10"/>
  <c r="L29" i="10"/>
  <c r="Q46" i="10"/>
  <c r="O45" i="10"/>
  <c r="Q43" i="10"/>
  <c r="L41" i="10"/>
  <c r="P36" i="10"/>
  <c r="R36" i="10"/>
  <c r="C51" i="10"/>
  <c r="V14" i="10"/>
  <c r="V23" i="10"/>
  <c r="W3" i="10"/>
  <c r="W23" i="10"/>
  <c r="N25" i="10"/>
  <c r="N30" i="10"/>
  <c r="X6" i="10"/>
  <c r="X29" i="10"/>
  <c r="Y11" i="10"/>
  <c r="Z11" i="10"/>
  <c r="Z18" i="10"/>
  <c r="G51" i="10"/>
  <c r="Y8" i="10"/>
  <c r="O53" i="10"/>
  <c r="N54" i="10"/>
  <c r="K62" i="10"/>
  <c r="P62" i="10"/>
  <c r="C56" i="10"/>
  <c r="S35" i="10"/>
  <c r="D63" i="10"/>
  <c r="C60" i="10"/>
  <c r="C64" i="10"/>
  <c r="H60" i="10"/>
  <c r="H65" i="10"/>
  <c r="Q47" i="10"/>
  <c r="S47" i="10"/>
  <c r="P45" i="10"/>
  <c r="R42" i="10"/>
  <c r="S42" i="10"/>
  <c r="Q38" i="10"/>
  <c r="X23" i="10"/>
  <c r="Z7" i="10"/>
  <c r="K57" i="10"/>
  <c r="O62" i="10"/>
  <c r="O70" i="10"/>
  <c r="G47" i="10"/>
  <c r="U15" i="11"/>
  <c r="V15" i="11"/>
  <c r="N30" i="11"/>
  <c r="W15" i="11"/>
  <c r="O30" i="11"/>
  <c r="P30" i="11"/>
  <c r="X15" i="11"/>
  <c r="K30" i="11"/>
  <c r="X4" i="11"/>
  <c r="H33" i="11"/>
  <c r="X6" i="11"/>
  <c r="D65" i="10"/>
  <c r="D64" i="10"/>
  <c r="W29" i="10"/>
  <c r="W27" i="10"/>
  <c r="L30" i="10"/>
  <c r="L75" i="10"/>
  <c r="L57" i="10"/>
  <c r="L40" i="10"/>
  <c r="N44" i="10"/>
  <c r="M75" i="10"/>
  <c r="M57" i="10"/>
  <c r="N40" i="10"/>
  <c r="M40" i="10"/>
  <c r="O44" i="10"/>
  <c r="O79" i="10"/>
  <c r="O61" i="10"/>
  <c r="F64" i="10"/>
  <c r="F65" i="10"/>
  <c r="E48" i="10"/>
  <c r="N79" i="10"/>
  <c r="N61" i="10"/>
  <c r="C33" i="11"/>
  <c r="S6" i="11"/>
  <c r="H64" i="10"/>
  <c r="K79" i="10"/>
  <c r="K61" i="10"/>
  <c r="P75" i="10"/>
  <c r="P57" i="10"/>
  <c r="P40" i="10"/>
  <c r="W13" i="10"/>
  <c r="S16" i="11"/>
  <c r="S19" i="11"/>
  <c r="D51" i="10"/>
  <c r="E62" i="10"/>
  <c r="G64" i="10"/>
  <c r="G66" i="10"/>
  <c r="M30" i="10"/>
  <c r="X18" i="10"/>
  <c r="V6" i="10"/>
  <c r="V29" i="10"/>
  <c r="Z6" i="10"/>
  <c r="Z29" i="10"/>
  <c r="M54" i="10"/>
  <c r="M58" i="10"/>
  <c r="M62" i="10"/>
  <c r="M70" i="10"/>
  <c r="K75" i="10"/>
  <c r="O75" i="10"/>
  <c r="M29" i="11"/>
  <c r="T14" i="11"/>
  <c r="U14" i="11"/>
  <c r="V14" i="11"/>
  <c r="V16" i="11"/>
  <c r="V19" i="11"/>
  <c r="W14" i="11"/>
  <c r="W16" i="11"/>
  <c r="X14" i="11"/>
  <c r="S3" i="11"/>
  <c r="W3" i="11"/>
  <c r="S7" i="11"/>
  <c r="W7" i="11"/>
  <c r="D37" i="11"/>
  <c r="T10" i="11"/>
  <c r="H37" i="11"/>
  <c r="X10" i="11"/>
  <c r="S49" i="11"/>
  <c r="W22" i="11"/>
  <c r="W49" i="11"/>
  <c r="U40" i="11"/>
  <c r="T56" i="11"/>
  <c r="V56" i="11"/>
  <c r="W56" i="11"/>
  <c r="X56" i="11"/>
  <c r="N57" i="10"/>
  <c r="L58" i="10"/>
  <c r="P58" i="10"/>
  <c r="L70" i="10"/>
  <c r="P70" i="10"/>
  <c r="N75" i="10"/>
  <c r="L29" i="11"/>
  <c r="P29" i="11"/>
  <c r="V3" i="11"/>
  <c r="V7" i="11"/>
  <c r="V22" i="11"/>
  <c r="V49" i="11"/>
  <c r="T52" i="11"/>
  <c r="T55" i="11"/>
  <c r="T57" i="11"/>
  <c r="X52" i="11"/>
  <c r="X55" i="11"/>
  <c r="O30" i="10"/>
  <c r="Y6" i="10"/>
  <c r="D33" i="11"/>
  <c r="T6" i="11"/>
  <c r="S34" i="10"/>
  <c r="S55" i="11"/>
  <c r="S43" i="10"/>
  <c r="U49" i="11"/>
  <c r="G33" i="11"/>
  <c r="W6" i="11"/>
  <c r="D66" i="10"/>
  <c r="X57" i="11"/>
  <c r="V57" i="11"/>
  <c r="Z8" i="10"/>
  <c r="T15" i="11"/>
  <c r="T16" i="11"/>
  <c r="T19" i="11"/>
  <c r="X16" i="11"/>
  <c r="X19" i="11"/>
  <c r="W19" i="11"/>
  <c r="X12" i="10"/>
  <c r="X13" i="10"/>
  <c r="X16" i="10"/>
  <c r="X33" i="10"/>
  <c r="X46" i="10"/>
  <c r="Q36" i="10"/>
  <c r="S36" i="10"/>
  <c r="U16" i="11"/>
  <c r="U19" i="11"/>
  <c r="E65" i="10"/>
  <c r="E66" i="10"/>
  <c r="S38" i="10"/>
  <c r="X4" i="10"/>
  <c r="X20" i="10"/>
  <c r="W5" i="11"/>
  <c r="V5" i="11"/>
  <c r="S39" i="10"/>
  <c r="R41" i="10"/>
  <c r="F66" i="10"/>
  <c r="V8" i="10"/>
  <c r="V38" i="10"/>
  <c r="Q45" i="10"/>
  <c r="S46" i="10"/>
  <c r="O40" i="10"/>
  <c r="R40" i="10"/>
  <c r="C47" i="10"/>
  <c r="Y13" i="10"/>
  <c r="Y18" i="10"/>
  <c r="Z13" i="10"/>
  <c r="R45" i="10"/>
  <c r="X27" i="10"/>
  <c r="C65" i="10"/>
  <c r="C66" i="10"/>
  <c r="V16" i="10"/>
  <c r="V33" i="10"/>
  <c r="V46" i="10"/>
  <c r="Q41" i="10"/>
  <c r="X8" i="10"/>
  <c r="H66" i="10"/>
  <c r="P79" i="10"/>
  <c r="P61" i="10"/>
  <c r="P44" i="10"/>
  <c r="P30" i="10"/>
  <c r="W57" i="11"/>
  <c r="Y27" i="10"/>
  <c r="Y38" i="10"/>
  <c r="Y29" i="10"/>
  <c r="D47" i="10"/>
  <c r="W8" i="10"/>
  <c r="W38" i="10"/>
  <c r="W16" i="10"/>
  <c r="W33" i="10"/>
  <c r="W46" i="10"/>
  <c r="W19" i="10"/>
  <c r="K85" i="10"/>
  <c r="K83" i="10"/>
  <c r="K65" i="10"/>
  <c r="G48" i="10"/>
  <c r="Z5" i="10"/>
  <c r="Z4" i="10"/>
  <c r="Z20" i="10"/>
  <c r="F48" i="10"/>
  <c r="Y4" i="10"/>
  <c r="Y20" i="10"/>
  <c r="M79" i="10"/>
  <c r="M61" i="10"/>
  <c r="M44" i="10"/>
  <c r="L79" i="10"/>
  <c r="L61" i="10"/>
  <c r="L44" i="10"/>
  <c r="S57" i="11"/>
  <c r="Z27" i="10"/>
  <c r="N83" i="10"/>
  <c r="N65" i="10"/>
  <c r="N85" i="10"/>
  <c r="N48" i="10"/>
  <c r="O85" i="10"/>
  <c r="O48" i="10"/>
  <c r="O83" i="10"/>
  <c r="O65" i="10"/>
  <c r="Q40" i="10"/>
  <c r="Z38" i="10"/>
  <c r="S41" i="10"/>
  <c r="X19" i="10"/>
  <c r="X21" i="10"/>
  <c r="X38" i="10"/>
  <c r="S45" i="10"/>
  <c r="C48" i="10"/>
  <c r="V4" i="10"/>
  <c r="V20" i="10"/>
  <c r="Y16" i="10"/>
  <c r="Y33" i="10"/>
  <c r="Y46" i="10"/>
  <c r="Y19" i="10"/>
  <c r="Y21" i="10"/>
  <c r="Z19" i="10"/>
  <c r="Z21" i="10"/>
  <c r="Z22" i="10"/>
  <c r="Z16" i="10"/>
  <c r="Z33" i="10"/>
  <c r="Z46" i="10"/>
  <c r="R44" i="10"/>
  <c r="Q44" i="10"/>
  <c r="M48" i="10"/>
  <c r="M83" i="10"/>
  <c r="M65" i="10"/>
  <c r="M85" i="10"/>
  <c r="D48" i="10"/>
  <c r="W4" i="10"/>
  <c r="W20" i="10"/>
  <c r="W21" i="10"/>
  <c r="Y5" i="10"/>
  <c r="X5" i="10"/>
  <c r="L83" i="10"/>
  <c r="L65" i="10"/>
  <c r="L85" i="10"/>
  <c r="L48" i="10"/>
  <c r="Z24" i="10"/>
  <c r="Z26" i="10"/>
  <c r="P83" i="10"/>
  <c r="P65" i="10"/>
  <c r="P85" i="10"/>
  <c r="P48" i="10"/>
  <c r="S40" i="10"/>
  <c r="Y22" i="10"/>
  <c r="S44" i="10"/>
  <c r="Z41" i="10"/>
  <c r="Q48" i="10"/>
  <c r="R48" i="10"/>
  <c r="X24" i="10"/>
  <c r="X26" i="10"/>
  <c r="Z25" i="10"/>
  <c r="Z42" i="10"/>
  <c r="Z28" i="10"/>
  <c r="Z30" i="10"/>
  <c r="Z43" i="10"/>
  <c r="W5" i="10"/>
  <c r="V5" i="10"/>
  <c r="Y26" i="10"/>
  <c r="Y41" i="10"/>
  <c r="Y24" i="10"/>
  <c r="X22" i="10"/>
  <c r="S48" i="10"/>
  <c r="V26" i="10"/>
  <c r="V24" i="10"/>
  <c r="Z31" i="10"/>
  <c r="Z32" i="10"/>
  <c r="Z39" i="10"/>
  <c r="X41" i="10"/>
  <c r="Y25" i="10"/>
  <c r="Y42" i="10"/>
  <c r="W24" i="10"/>
  <c r="W26" i="10"/>
  <c r="X25" i="10"/>
  <c r="X42" i="10"/>
  <c r="Y43" i="10"/>
  <c r="Y28" i="10"/>
  <c r="Y30" i="10"/>
  <c r="X28" i="10"/>
  <c r="X30" i="10"/>
  <c r="X43" i="10"/>
  <c r="W22" i="10"/>
  <c r="V41" i="10"/>
  <c r="Z34" i="10"/>
  <c r="Z36" i="10"/>
  <c r="Z37" i="10"/>
  <c r="X31" i="10"/>
  <c r="X32" i="10"/>
  <c r="X39" i="10"/>
  <c r="Y31" i="10"/>
  <c r="Y39" i="10"/>
  <c r="Z48" i="10"/>
  <c r="Z50" i="10"/>
  <c r="Z51" i="10"/>
  <c r="Z47" i="10"/>
  <c r="W41" i="10"/>
  <c r="V28" i="10"/>
  <c r="V43" i="10"/>
  <c r="W28" i="10"/>
  <c r="W30" i="10"/>
  <c r="W43" i="10"/>
  <c r="Y32" i="10"/>
  <c r="V25" i="10"/>
  <c r="V42" i="10"/>
  <c r="W42" i="10"/>
  <c r="W25" i="10"/>
  <c r="W31" i="10"/>
  <c r="W39" i="10"/>
  <c r="V31" i="10"/>
  <c r="V32" i="10"/>
  <c r="V36" i="10"/>
  <c r="V37" i="10"/>
  <c r="V39" i="10"/>
  <c r="Y48" i="10"/>
  <c r="Y50" i="10"/>
  <c r="Y51" i="10"/>
  <c r="Y47" i="10"/>
  <c r="X48" i="10"/>
  <c r="X50" i="10"/>
  <c r="X51" i="10"/>
  <c r="X47" i="10"/>
  <c r="Z52" i="10"/>
  <c r="Y34" i="10"/>
  <c r="Y36" i="10"/>
  <c r="Y37" i="10"/>
  <c r="X36" i="10"/>
  <c r="X37" i="10"/>
  <c r="X34" i="10"/>
  <c r="V47" i="10"/>
  <c r="V48" i="10"/>
  <c r="V50" i="10"/>
  <c r="V51" i="10"/>
  <c r="V52" i="10"/>
  <c r="W32" i="10"/>
  <c r="W48" i="10"/>
  <c r="W50" i="10"/>
  <c r="W51" i="10"/>
  <c r="W47" i="10"/>
  <c r="X52" i="10"/>
  <c r="Y52" i="10"/>
  <c r="V34" i="10"/>
  <c r="W34" i="10"/>
  <c r="W36" i="10"/>
  <c r="W37" i="10"/>
  <c r="W52" i="10"/>
</calcChain>
</file>

<file path=xl/sharedStrings.xml><?xml version="1.0" encoding="utf-8"?>
<sst xmlns="http://schemas.openxmlformats.org/spreadsheetml/2006/main" count="482" uniqueCount="156">
  <si>
    <t>Ativo Circulante</t>
  </si>
  <si>
    <t>Caixa e equival caixa</t>
  </si>
  <si>
    <t>Ativo nao circulante</t>
  </si>
  <si>
    <t>Realizavel LP</t>
  </si>
  <si>
    <t>Imobilizado</t>
  </si>
  <si>
    <t>Passivo Circulante</t>
  </si>
  <si>
    <t>Financiamento CP</t>
  </si>
  <si>
    <t>Outros CP</t>
  </si>
  <si>
    <t>Passivo nao circulante</t>
  </si>
  <si>
    <t>Financiamento LP</t>
  </si>
  <si>
    <t>Patrim liq consolidado</t>
  </si>
  <si>
    <t>Part acionistas minorit</t>
  </si>
  <si>
    <t>Patrimonio liquido</t>
  </si>
  <si>
    <t>Receita liquida operac</t>
  </si>
  <si>
    <t>Custo Produtos Vendidos</t>
  </si>
  <si>
    <t>Lucro Bruto</t>
  </si>
  <si>
    <t>Desp (receit) operac</t>
  </si>
  <si>
    <t>Despesas com Vendas</t>
  </si>
  <si>
    <t>Despesas administrativ</t>
  </si>
  <si>
    <t>Resultado financeiro</t>
  </si>
  <si>
    <t>Receitas Financeiras</t>
  </si>
  <si>
    <t>Despesas Financeiras</t>
  </si>
  <si>
    <t>LAIR</t>
  </si>
  <si>
    <t>IR Diferido</t>
  </si>
  <si>
    <t>Lucro liquido</t>
  </si>
  <si>
    <t>FLUXO DE CAIXA</t>
  </si>
  <si>
    <t>Caixa gerado por operac</t>
  </si>
  <si>
    <t>Caixa gerado nas operac</t>
  </si>
  <si>
    <t>Deprec, amortiz e exaust</t>
  </si>
  <si>
    <t>Perd(gan) var monet&amp;camb</t>
  </si>
  <si>
    <t>Perd(gan) venda atv perm</t>
  </si>
  <si>
    <t>Valor contab bem vendido</t>
  </si>
  <si>
    <t>Perd(gan) na equival pat</t>
  </si>
  <si>
    <t>Impostos diferidos</t>
  </si>
  <si>
    <t>Gan(perd) dos minorit</t>
  </si>
  <si>
    <t>Out perd(gan) nao caixa</t>
  </si>
  <si>
    <t>Redu(aum) em ativ e pass</t>
  </si>
  <si>
    <t>Redu(aum) dupl a receber</t>
  </si>
  <si>
    <t>Redu(aum) estoques</t>
  </si>
  <si>
    <t>Redu(aum) outros ativos</t>
  </si>
  <si>
    <t>Aum(redu) fornecedores</t>
  </si>
  <si>
    <t>Aum(redu) outr passivos</t>
  </si>
  <si>
    <t>Caixa gerado por invest</t>
  </si>
  <si>
    <t>Caixa gerado por financ</t>
  </si>
  <si>
    <t>Financiament obtidos liq</t>
  </si>
  <si>
    <t>Financiamentos obtidos</t>
  </si>
  <si>
    <t>Financiamentos pagos</t>
  </si>
  <si>
    <t>Aumento liq de capital</t>
  </si>
  <si>
    <t>Aumento de capital</t>
  </si>
  <si>
    <t>Reducao de capital</t>
  </si>
  <si>
    <t>Dividendos pagos</t>
  </si>
  <si>
    <t>Efeito Cambial</t>
  </si>
  <si>
    <t>Variac liquida de caixa</t>
  </si>
  <si>
    <t>Outros Operacionais</t>
  </si>
  <si>
    <t>Outros de LP</t>
  </si>
  <si>
    <t>Ativo Total</t>
  </si>
  <si>
    <t>Passivo Total</t>
  </si>
  <si>
    <t>1 trim 2010</t>
  </si>
  <si>
    <t>2 trim 2010</t>
  </si>
  <si>
    <t>3 trim 2010</t>
  </si>
  <si>
    <t>4 trim 2010</t>
  </si>
  <si>
    <t>1 trim 2011</t>
  </si>
  <si>
    <t>2 trim 2011</t>
  </si>
  <si>
    <t>Lucro antes dos Juros</t>
  </si>
  <si>
    <t>IR Total</t>
  </si>
  <si>
    <t>IR Corrente</t>
  </si>
  <si>
    <t>Lucro Líquido do Grupo</t>
  </si>
  <si>
    <t>do Controlador</t>
  </si>
  <si>
    <t>do Não Controlador</t>
  </si>
  <si>
    <t>BALANÇO</t>
  </si>
  <si>
    <t>Capital Próprio</t>
  </si>
  <si>
    <t>Dividas / Capital Próprio</t>
  </si>
  <si>
    <t>GAF</t>
  </si>
  <si>
    <t>DEMONSTRACAO DE RESULTADO</t>
  </si>
  <si>
    <t>Ke anual aprox 19%</t>
  </si>
  <si>
    <t>DEMONSTRACAO DE RESULTAD</t>
  </si>
  <si>
    <t>Dividas</t>
  </si>
  <si>
    <t>FIN TOTAL</t>
  </si>
  <si>
    <t>Inv Fin</t>
  </si>
  <si>
    <t>Inv Op</t>
  </si>
  <si>
    <t>INV TOTAL</t>
  </si>
  <si>
    <t>CGL</t>
  </si>
  <si>
    <t>Inv LP</t>
  </si>
  <si>
    <t>Dividas de CP</t>
  </si>
  <si>
    <t>Dividas de LP</t>
  </si>
  <si>
    <t>Dividas de CP / Dividas de LP</t>
  </si>
  <si>
    <t>Dividas de CP / Fin Total</t>
  </si>
  <si>
    <t>Dividas de LP / Fin Total</t>
  </si>
  <si>
    <t>Capital de Terceiros / Fin Total</t>
  </si>
  <si>
    <t>Liquidez corrente (AC / PC)</t>
  </si>
  <si>
    <t>Liquidez emediata (DIsp / PC)</t>
  </si>
  <si>
    <t>Disponibilidades / Dividas CP</t>
  </si>
  <si>
    <t>Segregação do IR</t>
  </si>
  <si>
    <t>IR sobre RF</t>
  </si>
  <si>
    <t>Beneficio Fiscal</t>
  </si>
  <si>
    <t>IR Operacional</t>
  </si>
  <si>
    <t>Receitas</t>
  </si>
  <si>
    <t>Despesas Operacionais</t>
  </si>
  <si>
    <t>Resultado Operacional Liquido</t>
  </si>
  <si>
    <t>Receitas Financeiras Liquidas</t>
  </si>
  <si>
    <t>Despesas Financeiras Liquidas</t>
  </si>
  <si>
    <t>Lucro Liquido do Grupo</t>
  </si>
  <si>
    <t>Analise Vertical DRE</t>
  </si>
  <si>
    <t>Analise Vertical Ativos</t>
  </si>
  <si>
    <t>Analise Horizontal da DRE</t>
  </si>
  <si>
    <t>media</t>
  </si>
  <si>
    <t>dp</t>
  </si>
  <si>
    <t>CV</t>
  </si>
  <si>
    <t>Margem Bruta</t>
  </si>
  <si>
    <t xml:space="preserve">Giro do Investimento </t>
  </si>
  <si>
    <t>RoI op</t>
  </si>
  <si>
    <t>contribuição do RoIop no RoI T</t>
  </si>
  <si>
    <t>RoI fin</t>
  </si>
  <si>
    <t>contribuição do RoIfin no RoI T</t>
  </si>
  <si>
    <t>RoI Total</t>
  </si>
  <si>
    <t xml:space="preserve">RoI fin </t>
  </si>
  <si>
    <t>RoI</t>
  </si>
  <si>
    <t>Custo da Divida</t>
  </si>
  <si>
    <t>Spread não alavancado</t>
  </si>
  <si>
    <t>Dividas / PL (endividamento)</t>
  </si>
  <si>
    <t>Spread alavancado</t>
  </si>
  <si>
    <t>Prova do RoE</t>
  </si>
  <si>
    <t>Ke medio</t>
  </si>
  <si>
    <t>Spread economico</t>
  </si>
  <si>
    <t>EVA</t>
  </si>
  <si>
    <r>
      <t xml:space="preserve">Analise Vertical </t>
    </r>
    <r>
      <rPr>
        <b/>
        <sz val="11"/>
        <color indexed="16"/>
        <rFont val="Calibri"/>
        <family val="2"/>
      </rPr>
      <t>Passivos</t>
    </r>
  </si>
  <si>
    <t>Investimentos e Financiamentos</t>
  </si>
  <si>
    <t>Indicadores de Estrutura</t>
  </si>
  <si>
    <t>Indicadores de Liquidez</t>
  </si>
  <si>
    <t>Aliquotas Efetivas de IR</t>
  </si>
  <si>
    <t>DRE para Análise</t>
  </si>
  <si>
    <t>Análise dos Retornos e GAF</t>
  </si>
  <si>
    <t>Composição do RoI</t>
  </si>
  <si>
    <t>Caixa Operacional Gerado</t>
  </si>
  <si>
    <t>Variações do CGL</t>
  </si>
  <si>
    <t>Caixa dos Investimentos</t>
  </si>
  <si>
    <t>Fluxos de Caixa Livre da Firma</t>
  </si>
  <si>
    <t>Caixa das Dívidas</t>
  </si>
  <si>
    <t>Fluxo de Caixa Livre dos Acionistas</t>
  </si>
  <si>
    <t>Outros Operacionais CP</t>
  </si>
  <si>
    <t>Prova do RoI total</t>
  </si>
  <si>
    <t>RoI total</t>
  </si>
  <si>
    <t xml:space="preserve">EVA </t>
  </si>
  <si>
    <t>WACC</t>
  </si>
  <si>
    <t>ROE</t>
  </si>
  <si>
    <t>ROI * PL</t>
  </si>
  <si>
    <t>Lucro adicional</t>
  </si>
  <si>
    <t>Lucro Líquido</t>
  </si>
  <si>
    <t>Retorno adicional</t>
  </si>
  <si>
    <t>ROI</t>
  </si>
  <si>
    <t>Margem  Operacional</t>
  </si>
  <si>
    <r>
      <t xml:space="preserve">Despesas Operacionais </t>
    </r>
    <r>
      <rPr>
        <sz val="11"/>
        <rFont val="Calibri"/>
        <family val="2"/>
        <scheme val="minor"/>
      </rPr>
      <t>(Com IR Oper.)</t>
    </r>
  </si>
  <si>
    <t>Cuidado, indicadores em bases trimestrais!</t>
  </si>
  <si>
    <r>
      <t xml:space="preserve">Saldos </t>
    </r>
    <r>
      <rPr>
        <b/>
        <u/>
        <sz val="10"/>
        <color indexed="16"/>
        <rFont val="Calibri"/>
        <family val="2"/>
      </rPr>
      <t>Medios</t>
    </r>
    <r>
      <rPr>
        <b/>
        <sz val="10"/>
        <color indexed="16"/>
        <rFont val="Calibri"/>
        <family val="2"/>
      </rPr>
      <t xml:space="preserve"> para Análise</t>
    </r>
  </si>
  <si>
    <t>RoE (RsPL) = ROI + (ROI - Ki) x Endiv.</t>
  </si>
  <si>
    <t>Decomposição GAF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</si>
</sst>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dd\-mmm\-yy;@"/>
    <numFmt numFmtId="165" formatCode="0.0%"/>
    <numFmt numFmtId="166" formatCode="#,##0.0_);[Red]\(#,##0.0\)"/>
    <numFmt numFmtId="167" formatCode="0.0000%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1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color indexed="16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38" fontId="2" fillId="2" borderId="1" xfId="0" applyNumberFormat="1" applyFont="1" applyFill="1" applyBorder="1" applyAlignment="1">
      <alignment horizontal="center"/>
    </xf>
    <xf numFmtId="38" fontId="4" fillId="0" borderId="2" xfId="0" applyNumberFormat="1" applyFont="1" applyBorder="1"/>
    <xf numFmtId="38" fontId="3" fillId="0" borderId="2" xfId="0" applyNumberFormat="1" applyFont="1" applyBorder="1" applyAlignment="1">
      <alignment horizontal="left" indent="1"/>
    </xf>
    <xf numFmtId="38" fontId="2" fillId="2" borderId="1" xfId="0" applyNumberFormat="1" applyFont="1" applyFill="1" applyBorder="1"/>
    <xf numFmtId="38" fontId="3" fillId="0" borderId="2" xfId="0" applyNumberFormat="1" applyFont="1" applyBorder="1" applyAlignment="1">
      <alignment horizontal="center"/>
    </xf>
    <xf numFmtId="38" fontId="4" fillId="0" borderId="2" xfId="0" applyNumberFormat="1" applyFont="1" applyBorder="1" applyAlignment="1">
      <alignment horizontal="left"/>
    </xf>
    <xf numFmtId="38" fontId="4" fillId="0" borderId="2" xfId="0" applyNumberFormat="1" applyFont="1" applyBorder="1" applyAlignment="1">
      <alignment horizontal="center"/>
    </xf>
    <xf numFmtId="38" fontId="4" fillId="0" borderId="2" xfId="0" applyNumberFormat="1" applyFont="1" applyBorder="1" applyAlignment="1"/>
    <xf numFmtId="38" fontId="3" fillId="0" borderId="3" xfId="0" applyNumberFormat="1" applyFont="1" applyBorder="1" applyAlignment="1">
      <alignment horizontal="left" indent="1"/>
    </xf>
    <xf numFmtId="38" fontId="3" fillId="0" borderId="3" xfId="0" applyNumberFormat="1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38" fontId="3" fillId="3" borderId="2" xfId="0" applyNumberFormat="1" applyFont="1" applyFill="1" applyBorder="1" applyAlignment="1">
      <alignment horizontal="left" indent="1"/>
    </xf>
    <xf numFmtId="38" fontId="3" fillId="3" borderId="2" xfId="0" applyNumberFormat="1" applyFont="1" applyFill="1" applyBorder="1" applyAlignment="1">
      <alignment horizontal="center"/>
    </xf>
    <xf numFmtId="38" fontId="5" fillId="4" borderId="2" xfId="0" applyNumberFormat="1" applyFont="1" applyFill="1" applyBorder="1" applyAlignment="1">
      <alignment horizontal="left" indent="1"/>
    </xf>
    <xf numFmtId="38" fontId="5" fillId="4" borderId="4" xfId="0" applyNumberFormat="1" applyFont="1" applyFill="1" applyBorder="1" applyAlignment="1">
      <alignment horizontal="center"/>
    </xf>
    <xf numFmtId="38" fontId="0" fillId="0" borderId="0" xfId="0" applyNumberFormat="1"/>
    <xf numFmtId="38" fontId="0" fillId="0" borderId="0" xfId="0" applyNumberFormat="1" applyAlignment="1">
      <alignment horizontal="center"/>
    </xf>
    <xf numFmtId="38" fontId="6" fillId="2" borderId="0" xfId="0" applyNumberFormat="1" applyFont="1" applyFill="1"/>
    <xf numFmtId="38" fontId="0" fillId="0" borderId="3" xfId="0" applyNumberFormat="1" applyBorder="1" applyAlignment="1">
      <alignment horizontal="center"/>
    </xf>
    <xf numFmtId="38" fontId="0" fillId="0" borderId="3" xfId="0" applyNumberFormat="1" applyBorder="1" applyAlignment="1">
      <alignment horizontal="left" indent="1"/>
    </xf>
    <xf numFmtId="38" fontId="0" fillId="0" borderId="2" xfId="0" applyNumberFormat="1" applyBorder="1" applyAlignment="1">
      <alignment horizontal="center"/>
    </xf>
    <xf numFmtId="38" fontId="0" fillId="0" borderId="2" xfId="0" applyNumberFormat="1" applyBorder="1" applyAlignment="1">
      <alignment horizontal="left" indent="1"/>
    </xf>
    <xf numFmtId="38" fontId="7" fillId="0" borderId="2" xfId="0" applyNumberFormat="1" applyFont="1" applyBorder="1" applyAlignment="1">
      <alignment horizontal="center"/>
    </xf>
    <xf numFmtId="38" fontId="7" fillId="0" borderId="2" xfId="0" applyNumberFormat="1" applyFont="1" applyBorder="1"/>
    <xf numFmtId="38" fontId="7" fillId="0" borderId="3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left"/>
    </xf>
    <xf numFmtId="38" fontId="0" fillId="0" borderId="2" xfId="0" applyNumberFormat="1" applyBorder="1" applyAlignment="1">
      <alignment horizontal="left" indent="2"/>
    </xf>
    <xf numFmtId="38" fontId="7" fillId="0" borderId="2" xfId="0" applyNumberFormat="1" applyFont="1" applyBorder="1" applyAlignment="1">
      <alignment horizontal="left"/>
    </xf>
    <xf numFmtId="38" fontId="6" fillId="2" borderId="1" xfId="0" applyNumberFormat="1" applyFont="1" applyFill="1" applyBorder="1" applyAlignment="1">
      <alignment horizontal="center"/>
    </xf>
    <xf numFmtId="38" fontId="6" fillId="2" borderId="1" xfId="0" applyNumberFormat="1" applyFont="1" applyFill="1" applyBorder="1"/>
    <xf numFmtId="38" fontId="7" fillId="0" borderId="3" xfId="0" applyNumberFormat="1" applyFont="1" applyBorder="1" applyAlignment="1"/>
    <xf numFmtId="38" fontId="7" fillId="0" borderId="2" xfId="0" applyNumberFormat="1" applyFont="1" applyBorder="1" applyAlignment="1">
      <alignment horizontal="left" indent="1"/>
    </xf>
    <xf numFmtId="38" fontId="7" fillId="0" borderId="5" xfId="0" applyNumberFormat="1" applyFont="1" applyBorder="1" applyAlignment="1">
      <alignment horizontal="center"/>
    </xf>
    <xf numFmtId="38" fontId="7" fillId="0" borderId="5" xfId="0" applyNumberFormat="1" applyFont="1" applyBorder="1"/>
    <xf numFmtId="38" fontId="7" fillId="0" borderId="3" xfId="0" applyNumberFormat="1" applyFont="1" applyBorder="1"/>
    <xf numFmtId="38" fontId="6" fillId="2" borderId="5" xfId="0" applyNumberFormat="1" applyFont="1" applyFill="1" applyBorder="1" applyAlignment="1">
      <alignment horizontal="center"/>
    </xf>
    <xf numFmtId="38" fontId="6" fillId="2" borderId="5" xfId="0" applyNumberFormat="1" applyFont="1" applyFill="1" applyBorder="1"/>
    <xf numFmtId="164" fontId="6" fillId="2" borderId="5" xfId="0" applyNumberFormat="1" applyFont="1" applyFill="1" applyBorder="1" applyAlignment="1">
      <alignment horizontal="center"/>
    </xf>
    <xf numFmtId="38" fontId="8" fillId="0" borderId="0" xfId="0" applyNumberFormat="1" applyFont="1" applyAlignment="1">
      <alignment horizontal="center"/>
    </xf>
    <xf numFmtId="38" fontId="7" fillId="0" borderId="0" xfId="0" applyNumberFormat="1" applyFont="1" applyBorder="1"/>
    <xf numFmtId="38" fontId="7" fillId="0" borderId="0" xfId="0" applyNumberFormat="1" applyFont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9" fontId="7" fillId="0" borderId="5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7" fillId="0" borderId="2" xfId="1" applyFont="1" applyBorder="1" applyAlignment="1">
      <alignment horizontal="center"/>
    </xf>
    <xf numFmtId="9" fontId="7" fillId="0" borderId="3" xfId="1" applyFont="1" applyBorder="1" applyAlignment="1">
      <alignment horizontal="center"/>
    </xf>
    <xf numFmtId="38" fontId="3" fillId="2" borderId="2" xfId="0" applyNumberFormat="1" applyFont="1" applyFill="1" applyBorder="1" applyAlignment="1">
      <alignment horizontal="center"/>
    </xf>
    <xf numFmtId="38" fontId="4" fillId="2" borderId="2" xfId="0" applyNumberFormat="1" applyFont="1" applyFill="1" applyBorder="1" applyAlignment="1">
      <alignment horizontal="center"/>
    </xf>
    <xf numFmtId="9" fontId="4" fillId="0" borderId="2" xfId="1" applyFont="1" applyBorder="1" applyAlignment="1">
      <alignment horizontal="center"/>
    </xf>
    <xf numFmtId="9" fontId="3" fillId="3" borderId="2" xfId="1" applyFont="1" applyFill="1" applyBorder="1" applyAlignment="1">
      <alignment horizontal="center"/>
    </xf>
    <xf numFmtId="38" fontId="0" fillId="0" borderId="2" xfId="0" applyNumberFormat="1" applyBorder="1"/>
    <xf numFmtId="38" fontId="8" fillId="0" borderId="2" xfId="0" applyNumberFormat="1" applyFont="1" applyBorder="1" applyAlignment="1">
      <alignment horizontal="left" indent="1"/>
    </xf>
    <xf numFmtId="38" fontId="8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38" fontId="0" fillId="0" borderId="3" xfId="0" applyNumberFormat="1" applyBorder="1"/>
    <xf numFmtId="166" fontId="0" fillId="0" borderId="3" xfId="0" applyNumberForma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9" fontId="3" fillId="0" borderId="2" xfId="1" applyFont="1" applyBorder="1" applyAlignment="1">
      <alignment horizontal="left" indent="1"/>
    </xf>
    <xf numFmtId="9" fontId="3" fillId="0" borderId="3" xfId="1" applyFont="1" applyBorder="1" applyAlignment="1">
      <alignment horizontal="left" indent="1"/>
    </xf>
    <xf numFmtId="9" fontId="3" fillId="0" borderId="3" xfId="1" applyFont="1" applyBorder="1" applyAlignment="1">
      <alignment horizontal="center"/>
    </xf>
    <xf numFmtId="38" fontId="3" fillId="0" borderId="5" xfId="0" applyNumberFormat="1" applyFont="1" applyBorder="1" applyAlignment="1">
      <alignment horizontal="left" indent="1"/>
    </xf>
    <xf numFmtId="38" fontId="3" fillId="2" borderId="5" xfId="0" applyNumberFormat="1" applyFont="1" applyFill="1" applyBorder="1" applyAlignment="1">
      <alignment horizontal="center"/>
    </xf>
    <xf numFmtId="9" fontId="3" fillId="0" borderId="5" xfId="1" applyFont="1" applyBorder="1" applyAlignment="1">
      <alignment horizontal="center"/>
    </xf>
    <xf numFmtId="38" fontId="4" fillId="0" borderId="3" xfId="0" applyNumberFormat="1" applyFont="1" applyBorder="1"/>
    <xf numFmtId="38" fontId="4" fillId="2" borderId="3" xfId="0" applyNumberFormat="1" applyFont="1" applyFill="1" applyBorder="1" applyAlignment="1">
      <alignment horizontal="center"/>
    </xf>
    <xf numFmtId="9" fontId="4" fillId="0" borderId="3" xfId="1" applyFont="1" applyBorder="1" applyAlignment="1">
      <alignment horizontal="center"/>
    </xf>
    <xf numFmtId="38" fontId="4" fillId="0" borderId="3" xfId="0" applyNumberFormat="1" applyFont="1" applyBorder="1" applyAlignment="1">
      <alignment horizontal="left" indent="1"/>
    </xf>
    <xf numFmtId="38" fontId="4" fillId="0" borderId="2" xfId="0" applyNumberFormat="1" applyFont="1" applyBorder="1" applyAlignment="1">
      <alignment horizontal="left" indent="1"/>
    </xf>
    <xf numFmtId="9" fontId="0" fillId="0" borderId="3" xfId="1" applyFont="1" applyBorder="1" applyAlignment="1">
      <alignment horizontal="center"/>
    </xf>
    <xf numFmtId="9" fontId="4" fillId="0" borderId="2" xfId="1" applyFont="1" applyBorder="1" applyAlignment="1">
      <alignment horizontal="left"/>
    </xf>
    <xf numFmtId="9" fontId="4" fillId="0" borderId="2" xfId="1" applyFont="1" applyBorder="1" applyAlignment="1"/>
    <xf numFmtId="9" fontId="5" fillId="4" borderId="2" xfId="1" applyFont="1" applyFill="1" applyBorder="1" applyAlignment="1">
      <alignment horizontal="left" indent="1"/>
    </xf>
    <xf numFmtId="9" fontId="5" fillId="4" borderId="4" xfId="1" applyFont="1" applyFill="1" applyBorder="1" applyAlignment="1">
      <alignment horizontal="center"/>
    </xf>
    <xf numFmtId="9" fontId="4" fillId="0" borderId="2" xfId="1" applyFont="1" applyBorder="1"/>
    <xf numFmtId="9" fontId="3" fillId="3" borderId="2" xfId="1" applyFont="1" applyFill="1" applyBorder="1" applyAlignment="1">
      <alignment horizontal="left" indent="1"/>
    </xf>
    <xf numFmtId="38" fontId="8" fillId="0" borderId="2" xfId="0" applyNumberFormat="1" applyFont="1" applyBorder="1"/>
    <xf numFmtId="165" fontId="0" fillId="0" borderId="2" xfId="1" applyNumberFormat="1" applyFont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9" fontId="0" fillId="0" borderId="2" xfId="1" applyFont="1" applyBorder="1"/>
    <xf numFmtId="9" fontId="0" fillId="0" borderId="5" xfId="1" applyFont="1" applyBorder="1"/>
    <xf numFmtId="9" fontId="0" fillId="0" borderId="5" xfId="1" applyFont="1" applyBorder="1" applyAlignment="1">
      <alignment horizontal="center"/>
    </xf>
    <xf numFmtId="9" fontId="0" fillId="0" borderId="3" xfId="1" applyFont="1" applyBorder="1"/>
    <xf numFmtId="38" fontId="8" fillId="0" borderId="3" xfId="0" applyNumberFormat="1" applyFont="1" applyBorder="1" applyAlignment="1">
      <alignment horizontal="left" indent="1"/>
    </xf>
    <xf numFmtId="38" fontId="8" fillId="0" borderId="3" xfId="0" applyNumberFormat="1" applyFont="1" applyBorder="1" applyAlignment="1">
      <alignment horizontal="center"/>
    </xf>
    <xf numFmtId="38" fontId="10" fillId="0" borderId="2" xfId="0" applyNumberFormat="1" applyFont="1" applyBorder="1" applyAlignment="1">
      <alignment horizontal="left" indent="1"/>
    </xf>
    <xf numFmtId="38" fontId="10" fillId="0" borderId="2" xfId="0" applyNumberFormat="1" applyFont="1" applyBorder="1" applyAlignment="1">
      <alignment horizontal="center"/>
    </xf>
    <xf numFmtId="38" fontId="8" fillId="0" borderId="2" xfId="0" applyNumberFormat="1" applyFont="1" applyBorder="1" applyAlignment="1">
      <alignment horizontal="left"/>
    </xf>
    <xf numFmtId="38" fontId="8" fillId="0" borderId="3" xfId="0" applyNumberFormat="1" applyFont="1" applyBorder="1" applyAlignment="1">
      <alignment horizontal="left"/>
    </xf>
    <xf numFmtId="10" fontId="0" fillId="0" borderId="0" xfId="1" applyNumberFormat="1" applyFont="1" applyAlignment="1">
      <alignment horizontal="center"/>
    </xf>
    <xf numFmtId="38" fontId="7" fillId="6" borderId="5" xfId="0" applyNumberFormat="1" applyFont="1" applyFill="1" applyBorder="1"/>
    <xf numFmtId="38" fontId="7" fillId="6" borderId="2" xfId="0" applyNumberFormat="1" applyFont="1" applyFill="1" applyBorder="1"/>
    <xf numFmtId="38" fontId="7" fillId="5" borderId="3" xfId="0" applyNumberFormat="1" applyFont="1" applyFill="1" applyBorder="1" applyAlignment="1">
      <alignment horizontal="left"/>
    </xf>
    <xf numFmtId="38" fontId="7" fillId="5" borderId="3" xfId="0" applyNumberFormat="1" applyFont="1" applyFill="1" applyBorder="1" applyAlignment="1">
      <alignment horizontal="center"/>
    </xf>
    <xf numFmtId="38" fontId="0" fillId="0" borderId="0" xfId="0" applyNumberFormat="1" applyAlignment="1">
      <alignment horizontal="center" vertical="center"/>
    </xf>
    <xf numFmtId="40" fontId="0" fillId="0" borderId="0" xfId="0" applyNumberFormat="1"/>
    <xf numFmtId="38" fontId="12" fillId="0" borderId="0" xfId="0" applyNumberFormat="1" applyFont="1"/>
    <xf numFmtId="9" fontId="0" fillId="0" borderId="0" xfId="1" applyFont="1" applyAlignment="1">
      <alignment horizontal="center"/>
    </xf>
    <xf numFmtId="38" fontId="7" fillId="7" borderId="2" xfId="0" applyNumberFormat="1" applyFont="1" applyFill="1" applyBorder="1"/>
    <xf numFmtId="38" fontId="0" fillId="0" borderId="0" xfId="0" applyNumberFormat="1" applyBorder="1" applyAlignment="1">
      <alignment horizontal="left" indent="1"/>
    </xf>
    <xf numFmtId="38" fontId="0" fillId="0" borderId="0" xfId="0" applyNumberFormat="1" applyBorder="1"/>
    <xf numFmtId="165" fontId="0" fillId="0" borderId="0" xfId="1" applyNumberFormat="1" applyFont="1" applyBorder="1"/>
    <xf numFmtId="38" fontId="0" fillId="0" borderId="1" xfId="0" applyNumberFormat="1" applyFill="1" applyBorder="1"/>
    <xf numFmtId="10" fontId="0" fillId="0" borderId="1" xfId="1" applyNumberFormat="1" applyFont="1" applyFill="1" applyBorder="1"/>
    <xf numFmtId="167" fontId="0" fillId="0" borderId="1" xfId="1" applyNumberFormat="1" applyFont="1" applyFill="1" applyBorder="1"/>
    <xf numFmtId="9" fontId="0" fillId="0" borderId="2" xfId="1" applyFon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  <xf numFmtId="38" fontId="10" fillId="8" borderId="2" xfId="0" applyNumberFormat="1" applyFont="1" applyFill="1" applyBorder="1" applyAlignment="1">
      <alignment horizontal="left" indent="1"/>
    </xf>
    <xf numFmtId="38" fontId="10" fillId="8" borderId="2" xfId="0" applyNumberFormat="1" applyFont="1" applyFill="1" applyBorder="1" applyAlignment="1">
      <alignment horizontal="center"/>
    </xf>
    <xf numFmtId="38" fontId="0" fillId="8" borderId="2" xfId="0" applyNumberFormat="1" applyFill="1" applyBorder="1" applyAlignment="1">
      <alignment horizontal="left" indent="2"/>
    </xf>
    <xf numFmtId="38" fontId="0" fillId="8" borderId="2" xfId="0" applyNumberFormat="1" applyFill="1" applyBorder="1" applyAlignment="1">
      <alignment horizontal="center"/>
    </xf>
    <xf numFmtId="38" fontId="0" fillId="9" borderId="0" xfId="0" applyNumberFormat="1" applyFill="1" applyBorder="1" applyAlignment="1">
      <alignment horizontal="left" indent="1"/>
    </xf>
    <xf numFmtId="38" fontId="0" fillId="9" borderId="0" xfId="0" applyNumberFormat="1" applyFill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1" xfId="0" applyNumberFormat="1" applyBorder="1" applyAlignment="1">
      <alignment horizontal="left" indent="1"/>
    </xf>
    <xf numFmtId="38" fontId="7" fillId="0" borderId="1" xfId="0" applyNumberFormat="1" applyFont="1" applyBorder="1"/>
    <xf numFmtId="38" fontId="7" fillId="0" borderId="1" xfId="0" applyNumberFormat="1" applyFont="1" applyBorder="1" applyAlignment="1">
      <alignment horizontal="center"/>
    </xf>
    <xf numFmtId="38" fontId="0" fillId="9" borderId="2" xfId="0" applyNumberFormat="1" applyFill="1" applyBorder="1" applyAlignment="1">
      <alignment horizontal="left" indent="2"/>
    </xf>
    <xf numFmtId="38" fontId="0" fillId="10" borderId="2" xfId="0" applyNumberFormat="1" applyFill="1" applyBorder="1" applyAlignment="1">
      <alignment horizontal="center"/>
    </xf>
    <xf numFmtId="38" fontId="7" fillId="10" borderId="2" xfId="0" applyNumberFormat="1" applyFont="1" applyFill="1" applyBorder="1"/>
    <xf numFmtId="165" fontId="7" fillId="10" borderId="2" xfId="1" applyNumberFormat="1" applyFont="1" applyFill="1" applyBorder="1" applyAlignment="1">
      <alignment horizontal="center"/>
    </xf>
    <xf numFmtId="38" fontId="0" fillId="10" borderId="2" xfId="0" applyNumberFormat="1" applyFill="1" applyBorder="1" applyAlignment="1">
      <alignment horizontal="left" indent="1"/>
    </xf>
    <xf numFmtId="165" fontId="0" fillId="10" borderId="2" xfId="1" applyNumberFormat="1" applyFont="1" applyFill="1" applyBorder="1" applyAlignment="1">
      <alignment horizontal="center"/>
    </xf>
    <xf numFmtId="38" fontId="15" fillId="0" borderId="0" xfId="0" applyNumberFormat="1" applyFont="1"/>
    <xf numFmtId="166" fontId="0" fillId="10" borderId="2" xfId="0" applyNumberFormat="1" applyFill="1" applyBorder="1" applyAlignment="1">
      <alignment horizontal="center"/>
    </xf>
    <xf numFmtId="38" fontId="7" fillId="10" borderId="3" xfId="0" applyNumberFormat="1" applyFont="1" applyFill="1" applyBorder="1" applyAlignment="1">
      <alignment horizontal="left"/>
    </xf>
    <xf numFmtId="38" fontId="7" fillId="10" borderId="3" xfId="0" applyNumberFormat="1" applyFont="1" applyFill="1" applyBorder="1" applyAlignment="1">
      <alignment horizontal="center"/>
    </xf>
    <xf numFmtId="9" fontId="0" fillId="0" borderId="0" xfId="1" applyFont="1"/>
    <xf numFmtId="38" fontId="13" fillId="0" borderId="1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Ex_03_analises!$U$21</c:f>
              <c:strCache>
                <c:ptCount val="1"/>
                <c:pt idx="0">
                  <c:v>RoI op</c:v>
                </c:pt>
              </c:strCache>
            </c:strRef>
          </c:tx>
          <c:marker>
            <c:symbol val="none"/>
          </c:marker>
          <c:cat>
            <c:strRef>
              <c:f>Ex_03_analises!$V$2:$Z$2</c:f>
              <c:strCache>
                <c:ptCount val="5"/>
                <c:pt idx="0">
                  <c:v>2 trim 2010</c:v>
                </c:pt>
                <c:pt idx="1">
                  <c:v>3 trim 2010</c:v>
                </c:pt>
                <c:pt idx="2">
                  <c:v>4 trim 2010</c:v>
                </c:pt>
                <c:pt idx="3">
                  <c:v>1 trim 2011</c:v>
                </c:pt>
                <c:pt idx="4">
                  <c:v>2 trim 2011</c:v>
                </c:pt>
              </c:strCache>
            </c:strRef>
          </c:cat>
          <c:val>
            <c:numRef>
              <c:f>Ex_03_analises!$V$21:$Z$21</c:f>
              <c:numCache>
                <c:formatCode>0.0%</c:formatCode>
                <c:ptCount val="5"/>
                <c:pt idx="0">
                  <c:v>4.224416515257777E-2</c:v>
                </c:pt>
                <c:pt idx="1">
                  <c:v>3.2932081779376003E-2</c:v>
                </c:pt>
                <c:pt idx="2">
                  <c:v>3.8422179715471572E-2</c:v>
                </c:pt>
                <c:pt idx="3">
                  <c:v>3.6848528372996923E-2</c:v>
                </c:pt>
                <c:pt idx="4">
                  <c:v>3.4131064768050286E-2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Ex_03_analises!$U$23</c:f>
              <c:strCache>
                <c:ptCount val="1"/>
                <c:pt idx="0">
                  <c:v>RoI fin</c:v>
                </c:pt>
              </c:strCache>
            </c:strRef>
          </c:tx>
          <c:marker>
            <c:symbol val="none"/>
          </c:marker>
          <c:cat>
            <c:strRef>
              <c:f>Ex_03_analises!$V$2:$Z$2</c:f>
              <c:strCache>
                <c:ptCount val="5"/>
                <c:pt idx="0">
                  <c:v>2 trim 2010</c:v>
                </c:pt>
                <c:pt idx="1">
                  <c:v>3 trim 2010</c:v>
                </c:pt>
                <c:pt idx="2">
                  <c:v>4 trim 2010</c:v>
                </c:pt>
                <c:pt idx="3">
                  <c:v>1 trim 2011</c:v>
                </c:pt>
                <c:pt idx="4">
                  <c:v>2 trim 2011</c:v>
                </c:pt>
              </c:strCache>
            </c:strRef>
          </c:cat>
          <c:val>
            <c:numRef>
              <c:f>Ex_03_analises!$V$23:$Z$23</c:f>
              <c:numCache>
                <c:formatCode>0.0%</c:formatCode>
                <c:ptCount val="5"/>
                <c:pt idx="0">
                  <c:v>6.4952526334147845E-2</c:v>
                </c:pt>
                <c:pt idx="1">
                  <c:v>5.8790866099730214E-2</c:v>
                </c:pt>
                <c:pt idx="2">
                  <c:v>5.589297284538447E-2</c:v>
                </c:pt>
                <c:pt idx="3">
                  <c:v>5.043005863116546E-2</c:v>
                </c:pt>
                <c:pt idx="4">
                  <c:v>6.1824977264910305E-2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1037568"/>
        <c:axId val="-711036480"/>
      </c:lineChart>
      <c:catAx>
        <c:axId val="-71103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11036480"/>
        <c:crosses val="autoZero"/>
        <c:auto val="1"/>
        <c:lblAlgn val="ctr"/>
        <c:lblOffset val="100"/>
        <c:noMultiLvlLbl val="0"/>
      </c:catAx>
      <c:valAx>
        <c:axId val="-711036480"/>
        <c:scaling>
          <c:orientation val="minMax"/>
          <c:min val="3.0000000000000002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711037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Ex_03_fluxos!$R$52</c:f>
              <c:strCache>
                <c:ptCount val="1"/>
                <c:pt idx="0">
                  <c:v>Caixa Operacional Gerado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Ex_03_fluxos!$S$51:$X$51</c:f>
              <c:strCache>
                <c:ptCount val="6"/>
                <c:pt idx="0">
                  <c:v>1 trim 2010</c:v>
                </c:pt>
                <c:pt idx="1">
                  <c:v>2 trim 2010</c:v>
                </c:pt>
                <c:pt idx="2">
                  <c:v>3 trim 2010</c:v>
                </c:pt>
                <c:pt idx="3">
                  <c:v>4 trim 2010</c:v>
                </c:pt>
                <c:pt idx="4">
                  <c:v>1 trim 2011</c:v>
                </c:pt>
                <c:pt idx="5">
                  <c:v>2 trim 2011</c:v>
                </c:pt>
              </c:strCache>
            </c:strRef>
          </c:cat>
          <c:val>
            <c:numRef>
              <c:f>Ex_03_fluxos!$S$52:$X$52</c:f>
              <c:numCache>
                <c:formatCode>#,##0_);[Red]\(#,##0\)</c:formatCode>
                <c:ptCount val="6"/>
                <c:pt idx="0">
                  <c:v>101320</c:v>
                </c:pt>
                <c:pt idx="1">
                  <c:v>97637</c:v>
                </c:pt>
                <c:pt idx="2">
                  <c:v>77913</c:v>
                </c:pt>
                <c:pt idx="3">
                  <c:v>105538</c:v>
                </c:pt>
                <c:pt idx="4">
                  <c:v>86717</c:v>
                </c:pt>
                <c:pt idx="5">
                  <c:v>89037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Ex_03_fluxos!$R$55</c:f>
              <c:strCache>
                <c:ptCount val="1"/>
                <c:pt idx="0">
                  <c:v>Fluxos de Caixa Livre da Firma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Ex_03_fluxos!$S$51:$X$51</c:f>
              <c:strCache>
                <c:ptCount val="6"/>
                <c:pt idx="0">
                  <c:v>1 trim 2010</c:v>
                </c:pt>
                <c:pt idx="1">
                  <c:v>2 trim 2010</c:v>
                </c:pt>
                <c:pt idx="2">
                  <c:v>3 trim 2010</c:v>
                </c:pt>
                <c:pt idx="3">
                  <c:v>4 trim 2010</c:v>
                </c:pt>
                <c:pt idx="4">
                  <c:v>1 trim 2011</c:v>
                </c:pt>
                <c:pt idx="5">
                  <c:v>2 trim 2011</c:v>
                </c:pt>
              </c:strCache>
            </c:strRef>
          </c:cat>
          <c:val>
            <c:numRef>
              <c:f>Ex_03_fluxos!$S$55:$X$55</c:f>
              <c:numCache>
                <c:formatCode>#,##0_);[Red]\(#,##0\)</c:formatCode>
                <c:ptCount val="6"/>
                <c:pt idx="0">
                  <c:v>64671</c:v>
                </c:pt>
                <c:pt idx="1">
                  <c:v>178707</c:v>
                </c:pt>
                <c:pt idx="2">
                  <c:v>-131144</c:v>
                </c:pt>
                <c:pt idx="3">
                  <c:v>64868</c:v>
                </c:pt>
                <c:pt idx="4">
                  <c:v>17407</c:v>
                </c:pt>
                <c:pt idx="5">
                  <c:v>43072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Ex_03_fluxos!$R$57</c:f>
              <c:strCache>
                <c:ptCount val="1"/>
                <c:pt idx="0">
                  <c:v>Fluxo de Caixa Livre dos Acionistas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Ex_03_fluxos!$S$51:$X$51</c:f>
              <c:strCache>
                <c:ptCount val="6"/>
                <c:pt idx="0">
                  <c:v>1 trim 2010</c:v>
                </c:pt>
                <c:pt idx="1">
                  <c:v>2 trim 2010</c:v>
                </c:pt>
                <c:pt idx="2">
                  <c:v>3 trim 2010</c:v>
                </c:pt>
                <c:pt idx="3">
                  <c:v>4 trim 2010</c:v>
                </c:pt>
                <c:pt idx="4">
                  <c:v>1 trim 2011</c:v>
                </c:pt>
                <c:pt idx="5">
                  <c:v>2 trim 2011</c:v>
                </c:pt>
              </c:strCache>
            </c:strRef>
          </c:cat>
          <c:val>
            <c:numRef>
              <c:f>Ex_03_fluxos!$S$57:$X$57</c:f>
              <c:numCache>
                <c:formatCode>#,##0_);[Red]\(#,##0\)</c:formatCode>
                <c:ptCount val="6"/>
                <c:pt idx="0">
                  <c:v>34176</c:v>
                </c:pt>
                <c:pt idx="1">
                  <c:v>80899</c:v>
                </c:pt>
                <c:pt idx="2">
                  <c:v>59821</c:v>
                </c:pt>
                <c:pt idx="3">
                  <c:v>84137</c:v>
                </c:pt>
                <c:pt idx="4">
                  <c:v>5673</c:v>
                </c:pt>
                <c:pt idx="5">
                  <c:v>118986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1037024"/>
        <c:axId val="-711038112"/>
      </c:lineChart>
      <c:catAx>
        <c:axId val="-7110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1038112"/>
        <c:crosses val="autoZero"/>
        <c:auto val="1"/>
        <c:lblAlgn val="ctr"/>
        <c:lblOffset val="100"/>
        <c:noMultiLvlLbl val="0"/>
      </c:catAx>
      <c:valAx>
        <c:axId val="-71103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110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9918" cy="601168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9918" cy="601168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showGridLines="0" topLeftCell="A15" zoomScale="120" zoomScaleNormal="120" zoomScalePageLayoutView="150" workbookViewId="0">
      <selection activeCell="F38" sqref="F38"/>
    </sheetView>
  </sheetViews>
  <sheetFormatPr defaultColWidth="8.85546875" defaultRowHeight="15" x14ac:dyDescent="0.25"/>
  <cols>
    <col min="1" max="1" width="1.140625" style="16" customWidth="1"/>
    <col min="2" max="2" width="25.42578125" style="16" bestFit="1" customWidth="1"/>
    <col min="3" max="8" width="10.140625" style="17" bestFit="1" customWidth="1"/>
    <col min="9" max="9" width="1.140625" style="16" customWidth="1"/>
    <col min="10" max="10" width="30.28515625" style="16" customWidth="1"/>
    <col min="11" max="16" width="10.140625" style="16" bestFit="1" customWidth="1"/>
    <col min="17" max="16384" width="8.85546875" style="16"/>
  </cols>
  <sheetData>
    <row r="1" spans="2:16" ht="8.1" customHeight="1" x14ac:dyDescent="0.25"/>
    <row r="2" spans="2:16" x14ac:dyDescent="0.25">
      <c r="B2" s="38" t="s">
        <v>69</v>
      </c>
      <c r="C2" s="38">
        <v>40268</v>
      </c>
      <c r="D2" s="38">
        <v>40359</v>
      </c>
      <c r="E2" s="38">
        <v>40451</v>
      </c>
      <c r="F2" s="38">
        <v>40543</v>
      </c>
      <c r="G2" s="38">
        <v>40633</v>
      </c>
      <c r="H2" s="38">
        <v>40724</v>
      </c>
      <c r="J2" s="37" t="s">
        <v>25</v>
      </c>
      <c r="K2" s="36" t="s">
        <v>57</v>
      </c>
      <c r="L2" s="36" t="s">
        <v>58</v>
      </c>
      <c r="M2" s="36" t="s">
        <v>59</v>
      </c>
      <c r="N2" s="36" t="s">
        <v>60</v>
      </c>
      <c r="O2" s="36" t="s">
        <v>61</v>
      </c>
      <c r="P2" s="36" t="s">
        <v>62</v>
      </c>
    </row>
    <row r="3" spans="2:16" x14ac:dyDescent="0.25">
      <c r="B3" s="34" t="s">
        <v>0</v>
      </c>
      <c r="C3" s="33">
        <v>1641923</v>
      </c>
      <c r="D3" s="33">
        <v>1739538</v>
      </c>
      <c r="E3" s="33">
        <v>1855332</v>
      </c>
      <c r="F3" s="33">
        <v>1990509</v>
      </c>
      <c r="G3" s="33">
        <v>1834430</v>
      </c>
      <c r="H3" s="33">
        <v>2028611</v>
      </c>
      <c r="J3" s="90" t="s">
        <v>26</v>
      </c>
      <c r="K3" s="33">
        <f t="shared" ref="K3:P3" si="0">K4+K14</f>
        <v>93163</v>
      </c>
      <c r="L3" s="33">
        <f t="shared" si="0"/>
        <v>188068</v>
      </c>
      <c r="M3" s="33">
        <f t="shared" si="0"/>
        <v>-108373</v>
      </c>
      <c r="N3" s="33">
        <f t="shared" si="0"/>
        <v>85210</v>
      </c>
      <c r="O3" s="33">
        <f t="shared" si="0"/>
        <v>46289</v>
      </c>
      <c r="P3" s="33">
        <f t="shared" si="0"/>
        <v>59420</v>
      </c>
    </row>
    <row r="4" spans="2:16" x14ac:dyDescent="0.25">
      <c r="B4" s="22" t="s">
        <v>1</v>
      </c>
      <c r="C4" s="21">
        <v>504018</v>
      </c>
      <c r="D4" s="21">
        <v>562468</v>
      </c>
      <c r="E4" s="21">
        <v>607328</v>
      </c>
      <c r="F4" s="21">
        <v>672123</v>
      </c>
      <c r="G4" s="21">
        <v>568173</v>
      </c>
      <c r="H4" s="21">
        <v>673300</v>
      </c>
      <c r="J4" s="32" t="s">
        <v>27</v>
      </c>
      <c r="K4" s="23">
        <f t="shared" ref="K4:P4" si="1">SUM(K5:K13)</f>
        <v>101320</v>
      </c>
      <c r="L4" s="23">
        <f t="shared" si="1"/>
        <v>97637</v>
      </c>
      <c r="M4" s="23">
        <f t="shared" si="1"/>
        <v>77913</v>
      </c>
      <c r="N4" s="23">
        <f t="shared" si="1"/>
        <v>105538</v>
      </c>
      <c r="O4" s="23">
        <f t="shared" si="1"/>
        <v>86717</v>
      </c>
      <c r="P4" s="23">
        <f t="shared" si="1"/>
        <v>89037</v>
      </c>
    </row>
    <row r="5" spans="2:16" x14ac:dyDescent="0.25">
      <c r="B5" s="22" t="s">
        <v>53</v>
      </c>
      <c r="C5" s="21">
        <v>1137905</v>
      </c>
      <c r="D5" s="21">
        <v>1177070</v>
      </c>
      <c r="E5" s="21">
        <v>1248004</v>
      </c>
      <c r="F5" s="21">
        <v>1318386</v>
      </c>
      <c r="G5" s="21">
        <v>1266257</v>
      </c>
      <c r="H5" s="21">
        <v>1355311</v>
      </c>
      <c r="J5" s="27" t="s">
        <v>24</v>
      </c>
      <c r="K5" s="21">
        <v>69070</v>
      </c>
      <c r="L5" s="21">
        <v>79067</v>
      </c>
      <c r="M5" s="21">
        <v>65024</v>
      </c>
      <c r="N5" s="21">
        <v>82593</v>
      </c>
      <c r="O5" s="21">
        <v>75757</v>
      </c>
      <c r="P5" s="21">
        <v>76315</v>
      </c>
    </row>
    <row r="6" spans="2:16" x14ac:dyDescent="0.25">
      <c r="B6" s="24" t="s">
        <v>2</v>
      </c>
      <c r="C6" s="23">
        <v>890912</v>
      </c>
      <c r="D6" s="23">
        <v>892803</v>
      </c>
      <c r="E6" s="23">
        <v>1079768</v>
      </c>
      <c r="F6" s="23">
        <v>1039092</v>
      </c>
      <c r="G6" s="23">
        <v>1033450</v>
      </c>
      <c r="H6" s="23">
        <v>1121722</v>
      </c>
      <c r="J6" s="27" t="s">
        <v>28</v>
      </c>
      <c r="K6" s="21">
        <v>9120</v>
      </c>
      <c r="L6" s="21">
        <v>8067</v>
      </c>
      <c r="M6" s="21">
        <v>7845</v>
      </c>
      <c r="N6" s="21">
        <v>9447</v>
      </c>
      <c r="O6" s="21">
        <v>8944</v>
      </c>
      <c r="P6" s="21">
        <v>8837</v>
      </c>
    </row>
    <row r="7" spans="2:16" x14ac:dyDescent="0.25">
      <c r="B7" s="22" t="s">
        <v>3</v>
      </c>
      <c r="C7" s="21">
        <v>499353</v>
      </c>
      <c r="D7" s="21">
        <v>496612</v>
      </c>
      <c r="E7" s="21">
        <v>674069</v>
      </c>
      <c r="F7" s="21">
        <v>625217</v>
      </c>
      <c r="G7" s="21">
        <v>605332</v>
      </c>
      <c r="H7" s="21">
        <v>688650</v>
      </c>
      <c r="J7" s="27" t="s">
        <v>29</v>
      </c>
      <c r="K7" s="21">
        <v>16120</v>
      </c>
      <c r="L7" s="21">
        <v>17148</v>
      </c>
      <c r="M7" s="21">
        <v>-263</v>
      </c>
      <c r="N7" s="21">
        <v>172</v>
      </c>
      <c r="O7" s="21">
        <v>6719</v>
      </c>
      <c r="P7" s="21">
        <v>14285</v>
      </c>
    </row>
    <row r="8" spans="2:16" x14ac:dyDescent="0.25">
      <c r="B8" s="22" t="s">
        <v>4</v>
      </c>
      <c r="C8" s="21">
        <v>295661</v>
      </c>
      <c r="D8" s="21">
        <v>300199</v>
      </c>
      <c r="E8" s="21">
        <v>309247</v>
      </c>
      <c r="F8" s="21">
        <v>318761</v>
      </c>
      <c r="G8" s="21">
        <v>326366</v>
      </c>
      <c r="H8" s="21">
        <v>331583</v>
      </c>
      <c r="J8" s="27" t="s">
        <v>30</v>
      </c>
      <c r="K8" s="21">
        <v>0</v>
      </c>
      <c r="L8" s="21">
        <v>0</v>
      </c>
      <c r="M8" s="21">
        <v>0</v>
      </c>
      <c r="N8" s="21">
        <v>0</v>
      </c>
      <c r="O8" s="21">
        <v>4776</v>
      </c>
      <c r="P8" s="21">
        <v>431</v>
      </c>
    </row>
    <row r="9" spans="2:16" x14ac:dyDescent="0.25">
      <c r="B9" s="22" t="s">
        <v>54</v>
      </c>
      <c r="C9" s="21">
        <v>95898</v>
      </c>
      <c r="D9" s="21">
        <v>95992</v>
      </c>
      <c r="E9" s="21">
        <v>96452</v>
      </c>
      <c r="F9" s="21">
        <v>95114</v>
      </c>
      <c r="G9" s="21">
        <v>101752</v>
      </c>
      <c r="H9" s="21">
        <v>101489</v>
      </c>
      <c r="J9" s="27" t="s">
        <v>31</v>
      </c>
      <c r="K9" s="21">
        <v>3003</v>
      </c>
      <c r="L9" s="21">
        <v>1814</v>
      </c>
      <c r="M9" s="21">
        <v>4312</v>
      </c>
      <c r="N9" s="21">
        <v>2771</v>
      </c>
      <c r="O9" s="21">
        <v>0</v>
      </c>
      <c r="P9" s="21">
        <v>0</v>
      </c>
    </row>
    <row r="10" spans="2:16" x14ac:dyDescent="0.25">
      <c r="B10" s="35" t="s">
        <v>55</v>
      </c>
      <c r="C10" s="25">
        <v>2532835</v>
      </c>
      <c r="D10" s="25">
        <v>2632341</v>
      </c>
      <c r="E10" s="25">
        <v>2935100</v>
      </c>
      <c r="F10" s="25">
        <v>3029601</v>
      </c>
      <c r="G10" s="25">
        <v>2867880</v>
      </c>
      <c r="H10" s="25">
        <v>3150333</v>
      </c>
      <c r="J10" s="27" t="s">
        <v>32</v>
      </c>
      <c r="K10" s="21">
        <v>-1254</v>
      </c>
      <c r="L10" s="21">
        <v>-1657</v>
      </c>
      <c r="M10" s="21">
        <v>-2023</v>
      </c>
      <c r="N10" s="21">
        <v>-2150</v>
      </c>
      <c r="O10" s="21">
        <v>-2190</v>
      </c>
      <c r="P10" s="21">
        <v>-1742</v>
      </c>
    </row>
    <row r="11" spans="2:16" x14ac:dyDescent="0.25">
      <c r="J11" s="27" t="s">
        <v>33</v>
      </c>
      <c r="K11" s="21">
        <v>778</v>
      </c>
      <c r="L11" s="21">
        <v>-7705</v>
      </c>
      <c r="M11" s="21">
        <v>2558</v>
      </c>
      <c r="N11" s="21">
        <v>16010</v>
      </c>
      <c r="O11" s="21">
        <v>-11240</v>
      </c>
      <c r="P11" s="21">
        <v>-5414</v>
      </c>
    </row>
    <row r="12" spans="2:16" x14ac:dyDescent="0.25">
      <c r="B12" s="34" t="s">
        <v>5</v>
      </c>
      <c r="C12" s="33">
        <v>793961</v>
      </c>
      <c r="D12" s="33">
        <v>859508</v>
      </c>
      <c r="E12" s="33">
        <v>888530</v>
      </c>
      <c r="F12" s="33">
        <v>948736</v>
      </c>
      <c r="G12" s="33">
        <v>798296</v>
      </c>
      <c r="H12" s="33">
        <v>979243</v>
      </c>
      <c r="J12" s="27" t="s">
        <v>34</v>
      </c>
      <c r="K12" s="21">
        <v>-503</v>
      </c>
      <c r="L12" s="21">
        <v>-22</v>
      </c>
      <c r="M12" s="21">
        <v>-235</v>
      </c>
      <c r="N12" s="21">
        <v>-24</v>
      </c>
      <c r="O12" s="21">
        <v>411</v>
      </c>
      <c r="P12" s="21">
        <v>-781</v>
      </c>
    </row>
    <row r="13" spans="2:16" x14ac:dyDescent="0.25">
      <c r="B13" s="22" t="s">
        <v>6</v>
      </c>
      <c r="C13" s="21">
        <v>321174</v>
      </c>
      <c r="D13" s="21">
        <v>273648</v>
      </c>
      <c r="E13" s="21">
        <v>243038</v>
      </c>
      <c r="F13" s="21">
        <v>268200</v>
      </c>
      <c r="G13" s="21">
        <v>253767</v>
      </c>
      <c r="H13" s="21">
        <v>304491</v>
      </c>
      <c r="J13" s="27" t="s">
        <v>35</v>
      </c>
      <c r="K13" s="21">
        <v>4986</v>
      </c>
      <c r="L13" s="21">
        <v>925</v>
      </c>
      <c r="M13" s="21">
        <v>695</v>
      </c>
      <c r="N13" s="21">
        <v>-3281</v>
      </c>
      <c r="O13" s="21">
        <v>3540</v>
      </c>
      <c r="P13" s="21">
        <v>-2894</v>
      </c>
    </row>
    <row r="14" spans="2:16" x14ac:dyDescent="0.25">
      <c r="B14" s="22" t="s">
        <v>7</v>
      </c>
      <c r="C14" s="21">
        <v>472787</v>
      </c>
      <c r="D14" s="21">
        <v>585860</v>
      </c>
      <c r="E14" s="21">
        <v>645492</v>
      </c>
      <c r="F14" s="21">
        <v>680536</v>
      </c>
      <c r="G14" s="21">
        <v>544529</v>
      </c>
      <c r="H14" s="21">
        <v>674752</v>
      </c>
      <c r="J14" s="32" t="s">
        <v>36</v>
      </c>
      <c r="K14" s="23">
        <f t="shared" ref="K14:P14" si="2">SUM(K15:K19)</f>
        <v>-8157</v>
      </c>
      <c r="L14" s="23">
        <f t="shared" si="2"/>
        <v>90431</v>
      </c>
      <c r="M14" s="23">
        <f t="shared" si="2"/>
        <v>-186286</v>
      </c>
      <c r="N14" s="23">
        <f t="shared" si="2"/>
        <v>-20328</v>
      </c>
      <c r="O14" s="23">
        <f t="shared" si="2"/>
        <v>-40428</v>
      </c>
      <c r="P14" s="23">
        <f t="shared" si="2"/>
        <v>-29617</v>
      </c>
    </row>
    <row r="15" spans="2:16" x14ac:dyDescent="0.25">
      <c r="B15" s="24" t="s">
        <v>8</v>
      </c>
      <c r="C15" s="23">
        <v>933044</v>
      </c>
      <c r="D15" s="23">
        <v>899670</v>
      </c>
      <c r="E15" s="23">
        <v>1119729</v>
      </c>
      <c r="F15" s="23">
        <v>1117475</v>
      </c>
      <c r="G15" s="23">
        <v>1120270</v>
      </c>
      <c r="H15" s="23">
        <v>1162811</v>
      </c>
      <c r="J15" s="27" t="s">
        <v>37</v>
      </c>
      <c r="K15" s="21">
        <v>-58944</v>
      </c>
      <c r="L15" s="21">
        <v>3080</v>
      </c>
      <c r="M15" s="21">
        <v>14613</v>
      </c>
      <c r="N15" s="21">
        <v>-98909</v>
      </c>
      <c r="O15" s="21">
        <v>2929</v>
      </c>
      <c r="P15" s="21">
        <v>-48180</v>
      </c>
    </row>
    <row r="16" spans="2:16" x14ac:dyDescent="0.25">
      <c r="B16" s="22" t="s">
        <v>9</v>
      </c>
      <c r="C16" s="21">
        <v>910411</v>
      </c>
      <c r="D16" s="21">
        <v>878011</v>
      </c>
      <c r="E16" s="21">
        <v>1098572</v>
      </c>
      <c r="F16" s="21">
        <v>1094439</v>
      </c>
      <c r="G16" s="21">
        <v>1103214</v>
      </c>
      <c r="H16" s="21">
        <v>1141813</v>
      </c>
      <c r="J16" s="27" t="s">
        <v>38</v>
      </c>
      <c r="K16" s="21">
        <v>-22746</v>
      </c>
      <c r="L16" s="21">
        <v>13482</v>
      </c>
      <c r="M16" s="21">
        <v>-43655</v>
      </c>
      <c r="N16" s="21">
        <v>-22691</v>
      </c>
      <c r="O16" s="21">
        <v>45270</v>
      </c>
      <c r="P16" s="21">
        <v>-26387</v>
      </c>
    </row>
    <row r="17" spans="2:16" x14ac:dyDescent="0.25">
      <c r="B17" s="22" t="s">
        <v>54</v>
      </c>
      <c r="C17" s="21">
        <v>22633</v>
      </c>
      <c r="D17" s="21">
        <v>21659</v>
      </c>
      <c r="E17" s="21">
        <v>21157</v>
      </c>
      <c r="F17" s="21">
        <v>23036</v>
      </c>
      <c r="G17" s="21">
        <v>17056</v>
      </c>
      <c r="H17" s="21">
        <v>20998</v>
      </c>
      <c r="J17" s="27" t="s">
        <v>39</v>
      </c>
      <c r="K17" s="21">
        <v>37311</v>
      </c>
      <c r="L17" s="21">
        <v>-38374</v>
      </c>
      <c r="M17" s="21">
        <v>-226287</v>
      </c>
      <c r="N17" s="21">
        <v>83808</v>
      </c>
      <c r="O17" s="21">
        <v>27497</v>
      </c>
      <c r="P17" s="21">
        <v>-93571</v>
      </c>
    </row>
    <row r="18" spans="2:16" x14ac:dyDescent="0.25">
      <c r="B18" s="24" t="s">
        <v>10</v>
      </c>
      <c r="C18" s="23">
        <v>805830</v>
      </c>
      <c r="D18" s="23">
        <v>873163</v>
      </c>
      <c r="E18" s="23">
        <v>926841</v>
      </c>
      <c r="F18" s="23">
        <v>963390</v>
      </c>
      <c r="G18" s="23">
        <v>949314</v>
      </c>
      <c r="H18" s="23">
        <v>1008279</v>
      </c>
      <c r="J18" s="27" t="s">
        <v>40</v>
      </c>
      <c r="K18" s="21">
        <v>33521</v>
      </c>
      <c r="L18" s="21">
        <v>24315</v>
      </c>
      <c r="M18" s="21">
        <v>322</v>
      </c>
      <c r="N18" s="21">
        <v>41894</v>
      </c>
      <c r="O18" s="21">
        <v>-76946</v>
      </c>
      <c r="P18" s="21">
        <v>66251</v>
      </c>
    </row>
    <row r="19" spans="2:16" x14ac:dyDescent="0.25">
      <c r="B19" s="22" t="s">
        <v>11</v>
      </c>
      <c r="C19" s="21">
        <v>8665</v>
      </c>
      <c r="D19" s="21">
        <v>8362</v>
      </c>
      <c r="E19" s="21">
        <v>7654</v>
      </c>
      <c r="F19" s="21">
        <v>7496</v>
      </c>
      <c r="G19" s="21">
        <v>7734</v>
      </c>
      <c r="H19" s="21">
        <v>7373</v>
      </c>
      <c r="J19" s="27" t="s">
        <v>41</v>
      </c>
      <c r="K19" s="21">
        <v>2701</v>
      </c>
      <c r="L19" s="21">
        <v>87928</v>
      </c>
      <c r="M19" s="21">
        <v>68721</v>
      </c>
      <c r="N19" s="21">
        <v>-24430</v>
      </c>
      <c r="O19" s="21">
        <v>-39178</v>
      </c>
      <c r="P19" s="21">
        <v>72270</v>
      </c>
    </row>
    <row r="20" spans="2:16" x14ac:dyDescent="0.25">
      <c r="B20" s="22" t="s">
        <v>12</v>
      </c>
      <c r="C20" s="21">
        <v>797165</v>
      </c>
      <c r="D20" s="21">
        <v>864801</v>
      </c>
      <c r="E20" s="21">
        <v>919187</v>
      </c>
      <c r="F20" s="21">
        <v>955894</v>
      </c>
      <c r="G20" s="21">
        <v>941580</v>
      </c>
      <c r="H20" s="21">
        <v>1000906</v>
      </c>
      <c r="J20" s="91" t="s">
        <v>42</v>
      </c>
      <c r="K20" s="23">
        <v>-28492</v>
      </c>
      <c r="L20" s="23">
        <v>-9361</v>
      </c>
      <c r="M20" s="23">
        <v>-22771</v>
      </c>
      <c r="N20" s="23">
        <v>-20342</v>
      </c>
      <c r="O20" s="23">
        <v>-28882</v>
      </c>
      <c r="P20" s="23">
        <v>-16348</v>
      </c>
    </row>
    <row r="21" spans="2:16" x14ac:dyDescent="0.25">
      <c r="B21" s="31" t="s">
        <v>56</v>
      </c>
      <c r="C21" s="25">
        <v>2532835</v>
      </c>
      <c r="D21" s="25">
        <v>2632341</v>
      </c>
      <c r="E21" s="25">
        <v>2935100</v>
      </c>
      <c r="F21" s="25">
        <v>3029601</v>
      </c>
      <c r="G21" s="25">
        <v>2867880</v>
      </c>
      <c r="H21" s="25">
        <v>3150333</v>
      </c>
      <c r="J21" s="91" t="s">
        <v>43</v>
      </c>
      <c r="K21" s="23">
        <f t="shared" ref="K21:P21" si="3">K22+K25+K28</f>
        <v>-71715</v>
      </c>
      <c r="L21" s="23">
        <f t="shared" si="3"/>
        <v>-119862</v>
      </c>
      <c r="M21" s="23">
        <f t="shared" si="3"/>
        <v>176839</v>
      </c>
      <c r="N21" s="23">
        <f t="shared" si="3"/>
        <v>371</v>
      </c>
      <c r="O21" s="23">
        <f t="shared" si="3"/>
        <v>-120525</v>
      </c>
      <c r="P21" s="23">
        <f t="shared" si="3"/>
        <v>63000</v>
      </c>
    </row>
    <row r="22" spans="2:16" x14ac:dyDescent="0.25">
      <c r="J22" s="22" t="s">
        <v>44</v>
      </c>
      <c r="K22" s="23">
        <f t="shared" ref="K22:P22" si="4">K23+K24</f>
        <v>-30495</v>
      </c>
      <c r="L22" s="21">
        <f t="shared" si="4"/>
        <v>-97808</v>
      </c>
      <c r="M22" s="21">
        <f t="shared" si="4"/>
        <v>190965</v>
      </c>
      <c r="N22" s="21">
        <f t="shared" si="4"/>
        <v>19269</v>
      </c>
      <c r="O22" s="21">
        <f t="shared" si="4"/>
        <v>-11734</v>
      </c>
      <c r="P22" s="21">
        <f t="shared" si="4"/>
        <v>75914</v>
      </c>
    </row>
    <row r="23" spans="2:16" x14ac:dyDescent="0.25">
      <c r="B23" s="30" t="s">
        <v>75</v>
      </c>
      <c r="C23" s="29" t="s">
        <v>57</v>
      </c>
      <c r="D23" s="29" t="s">
        <v>58</v>
      </c>
      <c r="E23" s="29" t="s">
        <v>59</v>
      </c>
      <c r="F23" s="29" t="s">
        <v>60</v>
      </c>
      <c r="G23" s="29" t="s">
        <v>61</v>
      </c>
      <c r="H23" s="29" t="s">
        <v>62</v>
      </c>
      <c r="J23" s="27" t="s">
        <v>45</v>
      </c>
      <c r="K23" s="21">
        <v>251838</v>
      </c>
      <c r="L23" s="21">
        <v>71965</v>
      </c>
      <c r="M23" s="21">
        <v>230212</v>
      </c>
      <c r="N23" s="21">
        <v>41489</v>
      </c>
      <c r="O23" s="21">
        <v>75684</v>
      </c>
      <c r="P23" s="21">
        <v>189120</v>
      </c>
    </row>
    <row r="24" spans="2:16" x14ac:dyDescent="0.25">
      <c r="B24" s="22" t="s">
        <v>13</v>
      </c>
      <c r="C24" s="21">
        <v>679222</v>
      </c>
      <c r="D24" s="21">
        <v>727734</v>
      </c>
      <c r="E24" s="21">
        <v>713319</v>
      </c>
      <c r="F24" s="21">
        <v>844224</v>
      </c>
      <c r="G24" s="21">
        <v>761260</v>
      </c>
      <c r="H24" s="21">
        <v>770271</v>
      </c>
      <c r="J24" s="27" t="s">
        <v>46</v>
      </c>
      <c r="K24" s="21">
        <v>-282333</v>
      </c>
      <c r="L24" s="21">
        <v>-169773</v>
      </c>
      <c r="M24" s="21">
        <v>-39247</v>
      </c>
      <c r="N24" s="21">
        <v>-22220</v>
      </c>
      <c r="O24" s="21">
        <v>-87418</v>
      </c>
      <c r="P24" s="21">
        <v>-113206</v>
      </c>
    </row>
    <row r="25" spans="2:16" x14ac:dyDescent="0.25">
      <c r="B25" s="22" t="s">
        <v>14</v>
      </c>
      <c r="C25" s="21">
        <v>515490</v>
      </c>
      <c r="D25" s="21">
        <v>574394</v>
      </c>
      <c r="E25" s="21">
        <v>561463</v>
      </c>
      <c r="F25" s="21">
        <v>681809</v>
      </c>
      <c r="G25" s="21">
        <v>598628</v>
      </c>
      <c r="H25" s="21">
        <v>612457</v>
      </c>
      <c r="J25" s="22" t="s">
        <v>47</v>
      </c>
      <c r="K25" s="21">
        <v>2288</v>
      </c>
      <c r="L25" s="21">
        <v>0</v>
      </c>
      <c r="M25" s="21">
        <v>-1695</v>
      </c>
      <c r="N25" s="21">
        <v>-11516</v>
      </c>
      <c r="O25" s="21">
        <v>6169</v>
      </c>
      <c r="P25" s="21">
        <v>-1</v>
      </c>
    </row>
    <row r="26" spans="2:16" x14ac:dyDescent="0.25">
      <c r="B26" s="28" t="s">
        <v>15</v>
      </c>
      <c r="C26" s="23">
        <v>163732</v>
      </c>
      <c r="D26" s="23">
        <v>153340</v>
      </c>
      <c r="E26" s="23">
        <v>151856</v>
      </c>
      <c r="F26" s="23">
        <v>162415</v>
      </c>
      <c r="G26" s="23">
        <v>162632</v>
      </c>
      <c r="H26" s="23">
        <v>157814</v>
      </c>
      <c r="J26" s="27" t="s">
        <v>48</v>
      </c>
      <c r="K26" s="21">
        <v>2288</v>
      </c>
      <c r="L26" s="21">
        <v>0</v>
      </c>
      <c r="M26" s="21">
        <v>-1695</v>
      </c>
      <c r="N26" s="21">
        <v>-593</v>
      </c>
      <c r="O26" s="21">
        <v>6169</v>
      </c>
      <c r="P26" s="21">
        <v>-1</v>
      </c>
    </row>
    <row r="27" spans="2:16" x14ac:dyDescent="0.25">
      <c r="B27" s="22" t="s">
        <v>16</v>
      </c>
      <c r="C27" s="21">
        <v>-62175</v>
      </c>
      <c r="D27" s="21">
        <v>-61347</v>
      </c>
      <c r="E27" s="21">
        <v>-70372</v>
      </c>
      <c r="F27" s="21">
        <v>-73657</v>
      </c>
      <c r="G27" s="21">
        <v>-73107</v>
      </c>
      <c r="H27" s="21">
        <v>-69370</v>
      </c>
      <c r="J27" s="27" t="s">
        <v>49</v>
      </c>
      <c r="K27" s="21">
        <v>0</v>
      </c>
      <c r="L27" s="21">
        <v>0</v>
      </c>
      <c r="M27" s="21">
        <v>0</v>
      </c>
      <c r="N27" s="21">
        <v>-10923</v>
      </c>
      <c r="O27" s="21">
        <v>0</v>
      </c>
      <c r="P27" s="21">
        <v>0</v>
      </c>
    </row>
    <row r="28" spans="2:16" x14ac:dyDescent="0.25">
      <c r="B28" s="27" t="s">
        <v>17</v>
      </c>
      <c r="C28" s="21">
        <v>-39730</v>
      </c>
      <c r="D28" s="21">
        <v>-47768</v>
      </c>
      <c r="E28" s="21">
        <v>-36934</v>
      </c>
      <c r="F28" s="21">
        <v>-38218</v>
      </c>
      <c r="G28" s="21">
        <v>-44815</v>
      </c>
      <c r="H28" s="21">
        <v>-36798</v>
      </c>
      <c r="J28" s="22" t="s">
        <v>50</v>
      </c>
      <c r="K28" s="21">
        <v>-43508</v>
      </c>
      <c r="L28" s="21">
        <v>-22054</v>
      </c>
      <c r="M28" s="21">
        <v>-12431</v>
      </c>
      <c r="N28" s="21">
        <v>-7382</v>
      </c>
      <c r="O28" s="21">
        <v>-114960</v>
      </c>
      <c r="P28" s="21">
        <v>-12913</v>
      </c>
    </row>
    <row r="29" spans="2:16" x14ac:dyDescent="0.25">
      <c r="B29" s="27" t="s">
        <v>18</v>
      </c>
      <c r="C29" s="21">
        <v>-22445</v>
      </c>
      <c r="D29" s="21">
        <v>-13579</v>
      </c>
      <c r="E29" s="21">
        <v>-33438</v>
      </c>
      <c r="F29" s="21">
        <v>-35439</v>
      </c>
      <c r="G29" s="21">
        <v>-28292</v>
      </c>
      <c r="H29" s="21">
        <v>-32572</v>
      </c>
      <c r="J29" s="98" t="s">
        <v>51</v>
      </c>
      <c r="K29" s="23">
        <v>-216</v>
      </c>
      <c r="L29" s="23">
        <v>-395</v>
      </c>
      <c r="M29" s="23">
        <v>-835</v>
      </c>
      <c r="N29" s="23">
        <v>-444</v>
      </c>
      <c r="O29" s="23">
        <v>-832</v>
      </c>
      <c r="P29" s="23">
        <v>-945</v>
      </c>
    </row>
    <row r="30" spans="2:16" x14ac:dyDescent="0.25">
      <c r="B30" s="24" t="s">
        <v>63</v>
      </c>
      <c r="C30" s="23">
        <v>101557</v>
      </c>
      <c r="D30" s="23">
        <v>91993</v>
      </c>
      <c r="E30" s="23">
        <v>81484</v>
      </c>
      <c r="F30" s="23">
        <v>88758</v>
      </c>
      <c r="G30" s="23">
        <v>89525</v>
      </c>
      <c r="H30" s="23">
        <v>88444</v>
      </c>
      <c r="J30" s="26" t="s">
        <v>52</v>
      </c>
      <c r="K30" s="25">
        <f t="shared" ref="K30:P30" si="5">K3+K20+K21+K29</f>
        <v>-7260</v>
      </c>
      <c r="L30" s="25">
        <f t="shared" si="5"/>
        <v>58450</v>
      </c>
      <c r="M30" s="25">
        <f t="shared" si="5"/>
        <v>44860</v>
      </c>
      <c r="N30" s="25">
        <f t="shared" si="5"/>
        <v>64795</v>
      </c>
      <c r="O30" s="25">
        <f t="shared" si="5"/>
        <v>-103950</v>
      </c>
      <c r="P30" s="25">
        <f t="shared" si="5"/>
        <v>105127</v>
      </c>
    </row>
    <row r="31" spans="2:16" x14ac:dyDescent="0.25">
      <c r="B31" s="24" t="s">
        <v>19</v>
      </c>
      <c r="C31" s="23">
        <v>4997</v>
      </c>
      <c r="D31" s="23">
        <v>23925</v>
      </c>
      <c r="E31" s="23">
        <v>20595</v>
      </c>
      <c r="F31" s="23">
        <v>28648</v>
      </c>
      <c r="G31" s="23">
        <v>20093</v>
      </c>
      <c r="H31" s="23">
        <v>24628</v>
      </c>
    </row>
    <row r="32" spans="2:16" x14ac:dyDescent="0.25">
      <c r="B32" s="22" t="s">
        <v>20</v>
      </c>
      <c r="C32" s="21">
        <v>50048</v>
      </c>
      <c r="D32" s="21">
        <v>52478</v>
      </c>
      <c r="E32" s="21">
        <v>52101</v>
      </c>
      <c r="F32" s="21">
        <v>54176</v>
      </c>
      <c r="G32" s="21">
        <v>47385</v>
      </c>
      <c r="H32" s="21">
        <v>58147</v>
      </c>
    </row>
    <row r="33" spans="2:12" x14ac:dyDescent="0.25">
      <c r="B33" s="22" t="s">
        <v>21</v>
      </c>
      <c r="C33" s="21">
        <v>-45051</v>
      </c>
      <c r="D33" s="21">
        <v>-28553</v>
      </c>
      <c r="E33" s="21">
        <v>-31506</v>
      </c>
      <c r="F33" s="21">
        <v>-25528</v>
      </c>
      <c r="G33" s="21">
        <v>-27292</v>
      </c>
      <c r="H33" s="21">
        <v>-33519</v>
      </c>
    </row>
    <row r="34" spans="2:12" x14ac:dyDescent="0.25">
      <c r="B34" s="24" t="s">
        <v>22</v>
      </c>
      <c r="C34" s="23">
        <v>106554</v>
      </c>
      <c r="D34" s="23">
        <v>115918</v>
      </c>
      <c r="E34" s="23">
        <v>102079</v>
      </c>
      <c r="F34" s="23">
        <v>117406</v>
      </c>
      <c r="G34" s="23">
        <v>109618</v>
      </c>
      <c r="H34" s="23">
        <v>113072</v>
      </c>
    </row>
    <row r="35" spans="2:12" x14ac:dyDescent="0.25">
      <c r="B35" s="24" t="s">
        <v>64</v>
      </c>
      <c r="C35" s="23">
        <v>-37484</v>
      </c>
      <c r="D35" s="23">
        <v>-36851</v>
      </c>
      <c r="E35" s="23">
        <v>-37055</v>
      </c>
      <c r="F35" s="23">
        <v>-34813</v>
      </c>
      <c r="G35" s="23">
        <v>-33861</v>
      </c>
      <c r="H35" s="23">
        <v>-36757</v>
      </c>
      <c r="L35" s="95"/>
    </row>
    <row r="36" spans="2:12" x14ac:dyDescent="0.25">
      <c r="B36" s="22" t="s">
        <v>65</v>
      </c>
      <c r="C36" s="21">
        <v>-36706</v>
      </c>
      <c r="D36" s="21">
        <v>-43778</v>
      </c>
      <c r="E36" s="21">
        <v>-34497</v>
      </c>
      <c r="F36" s="21">
        <v>-18803</v>
      </c>
      <c r="G36" s="21">
        <v>-45101</v>
      </c>
      <c r="H36" s="21">
        <v>-42171</v>
      </c>
    </row>
    <row r="37" spans="2:12" x14ac:dyDescent="0.25">
      <c r="B37" s="22" t="s">
        <v>23</v>
      </c>
      <c r="C37" s="21">
        <v>-778</v>
      </c>
      <c r="D37" s="21">
        <v>6927</v>
      </c>
      <c r="E37" s="21">
        <v>-2558</v>
      </c>
      <c r="F37" s="21">
        <v>-16010</v>
      </c>
      <c r="G37" s="21">
        <v>11240</v>
      </c>
      <c r="H37" s="21">
        <v>5414</v>
      </c>
    </row>
    <row r="38" spans="2:12" x14ac:dyDescent="0.25">
      <c r="B38" s="24" t="s">
        <v>66</v>
      </c>
      <c r="C38" s="23">
        <v>69070</v>
      </c>
      <c r="D38" s="23">
        <v>79067</v>
      </c>
      <c r="E38" s="23">
        <v>65024</v>
      </c>
      <c r="F38" s="23">
        <v>82593</v>
      </c>
      <c r="G38" s="23">
        <v>75757</v>
      </c>
      <c r="H38" s="23">
        <v>76315</v>
      </c>
    </row>
    <row r="39" spans="2:12" x14ac:dyDescent="0.25">
      <c r="B39" s="22" t="s">
        <v>68</v>
      </c>
      <c r="C39" s="21">
        <v>0</v>
      </c>
      <c r="D39" s="21">
        <v>0</v>
      </c>
      <c r="E39" s="21">
        <v>0</v>
      </c>
      <c r="F39" s="21">
        <v>-784</v>
      </c>
      <c r="G39" s="21">
        <v>411</v>
      </c>
      <c r="H39" s="21">
        <v>-41</v>
      </c>
    </row>
    <row r="40" spans="2:12" x14ac:dyDescent="0.25">
      <c r="B40" s="20" t="s">
        <v>67</v>
      </c>
      <c r="C40" s="19">
        <v>69070</v>
      </c>
      <c r="D40" s="19">
        <v>79067</v>
      </c>
      <c r="E40" s="19">
        <v>65024</v>
      </c>
      <c r="F40" s="19">
        <v>83377</v>
      </c>
      <c r="G40" s="19">
        <v>75346</v>
      </c>
      <c r="H40" s="19">
        <v>76356</v>
      </c>
    </row>
    <row r="42" spans="2:12" x14ac:dyDescent="0.25">
      <c r="B42" s="18" t="s">
        <v>74</v>
      </c>
      <c r="F42" s="89"/>
      <c r="G42" s="89"/>
      <c r="H42" s="89"/>
    </row>
  </sheetData>
  <phoneticPr fontId="1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85"/>
  <sheetViews>
    <sheetView showGridLines="0" topLeftCell="I3" zoomScaleNormal="100" zoomScalePageLayoutView="125" workbookViewId="0">
      <selection activeCell="V46" sqref="V46"/>
    </sheetView>
  </sheetViews>
  <sheetFormatPr defaultColWidth="24.85546875" defaultRowHeight="15" x14ac:dyDescent="0.25"/>
  <cols>
    <col min="1" max="1" width="3.42578125" style="16" customWidth="1"/>
    <col min="2" max="2" width="30.42578125" style="16" bestFit="1" customWidth="1"/>
    <col min="3" max="3" width="11.85546875" style="17" bestFit="1" customWidth="1"/>
    <col min="4" max="4" width="11" style="17" bestFit="1" customWidth="1"/>
    <col min="5" max="5" width="11.140625" style="17" bestFit="1" customWidth="1"/>
    <col min="6" max="6" width="11.42578125" style="17" bestFit="1" customWidth="1"/>
    <col min="7" max="7" width="11.85546875" style="17" bestFit="1" customWidth="1"/>
    <col min="8" max="8" width="11" style="17" bestFit="1" customWidth="1"/>
    <col min="9" max="9" width="24.85546875" style="16"/>
    <col min="10" max="10" width="24.7109375" style="16" bestFit="1" customWidth="1"/>
    <col min="11" max="12" width="10.5703125" style="16" bestFit="1" customWidth="1"/>
    <col min="13" max="16" width="9.140625" style="16" bestFit="1" customWidth="1"/>
    <col min="17" max="17" width="5.7109375" style="16" bestFit="1" customWidth="1"/>
    <col min="18" max="18" width="7.42578125" style="16" bestFit="1" customWidth="1"/>
    <col min="19" max="19" width="7.5703125" style="16" bestFit="1" customWidth="1"/>
    <col min="20" max="20" width="24.85546875" style="16"/>
    <col min="21" max="21" width="30" style="16" bestFit="1" customWidth="1"/>
    <col min="22" max="22" width="13" style="16" bestFit="1" customWidth="1"/>
    <col min="23" max="26" width="10.5703125" style="16" bestFit="1" customWidth="1"/>
    <col min="27" max="16384" width="24.85546875" style="16"/>
  </cols>
  <sheetData>
    <row r="2" spans="2:26" x14ac:dyDescent="0.25">
      <c r="B2" s="38" t="s">
        <v>69</v>
      </c>
      <c r="C2" s="38">
        <v>40268</v>
      </c>
      <c r="D2" s="38">
        <v>40359</v>
      </c>
      <c r="E2" s="38">
        <v>40451</v>
      </c>
      <c r="F2" s="38">
        <v>40543</v>
      </c>
      <c r="G2" s="38">
        <v>40633</v>
      </c>
      <c r="H2" s="38">
        <v>40724</v>
      </c>
      <c r="J2" s="4" t="s">
        <v>73</v>
      </c>
      <c r="K2" s="1" t="s">
        <v>57</v>
      </c>
      <c r="L2" s="1" t="s">
        <v>58</v>
      </c>
      <c r="M2" s="1" t="s">
        <v>59</v>
      </c>
      <c r="N2" s="1" t="s">
        <v>60</v>
      </c>
      <c r="O2" s="1" t="s">
        <v>61</v>
      </c>
      <c r="P2" s="1" t="s">
        <v>62</v>
      </c>
      <c r="U2" s="1" t="s">
        <v>153</v>
      </c>
      <c r="V2" s="1" t="s">
        <v>58</v>
      </c>
      <c r="W2" s="1" t="s">
        <v>59</v>
      </c>
      <c r="X2" s="1" t="s">
        <v>60</v>
      </c>
      <c r="Y2" s="1" t="s">
        <v>61</v>
      </c>
      <c r="Z2" s="1" t="s">
        <v>62</v>
      </c>
    </row>
    <row r="3" spans="2:26" x14ac:dyDescent="0.25">
      <c r="B3" s="34" t="s">
        <v>0</v>
      </c>
      <c r="C3" s="33">
        <v>1641923</v>
      </c>
      <c r="D3" s="33">
        <v>1739538</v>
      </c>
      <c r="E3" s="33">
        <v>1855332</v>
      </c>
      <c r="F3" s="33">
        <v>1990509</v>
      </c>
      <c r="G3" s="33">
        <v>1834430</v>
      </c>
      <c r="H3" s="33">
        <v>2028611</v>
      </c>
      <c r="J3" s="3" t="s">
        <v>13</v>
      </c>
      <c r="K3" s="5">
        <v>679222</v>
      </c>
      <c r="L3" s="5">
        <v>727734</v>
      </c>
      <c r="M3" s="5">
        <v>713319</v>
      </c>
      <c r="N3" s="5">
        <v>844224</v>
      </c>
      <c r="O3" s="5">
        <v>761260</v>
      </c>
      <c r="P3" s="5">
        <v>770271</v>
      </c>
      <c r="U3" s="51" t="s">
        <v>78</v>
      </c>
      <c r="V3" s="51">
        <f t="shared" ref="V3:Z8" si="0">+(C46+D46)/2</f>
        <v>533243</v>
      </c>
      <c r="W3" s="51">
        <f t="shared" si="0"/>
        <v>584898</v>
      </c>
      <c r="X3" s="51">
        <f t="shared" si="0"/>
        <v>639725.5</v>
      </c>
      <c r="Y3" s="51">
        <f t="shared" si="0"/>
        <v>620148</v>
      </c>
      <c r="Z3" s="51">
        <f t="shared" si="0"/>
        <v>620736.5</v>
      </c>
    </row>
    <row r="4" spans="2:26" x14ac:dyDescent="0.25">
      <c r="B4" s="22" t="s">
        <v>1</v>
      </c>
      <c r="C4" s="21">
        <v>504018</v>
      </c>
      <c r="D4" s="21">
        <v>562468</v>
      </c>
      <c r="E4" s="21">
        <v>607328</v>
      </c>
      <c r="F4" s="21">
        <v>672123</v>
      </c>
      <c r="G4" s="21">
        <v>568173</v>
      </c>
      <c r="H4" s="21">
        <v>673300</v>
      </c>
      <c r="J4" s="3" t="s">
        <v>14</v>
      </c>
      <c r="K4" s="5">
        <v>515490</v>
      </c>
      <c r="L4" s="5">
        <v>574394</v>
      </c>
      <c r="M4" s="5">
        <v>561463</v>
      </c>
      <c r="N4" s="5">
        <v>681809</v>
      </c>
      <c r="O4" s="5">
        <v>598628</v>
      </c>
      <c r="P4" s="5">
        <v>612457</v>
      </c>
      <c r="U4" s="51" t="s">
        <v>79</v>
      </c>
      <c r="V4" s="51">
        <f>+(C47+D47)/2</f>
        <v>1497875.5</v>
      </c>
      <c r="W4" s="51">
        <f t="shared" si="0"/>
        <v>1561738.5</v>
      </c>
      <c r="X4" s="51">
        <f t="shared" si="0"/>
        <v>1657514.5</v>
      </c>
      <c r="Y4" s="51">
        <f t="shared" si="0"/>
        <v>1696014</v>
      </c>
      <c r="Z4" s="51">
        <f t="shared" si="0"/>
        <v>1759702.5</v>
      </c>
    </row>
    <row r="5" spans="2:26" x14ac:dyDescent="0.25">
      <c r="B5" s="22" t="s">
        <v>53</v>
      </c>
      <c r="C5" s="21">
        <f t="shared" ref="C5:H5" si="1">C3-C4</f>
        <v>1137905</v>
      </c>
      <c r="D5" s="21">
        <f t="shared" si="1"/>
        <v>1177070</v>
      </c>
      <c r="E5" s="21">
        <f t="shared" si="1"/>
        <v>1248004</v>
      </c>
      <c r="F5" s="21">
        <f t="shared" si="1"/>
        <v>1318386</v>
      </c>
      <c r="G5" s="21">
        <f t="shared" si="1"/>
        <v>1266257</v>
      </c>
      <c r="H5" s="21">
        <f t="shared" si="1"/>
        <v>1355311</v>
      </c>
      <c r="J5" s="6" t="s">
        <v>15</v>
      </c>
      <c r="K5" s="7">
        <v>163732</v>
      </c>
      <c r="L5" s="7">
        <v>153340</v>
      </c>
      <c r="M5" s="7">
        <v>151856</v>
      </c>
      <c r="N5" s="7">
        <v>162415</v>
      </c>
      <c r="O5" s="7">
        <v>162632</v>
      </c>
      <c r="P5" s="7">
        <v>157814</v>
      </c>
      <c r="U5" s="52" t="s">
        <v>80</v>
      </c>
      <c r="V5" s="76">
        <f t="shared" si="0"/>
        <v>2031118.5</v>
      </c>
      <c r="W5" s="76">
        <f t="shared" si="0"/>
        <v>2146636.5</v>
      </c>
      <c r="X5" s="76">
        <f t="shared" si="0"/>
        <v>2297240</v>
      </c>
      <c r="Y5" s="76">
        <f t="shared" si="0"/>
        <v>2316162</v>
      </c>
      <c r="Z5" s="76">
        <f t="shared" si="0"/>
        <v>2380439</v>
      </c>
    </row>
    <row r="6" spans="2:26" x14ac:dyDescent="0.25">
      <c r="B6" s="24" t="s">
        <v>2</v>
      </c>
      <c r="C6" s="23">
        <v>890912</v>
      </c>
      <c r="D6" s="23">
        <v>892803</v>
      </c>
      <c r="E6" s="23">
        <v>1079768</v>
      </c>
      <c r="F6" s="23">
        <v>1039092</v>
      </c>
      <c r="G6" s="23">
        <v>1033450</v>
      </c>
      <c r="H6" s="23">
        <v>1121722</v>
      </c>
      <c r="J6" s="8" t="s">
        <v>16</v>
      </c>
      <c r="K6" s="7">
        <v>-62175</v>
      </c>
      <c r="L6" s="7">
        <v>-61347</v>
      </c>
      <c r="M6" s="7">
        <v>-70372</v>
      </c>
      <c r="N6" s="7">
        <v>-73657</v>
      </c>
      <c r="O6" s="7">
        <v>-73107</v>
      </c>
      <c r="P6" s="7">
        <v>-69370</v>
      </c>
      <c r="U6" s="51" t="s">
        <v>76</v>
      </c>
      <c r="V6" s="51">
        <f t="shared" si="0"/>
        <v>1191622</v>
      </c>
      <c r="W6" s="51">
        <f t="shared" si="0"/>
        <v>1246634.5</v>
      </c>
      <c r="X6" s="51">
        <f t="shared" si="0"/>
        <v>1352124.5</v>
      </c>
      <c r="Y6" s="51">
        <f t="shared" si="0"/>
        <v>1359810</v>
      </c>
      <c r="Z6" s="51">
        <f t="shared" si="0"/>
        <v>1401642.5</v>
      </c>
    </row>
    <row r="7" spans="2:26" x14ac:dyDescent="0.25">
      <c r="B7" s="22" t="s">
        <v>3</v>
      </c>
      <c r="C7" s="21">
        <v>499353</v>
      </c>
      <c r="D7" s="21">
        <v>496612</v>
      </c>
      <c r="E7" s="21">
        <v>674069</v>
      </c>
      <c r="F7" s="21">
        <v>625217</v>
      </c>
      <c r="G7" s="21">
        <v>605332</v>
      </c>
      <c r="H7" s="21">
        <v>688650</v>
      </c>
      <c r="J7" s="3" t="s">
        <v>17</v>
      </c>
      <c r="K7" s="5">
        <v>-39730</v>
      </c>
      <c r="L7" s="5">
        <v>-47768</v>
      </c>
      <c r="M7" s="5">
        <v>-36934</v>
      </c>
      <c r="N7" s="5">
        <v>-38218</v>
      </c>
      <c r="O7" s="5">
        <v>-44815</v>
      </c>
      <c r="P7" s="5">
        <v>-36798</v>
      </c>
      <c r="U7" s="51" t="s">
        <v>70</v>
      </c>
      <c r="V7" s="51">
        <f t="shared" si="0"/>
        <v>839496.5</v>
      </c>
      <c r="W7" s="51">
        <f t="shared" si="0"/>
        <v>900002</v>
      </c>
      <c r="X7" s="51">
        <f t="shared" si="0"/>
        <v>945115.5</v>
      </c>
      <c r="Y7" s="51">
        <f t="shared" si="0"/>
        <v>956352</v>
      </c>
      <c r="Z7" s="51">
        <f t="shared" si="0"/>
        <v>978796.5</v>
      </c>
    </row>
    <row r="8" spans="2:26" x14ac:dyDescent="0.25">
      <c r="B8" s="22" t="s">
        <v>4</v>
      </c>
      <c r="C8" s="21">
        <v>295661</v>
      </c>
      <c r="D8" s="21">
        <v>300199</v>
      </c>
      <c r="E8" s="21">
        <v>309247</v>
      </c>
      <c r="F8" s="21">
        <v>318761</v>
      </c>
      <c r="G8" s="21">
        <v>326366</v>
      </c>
      <c r="H8" s="21">
        <v>331583</v>
      </c>
      <c r="J8" s="3" t="s">
        <v>18</v>
      </c>
      <c r="K8" s="5">
        <v>-22445</v>
      </c>
      <c r="L8" s="5">
        <v>-13579</v>
      </c>
      <c r="M8" s="5">
        <v>-33438</v>
      </c>
      <c r="N8" s="5">
        <v>-35439</v>
      </c>
      <c r="O8" s="5">
        <v>-28292</v>
      </c>
      <c r="P8" s="5">
        <v>-32572</v>
      </c>
      <c r="U8" s="52" t="s">
        <v>77</v>
      </c>
      <c r="V8" s="76">
        <f>+(C51+D51)/2</f>
        <v>2031118.5</v>
      </c>
      <c r="W8" s="76">
        <f t="shared" si="0"/>
        <v>2146636.5</v>
      </c>
      <c r="X8" s="76">
        <f t="shared" si="0"/>
        <v>2297240</v>
      </c>
      <c r="Y8" s="76">
        <f t="shared" si="0"/>
        <v>2316162</v>
      </c>
      <c r="Z8" s="76">
        <f t="shared" si="0"/>
        <v>2380439</v>
      </c>
    </row>
    <row r="9" spans="2:26" x14ac:dyDescent="0.25">
      <c r="B9" s="22" t="s">
        <v>54</v>
      </c>
      <c r="C9" s="21">
        <f t="shared" ref="C9:H9" si="2">C6-C7-C8</f>
        <v>95898</v>
      </c>
      <c r="D9" s="21">
        <f t="shared" si="2"/>
        <v>95992</v>
      </c>
      <c r="E9" s="21">
        <f t="shared" si="2"/>
        <v>96452</v>
      </c>
      <c r="F9" s="21">
        <f t="shared" si="2"/>
        <v>95114</v>
      </c>
      <c r="G9" s="21">
        <f t="shared" si="2"/>
        <v>101752</v>
      </c>
      <c r="H9" s="21">
        <f t="shared" si="2"/>
        <v>101489</v>
      </c>
      <c r="J9" s="14"/>
      <c r="K9" s="15"/>
      <c r="L9" s="15"/>
      <c r="M9" s="15"/>
      <c r="N9" s="15"/>
      <c r="O9" s="15"/>
      <c r="P9" s="15"/>
      <c r="U9" s="1" t="s">
        <v>130</v>
      </c>
      <c r="V9" s="1" t="s">
        <v>58</v>
      </c>
      <c r="W9" s="1" t="s">
        <v>59</v>
      </c>
      <c r="X9" s="1" t="s">
        <v>60</v>
      </c>
      <c r="Y9" s="1" t="s">
        <v>61</v>
      </c>
      <c r="Z9" s="1" t="s">
        <v>62</v>
      </c>
    </row>
    <row r="10" spans="2:26" x14ac:dyDescent="0.25">
      <c r="B10" s="35" t="s">
        <v>55</v>
      </c>
      <c r="C10" s="25">
        <f t="shared" ref="C10:H10" si="3">C6+C3</f>
        <v>2532835</v>
      </c>
      <c r="D10" s="25">
        <f t="shared" si="3"/>
        <v>2632341</v>
      </c>
      <c r="E10" s="25">
        <f t="shared" si="3"/>
        <v>2935100</v>
      </c>
      <c r="F10" s="25">
        <f t="shared" si="3"/>
        <v>3029601</v>
      </c>
      <c r="G10" s="25">
        <f t="shared" si="3"/>
        <v>2867880</v>
      </c>
      <c r="H10" s="25">
        <f t="shared" si="3"/>
        <v>3150333</v>
      </c>
      <c r="J10" s="2" t="s">
        <v>63</v>
      </c>
      <c r="K10" s="7">
        <v>101557</v>
      </c>
      <c r="L10" s="7">
        <v>91993</v>
      </c>
      <c r="M10" s="7">
        <v>81484</v>
      </c>
      <c r="N10" s="7">
        <v>88758</v>
      </c>
      <c r="O10" s="7">
        <v>89525</v>
      </c>
      <c r="P10" s="7">
        <v>88444</v>
      </c>
      <c r="U10" s="22" t="s">
        <v>96</v>
      </c>
      <c r="V10" s="51">
        <f>+L3</f>
        <v>727734</v>
      </c>
      <c r="W10" s="51">
        <f>+M3</f>
        <v>713319</v>
      </c>
      <c r="X10" s="51">
        <f>+N3</f>
        <v>844224</v>
      </c>
      <c r="Y10" s="51">
        <f>+O3</f>
        <v>761260</v>
      </c>
      <c r="Z10" s="51">
        <f>+P3</f>
        <v>770271</v>
      </c>
    </row>
    <row r="11" spans="2:26" x14ac:dyDescent="0.25">
      <c r="B11" s="40"/>
      <c r="C11" s="41"/>
      <c r="D11" s="41"/>
      <c r="E11" s="41"/>
      <c r="F11" s="41"/>
      <c r="G11" s="41"/>
      <c r="H11" s="41"/>
      <c r="J11" s="2" t="s">
        <v>19</v>
      </c>
      <c r="K11" s="7">
        <v>4997</v>
      </c>
      <c r="L11" s="7">
        <v>23925</v>
      </c>
      <c r="M11" s="7">
        <v>20595</v>
      </c>
      <c r="N11" s="7">
        <v>28648</v>
      </c>
      <c r="O11" s="7">
        <v>20093</v>
      </c>
      <c r="P11" s="7">
        <v>24628</v>
      </c>
      <c r="U11" s="22" t="s">
        <v>15</v>
      </c>
      <c r="V11" s="51">
        <f>+L5</f>
        <v>153340</v>
      </c>
      <c r="W11" s="51">
        <f>+M5</f>
        <v>151856</v>
      </c>
      <c r="X11" s="51">
        <f>+N5</f>
        <v>162415</v>
      </c>
      <c r="Y11" s="51">
        <f>+O5</f>
        <v>162632</v>
      </c>
      <c r="Z11" s="51">
        <f>+P5</f>
        <v>157814</v>
      </c>
    </row>
    <row r="12" spans="2:26" x14ac:dyDescent="0.25">
      <c r="B12" s="42" t="s">
        <v>103</v>
      </c>
      <c r="C12" s="38">
        <v>40268</v>
      </c>
      <c r="D12" s="38">
        <v>40359</v>
      </c>
      <c r="E12" s="38">
        <v>40451</v>
      </c>
      <c r="F12" s="38">
        <v>40543</v>
      </c>
      <c r="G12" s="38">
        <v>40633</v>
      </c>
      <c r="H12" s="38">
        <v>40724</v>
      </c>
      <c r="J12" s="12" t="s">
        <v>20</v>
      </c>
      <c r="K12" s="13">
        <v>50048</v>
      </c>
      <c r="L12" s="13">
        <v>52478</v>
      </c>
      <c r="M12" s="13">
        <v>52101</v>
      </c>
      <c r="N12" s="13">
        <v>54176</v>
      </c>
      <c r="O12" s="13">
        <v>47385</v>
      </c>
      <c r="P12" s="13">
        <v>58147</v>
      </c>
      <c r="U12" s="22" t="s">
        <v>97</v>
      </c>
      <c r="V12" s="51">
        <f>SUM(L7:L8,L25)</f>
        <v>-90063.5</v>
      </c>
      <c r="W12" s="51">
        <f>SUM(M7:M8,M25)</f>
        <v>-100424.7</v>
      </c>
      <c r="X12" s="51">
        <f>SUM(N7:N8,N25)</f>
        <v>-98729.680000000008</v>
      </c>
      <c r="Y12" s="51">
        <f>SUM(O7:O8,O25)</f>
        <v>-100136.38</v>
      </c>
      <c r="Z12" s="51">
        <f>SUM(P7:P8,P25)</f>
        <v>-97753.48</v>
      </c>
    </row>
    <row r="13" spans="2:26" x14ac:dyDescent="0.25">
      <c r="B13" s="34" t="s">
        <v>0</v>
      </c>
      <c r="C13" s="43">
        <f t="shared" ref="C13:H13" si="4">+C3/C$10</f>
        <v>0.64825501858589285</v>
      </c>
      <c r="D13" s="43">
        <f t="shared" si="4"/>
        <v>0.66083307595786411</v>
      </c>
      <c r="E13" s="43">
        <f t="shared" si="4"/>
        <v>0.63211883751831288</v>
      </c>
      <c r="F13" s="43">
        <f t="shared" si="4"/>
        <v>0.65702018186553279</v>
      </c>
      <c r="G13" s="43">
        <f t="shared" si="4"/>
        <v>0.63964670767256648</v>
      </c>
      <c r="H13" s="43">
        <f t="shared" si="4"/>
        <v>0.64393541889063788</v>
      </c>
      <c r="J13" s="12" t="s">
        <v>21</v>
      </c>
      <c r="K13" s="13">
        <v>-45051</v>
      </c>
      <c r="L13" s="13">
        <v>-28553</v>
      </c>
      <c r="M13" s="13">
        <v>-31506</v>
      </c>
      <c r="N13" s="13">
        <v>-25528</v>
      </c>
      <c r="O13" s="13">
        <v>-27292</v>
      </c>
      <c r="P13" s="13">
        <v>-33519</v>
      </c>
      <c r="U13" s="22" t="s">
        <v>98</v>
      </c>
      <c r="V13" s="51">
        <f>SUM(V11:V12)</f>
        <v>63276.5</v>
      </c>
      <c r="W13" s="51">
        <f>SUM(W11:W12)</f>
        <v>51431.3</v>
      </c>
      <c r="X13" s="51">
        <f>SUM(X11:X12)</f>
        <v>63685.319999999992</v>
      </c>
      <c r="Y13" s="51">
        <f>SUM(Y11:Y12)</f>
        <v>62495.619999999995</v>
      </c>
      <c r="Z13" s="51">
        <f>SUM(Z11:Z12)</f>
        <v>60060.520000000004</v>
      </c>
    </row>
    <row r="14" spans="2:26" x14ac:dyDescent="0.25">
      <c r="B14" s="22" t="s">
        <v>1</v>
      </c>
      <c r="C14" s="44">
        <f t="shared" ref="C14:H14" si="5">+C4/C$10</f>
        <v>0.19899361782350608</v>
      </c>
      <c r="D14" s="44">
        <f t="shared" si="5"/>
        <v>0.21367596371442757</v>
      </c>
      <c r="E14" s="44">
        <f t="shared" si="5"/>
        <v>0.20691901468433785</v>
      </c>
      <c r="F14" s="44">
        <f t="shared" si="5"/>
        <v>0.22185198644970081</v>
      </c>
      <c r="G14" s="44">
        <f t="shared" si="5"/>
        <v>0.19811602995941252</v>
      </c>
      <c r="H14" s="44">
        <f t="shared" si="5"/>
        <v>0.2137234381254299</v>
      </c>
      <c r="J14" s="2" t="s">
        <v>22</v>
      </c>
      <c r="K14" s="7">
        <v>106554</v>
      </c>
      <c r="L14" s="7">
        <v>115918</v>
      </c>
      <c r="M14" s="7">
        <v>102079</v>
      </c>
      <c r="N14" s="7">
        <v>117406</v>
      </c>
      <c r="O14" s="7">
        <v>109618</v>
      </c>
      <c r="P14" s="7">
        <v>113072</v>
      </c>
      <c r="U14" s="22" t="s">
        <v>99</v>
      </c>
      <c r="V14" s="51">
        <f t="shared" ref="V14:Z15" si="6">SUM(L12,L23)</f>
        <v>34635.479999999996</v>
      </c>
      <c r="W14" s="51">
        <f t="shared" si="6"/>
        <v>34386.660000000003</v>
      </c>
      <c r="X14" s="51">
        <f t="shared" si="6"/>
        <v>35756.160000000003</v>
      </c>
      <c r="Y14" s="51">
        <f t="shared" si="6"/>
        <v>31274.1</v>
      </c>
      <c r="Z14" s="51">
        <f t="shared" si="6"/>
        <v>38377.019999999997</v>
      </c>
    </row>
    <row r="15" spans="2:26" x14ac:dyDescent="0.25">
      <c r="B15" s="22" t="s">
        <v>53</v>
      </c>
      <c r="C15" s="44">
        <f t="shared" ref="C15:H15" si="7">+C5/C$10</f>
        <v>0.4492614007623868</v>
      </c>
      <c r="D15" s="44">
        <f t="shared" si="7"/>
        <v>0.44715711224343657</v>
      </c>
      <c r="E15" s="44">
        <f t="shared" si="7"/>
        <v>0.42519982283397501</v>
      </c>
      <c r="F15" s="44">
        <f t="shared" si="7"/>
        <v>0.43516819541583196</v>
      </c>
      <c r="G15" s="44">
        <f t="shared" si="7"/>
        <v>0.44153067771315396</v>
      </c>
      <c r="H15" s="44">
        <f t="shared" si="7"/>
        <v>0.430211980765208</v>
      </c>
      <c r="J15" s="2" t="s">
        <v>64</v>
      </c>
      <c r="K15" s="7">
        <v>-37484</v>
      </c>
      <c r="L15" s="7">
        <v>-36851</v>
      </c>
      <c r="M15" s="7">
        <v>-37055</v>
      </c>
      <c r="N15" s="7">
        <v>-34813</v>
      </c>
      <c r="O15" s="7">
        <v>-33861</v>
      </c>
      <c r="P15" s="7">
        <v>-36757</v>
      </c>
      <c r="S15" s="129"/>
      <c r="T15" s="129"/>
      <c r="U15" s="22" t="s">
        <v>100</v>
      </c>
      <c r="V15" s="51">
        <f>SUM(L13,L24)</f>
        <v>-18844.98</v>
      </c>
      <c r="W15" s="51">
        <f t="shared" si="6"/>
        <v>-20793.96</v>
      </c>
      <c r="X15" s="51">
        <f t="shared" si="6"/>
        <v>-16848.48</v>
      </c>
      <c r="Y15" s="51">
        <f t="shared" si="6"/>
        <v>-18012.72</v>
      </c>
      <c r="Z15" s="51">
        <f t="shared" si="6"/>
        <v>-22122.54</v>
      </c>
    </row>
    <row r="16" spans="2:26" x14ac:dyDescent="0.25">
      <c r="B16" s="24" t="s">
        <v>2</v>
      </c>
      <c r="C16" s="45">
        <f t="shared" ref="C16:H16" si="8">+C6/C$10</f>
        <v>0.35174498141410709</v>
      </c>
      <c r="D16" s="45">
        <f t="shared" si="8"/>
        <v>0.33916692404213589</v>
      </c>
      <c r="E16" s="45">
        <f t="shared" si="8"/>
        <v>0.36788116248168717</v>
      </c>
      <c r="F16" s="45">
        <f t="shared" si="8"/>
        <v>0.34297981813446721</v>
      </c>
      <c r="G16" s="45">
        <f t="shared" si="8"/>
        <v>0.36035329232743352</v>
      </c>
      <c r="H16" s="45">
        <f t="shared" si="8"/>
        <v>0.35606458110936207</v>
      </c>
      <c r="J16" s="3" t="s">
        <v>65</v>
      </c>
      <c r="K16" s="5">
        <v>-36706</v>
      </c>
      <c r="L16" s="5">
        <v>-43778</v>
      </c>
      <c r="M16" s="5">
        <v>-34497</v>
      </c>
      <c r="N16" s="5">
        <v>-18803</v>
      </c>
      <c r="O16" s="5">
        <v>-45101</v>
      </c>
      <c r="P16" s="5">
        <v>-42171</v>
      </c>
      <c r="U16" s="24" t="s">
        <v>101</v>
      </c>
      <c r="V16" s="24">
        <f>SUM(V13:V15)</f>
        <v>79067</v>
      </c>
      <c r="W16" s="24">
        <f>SUM(W13:W15)</f>
        <v>65024.000000000007</v>
      </c>
      <c r="X16" s="24">
        <f>SUM(X13:X15)</f>
        <v>82593</v>
      </c>
      <c r="Y16" s="24">
        <f>SUM(Y13:Y15)</f>
        <v>75757</v>
      </c>
      <c r="Z16" s="24">
        <f>SUM(Z13:Z15)</f>
        <v>76315</v>
      </c>
    </row>
    <row r="17" spans="2:27" x14ac:dyDescent="0.25">
      <c r="B17" s="22" t="s">
        <v>3</v>
      </c>
      <c r="C17" s="44">
        <f t="shared" ref="C17:H17" si="9">+C7/C$10</f>
        <v>0.19715180815173511</v>
      </c>
      <c r="D17" s="44">
        <f t="shared" si="9"/>
        <v>0.18865792843708318</v>
      </c>
      <c r="E17" s="44">
        <f t="shared" si="9"/>
        <v>0.2296579332901775</v>
      </c>
      <c r="F17" s="44">
        <f t="shared" si="9"/>
        <v>0.20636941960343952</v>
      </c>
      <c r="G17" s="44">
        <f t="shared" si="9"/>
        <v>0.21107298771217764</v>
      </c>
      <c r="H17" s="44">
        <f t="shared" si="9"/>
        <v>0.21859593890550619</v>
      </c>
      <c r="J17" s="3" t="s">
        <v>23</v>
      </c>
      <c r="K17" s="5">
        <v>-778</v>
      </c>
      <c r="L17" s="5">
        <v>6927</v>
      </c>
      <c r="M17" s="5">
        <v>-2558</v>
      </c>
      <c r="N17" s="5">
        <v>-16010</v>
      </c>
      <c r="O17" s="5">
        <v>11240</v>
      </c>
      <c r="P17" s="5">
        <v>5414</v>
      </c>
      <c r="U17" s="1" t="s">
        <v>131</v>
      </c>
      <c r="V17" s="1" t="s">
        <v>58</v>
      </c>
      <c r="W17" s="1" t="s">
        <v>59</v>
      </c>
      <c r="X17" s="1" t="s">
        <v>60</v>
      </c>
      <c r="Y17" s="1" t="s">
        <v>61</v>
      </c>
      <c r="Z17" s="1" t="s">
        <v>62</v>
      </c>
    </row>
    <row r="18" spans="2:27" x14ac:dyDescent="0.25">
      <c r="B18" s="22" t="s">
        <v>4</v>
      </c>
      <c r="C18" s="44">
        <f t="shared" ref="C18:H18" si="10">+C8/C$10</f>
        <v>0.11673125173965142</v>
      </c>
      <c r="D18" s="44">
        <f t="shared" si="10"/>
        <v>0.11404259554518202</v>
      </c>
      <c r="E18" s="44">
        <f t="shared" si="10"/>
        <v>0.10536165718374162</v>
      </c>
      <c r="F18" s="44">
        <f t="shared" si="10"/>
        <v>0.10521550527610732</v>
      </c>
      <c r="G18" s="44">
        <f t="shared" si="10"/>
        <v>0.11380043795416823</v>
      </c>
      <c r="H18" s="44">
        <f t="shared" si="10"/>
        <v>0.10525331766514841</v>
      </c>
      <c r="J18" s="2" t="s">
        <v>66</v>
      </c>
      <c r="K18" s="7">
        <v>69070</v>
      </c>
      <c r="L18" s="7">
        <v>79067</v>
      </c>
      <c r="M18" s="7">
        <v>65024</v>
      </c>
      <c r="N18" s="7">
        <v>82593</v>
      </c>
      <c r="O18" s="7">
        <v>75757</v>
      </c>
      <c r="P18" s="7">
        <v>76315</v>
      </c>
      <c r="U18" s="22" t="s">
        <v>108</v>
      </c>
      <c r="V18" s="105">
        <f>+V11/V10</f>
        <v>0.21070885790687258</v>
      </c>
      <c r="W18" s="105">
        <f>+W11/W10</f>
        <v>0.21288652061700306</v>
      </c>
      <c r="X18" s="105">
        <f>+X11/X10</f>
        <v>0.1923837749222955</v>
      </c>
      <c r="Y18" s="105">
        <f>+Y11/Y10</f>
        <v>0.21363528886320049</v>
      </c>
      <c r="Z18" s="44">
        <f>+Z11/Z10</f>
        <v>0.20488113923541196</v>
      </c>
    </row>
    <row r="19" spans="2:27" x14ac:dyDescent="0.25">
      <c r="B19" s="22" t="s">
        <v>54</v>
      </c>
      <c r="C19" s="44">
        <f t="shared" ref="C19:H19" si="11">+C9/C$10</f>
        <v>3.7861921522720589E-2</v>
      </c>
      <c r="D19" s="44">
        <f t="shared" si="11"/>
        <v>3.646640005987066E-2</v>
      </c>
      <c r="E19" s="44">
        <f t="shared" si="11"/>
        <v>3.2861572007768049E-2</v>
      </c>
      <c r="F19" s="44">
        <f t="shared" si="11"/>
        <v>3.139489325492037E-2</v>
      </c>
      <c r="G19" s="44">
        <f t="shared" si="11"/>
        <v>3.5479866661087635E-2</v>
      </c>
      <c r="H19" s="44">
        <f t="shared" si="11"/>
        <v>3.2215324538707499E-2</v>
      </c>
      <c r="J19" s="3" t="s">
        <v>68</v>
      </c>
      <c r="K19" s="5">
        <v>0</v>
      </c>
      <c r="L19" s="5">
        <v>0</v>
      </c>
      <c r="M19" s="5">
        <v>0</v>
      </c>
      <c r="N19" s="5">
        <v>-784</v>
      </c>
      <c r="O19" s="5">
        <v>411</v>
      </c>
      <c r="P19" s="5">
        <v>-41</v>
      </c>
      <c r="U19" s="22" t="s">
        <v>150</v>
      </c>
      <c r="V19" s="105">
        <f>+V13/V10</f>
        <v>8.6950039437486776E-2</v>
      </c>
      <c r="W19" s="105">
        <f>+W13/W10</f>
        <v>7.2101402037517581E-2</v>
      </c>
      <c r="X19" s="105">
        <f>+X13/X10</f>
        <v>7.5436519217648393E-2</v>
      </c>
      <c r="Y19" s="105">
        <f>+Y13/Y10</f>
        <v>8.2094974121850614E-2</v>
      </c>
      <c r="Z19" s="44">
        <f>+Z13/Z10</f>
        <v>7.7973232797288239E-2</v>
      </c>
    </row>
    <row r="20" spans="2:27" x14ac:dyDescent="0.25">
      <c r="B20" s="35" t="s">
        <v>55</v>
      </c>
      <c r="C20" s="46">
        <f t="shared" ref="C20:H20" si="12">+C10/C$10</f>
        <v>1</v>
      </c>
      <c r="D20" s="46">
        <f t="shared" si="12"/>
        <v>1</v>
      </c>
      <c r="E20" s="46">
        <f t="shared" si="12"/>
        <v>1</v>
      </c>
      <c r="F20" s="46">
        <f t="shared" si="12"/>
        <v>1</v>
      </c>
      <c r="G20" s="46">
        <f t="shared" si="12"/>
        <v>1</v>
      </c>
      <c r="H20" s="46">
        <f t="shared" si="12"/>
        <v>1</v>
      </c>
      <c r="J20" s="9" t="s">
        <v>67</v>
      </c>
      <c r="K20" s="10">
        <v>69070</v>
      </c>
      <c r="L20" s="10">
        <v>79067</v>
      </c>
      <c r="M20" s="10">
        <v>65024</v>
      </c>
      <c r="N20" s="10">
        <v>83377</v>
      </c>
      <c r="O20" s="10">
        <v>75346</v>
      </c>
      <c r="P20" s="10">
        <v>76356</v>
      </c>
      <c r="U20" s="22" t="s">
        <v>109</v>
      </c>
      <c r="V20" s="106">
        <f>+V10/V4</f>
        <v>0.48584411721801979</v>
      </c>
      <c r="W20" s="106">
        <f>+W10/W4</f>
        <v>0.45674676010100285</v>
      </c>
      <c r="X20" s="106">
        <f>+X10/X4</f>
        <v>0.50933129091781704</v>
      </c>
      <c r="Y20" s="106">
        <f>+Y10/Y4</f>
        <v>0.44885242692572114</v>
      </c>
      <c r="Z20" s="54">
        <f>+Z10/Z4</f>
        <v>0.43772796822190113</v>
      </c>
    </row>
    <row r="21" spans="2:27" x14ac:dyDescent="0.25">
      <c r="B21" s="40"/>
      <c r="C21" s="41"/>
      <c r="D21" s="41"/>
      <c r="E21" s="41"/>
      <c r="F21" s="41"/>
      <c r="G21" s="41"/>
      <c r="H21" s="41"/>
      <c r="U21" s="51" t="s">
        <v>110</v>
      </c>
      <c r="V21" s="107">
        <f>+V20*V19</f>
        <v>4.224416515257777E-2</v>
      </c>
      <c r="W21" s="107">
        <f>+W20*W19</f>
        <v>3.2932081779376003E-2</v>
      </c>
      <c r="X21" s="107">
        <f>+X20*X19</f>
        <v>3.8422179715471572E-2</v>
      </c>
      <c r="Y21" s="107">
        <f>+Y20*Y19</f>
        <v>3.6848528372996923E-2</v>
      </c>
      <c r="Z21" s="77">
        <f>+Z20*Z19</f>
        <v>3.4131064768050286E-2</v>
      </c>
    </row>
    <row r="22" spans="2:27" x14ac:dyDescent="0.25">
      <c r="B22" s="34" t="s">
        <v>5</v>
      </c>
      <c r="C22" s="33">
        <v>793961</v>
      </c>
      <c r="D22" s="33">
        <v>859508</v>
      </c>
      <c r="E22" s="33">
        <v>888530</v>
      </c>
      <c r="F22" s="33">
        <v>948736</v>
      </c>
      <c r="G22" s="33">
        <v>798296</v>
      </c>
      <c r="H22" s="33">
        <v>979243</v>
      </c>
      <c r="J22" s="1" t="s">
        <v>92</v>
      </c>
      <c r="K22" s="1" t="s">
        <v>57</v>
      </c>
      <c r="L22" s="1" t="s">
        <v>58</v>
      </c>
      <c r="M22" s="1" t="s">
        <v>59</v>
      </c>
      <c r="N22" s="1" t="s">
        <v>60</v>
      </c>
      <c r="O22" s="1" t="s">
        <v>61</v>
      </c>
      <c r="P22" s="1" t="s">
        <v>62</v>
      </c>
      <c r="U22" s="24" t="s">
        <v>111</v>
      </c>
      <c r="V22" s="108">
        <f>+V21*V4/V5</f>
        <v>3.1153524523556849E-2</v>
      </c>
      <c r="W22" s="108">
        <f>+W21*W4/W5</f>
        <v>2.3959016815376058E-2</v>
      </c>
      <c r="X22" s="108">
        <f>+X21*X4/X5</f>
        <v>2.7722536609148373E-2</v>
      </c>
      <c r="Y22" s="108">
        <f>+Y21*Y4/Y5</f>
        <v>2.6982404512292318E-2</v>
      </c>
      <c r="Z22" s="78">
        <f>+Z21*Z4/Z5</f>
        <v>2.5230858677748103E-2</v>
      </c>
    </row>
    <row r="23" spans="2:27" x14ac:dyDescent="0.25">
      <c r="B23" s="22" t="s">
        <v>6</v>
      </c>
      <c r="C23" s="21">
        <v>321174</v>
      </c>
      <c r="D23" s="21">
        <v>273648</v>
      </c>
      <c r="E23" s="21">
        <v>243038</v>
      </c>
      <c r="F23" s="21">
        <v>268200</v>
      </c>
      <c r="G23" s="21">
        <v>253767</v>
      </c>
      <c r="H23" s="21">
        <v>304491</v>
      </c>
      <c r="J23" s="3" t="s">
        <v>93</v>
      </c>
      <c r="K23" s="5">
        <f>-34%*K12</f>
        <v>-17016.32</v>
      </c>
      <c r="L23" s="5">
        <f t="shared" ref="L23:P24" si="13">-34%*L12</f>
        <v>-17842.52</v>
      </c>
      <c r="M23" s="5">
        <f t="shared" si="13"/>
        <v>-17714.34</v>
      </c>
      <c r="N23" s="5">
        <f t="shared" si="13"/>
        <v>-18419.84</v>
      </c>
      <c r="O23" s="5">
        <f t="shared" si="13"/>
        <v>-16110.900000000001</v>
      </c>
      <c r="P23" s="5">
        <f t="shared" si="13"/>
        <v>-19769.980000000003</v>
      </c>
      <c r="U23" s="51" t="s">
        <v>112</v>
      </c>
      <c r="V23" s="107">
        <f>+V14/V3</f>
        <v>6.4952526334147845E-2</v>
      </c>
      <c r="W23" s="107">
        <f>+W14/W3</f>
        <v>5.8790866099730214E-2</v>
      </c>
      <c r="X23" s="107">
        <f>+X14/X3</f>
        <v>5.589297284538447E-2</v>
      </c>
      <c r="Y23" s="107">
        <f>+Y14/Y3</f>
        <v>5.043005863116546E-2</v>
      </c>
      <c r="Z23" s="77">
        <f>+Z14/Z3</f>
        <v>6.1824977264910305E-2</v>
      </c>
    </row>
    <row r="24" spans="2:27" x14ac:dyDescent="0.25">
      <c r="B24" s="22" t="s">
        <v>7</v>
      </c>
      <c r="C24" s="21">
        <f t="shared" ref="C24:H24" si="14">C22-C23</f>
        <v>472787</v>
      </c>
      <c r="D24" s="21">
        <f t="shared" si="14"/>
        <v>585860</v>
      </c>
      <c r="E24" s="21">
        <f t="shared" si="14"/>
        <v>645492</v>
      </c>
      <c r="F24" s="21">
        <f t="shared" si="14"/>
        <v>680536</v>
      </c>
      <c r="G24" s="21">
        <f t="shared" si="14"/>
        <v>544529</v>
      </c>
      <c r="H24" s="21">
        <f t="shared" si="14"/>
        <v>674752</v>
      </c>
      <c r="J24" s="3" t="s">
        <v>94</v>
      </c>
      <c r="K24" s="5">
        <f>-34%*K13</f>
        <v>15317.340000000002</v>
      </c>
      <c r="L24" s="5">
        <f t="shared" si="13"/>
        <v>9708.02</v>
      </c>
      <c r="M24" s="5">
        <f t="shared" si="13"/>
        <v>10712.04</v>
      </c>
      <c r="N24" s="5">
        <f t="shared" si="13"/>
        <v>8679.52</v>
      </c>
      <c r="O24" s="5">
        <f t="shared" si="13"/>
        <v>9279.2800000000007</v>
      </c>
      <c r="P24" s="5">
        <f t="shared" si="13"/>
        <v>11396.460000000001</v>
      </c>
      <c r="U24" s="24" t="s">
        <v>113</v>
      </c>
      <c r="V24" s="108">
        <f>+V23*V3/V5</f>
        <v>1.7052417178022847E-2</v>
      </c>
      <c r="W24" s="108">
        <f>+W23*W3/W5</f>
        <v>1.6018855544476209E-2</v>
      </c>
      <c r="X24" s="108">
        <f>+X23*X3/X5</f>
        <v>1.5564834322926643E-2</v>
      </c>
      <c r="Y24" s="108">
        <f>+Y23*Y3/Y5</f>
        <v>1.3502552930235449E-2</v>
      </c>
      <c r="Z24" s="78">
        <f>+Z23*Z3/Z5</f>
        <v>1.6121824587817624E-2</v>
      </c>
    </row>
    <row r="25" spans="2:27" x14ac:dyDescent="0.25">
      <c r="B25" s="24" t="s">
        <v>8</v>
      </c>
      <c r="C25" s="23">
        <v>933044</v>
      </c>
      <c r="D25" s="23">
        <v>899670</v>
      </c>
      <c r="E25" s="23">
        <v>1119729</v>
      </c>
      <c r="F25" s="23">
        <v>1117475</v>
      </c>
      <c r="G25" s="23">
        <v>1120270</v>
      </c>
      <c r="H25" s="23">
        <v>1162811</v>
      </c>
      <c r="J25" s="3" t="s">
        <v>95</v>
      </c>
      <c r="K25" s="5">
        <f t="shared" ref="K25:P25" si="15">+K26-K24-K23</f>
        <v>-35785.020000000004</v>
      </c>
      <c r="L25" s="5">
        <f t="shared" si="15"/>
        <v>-28716.500000000004</v>
      </c>
      <c r="M25" s="5">
        <f t="shared" si="15"/>
        <v>-30052.7</v>
      </c>
      <c r="N25" s="5">
        <f t="shared" si="15"/>
        <v>-25072.680000000004</v>
      </c>
      <c r="O25" s="5">
        <f t="shared" si="15"/>
        <v>-27029.379999999997</v>
      </c>
      <c r="P25" s="5">
        <f t="shared" si="15"/>
        <v>-28383.479999999996</v>
      </c>
      <c r="U25" s="121" t="s">
        <v>114</v>
      </c>
      <c r="V25" s="122">
        <f>+V24+V22</f>
        <v>4.8205941701579699E-2</v>
      </c>
      <c r="W25" s="122">
        <f>+W24+W22</f>
        <v>3.9977872359852271E-2</v>
      </c>
      <c r="X25" s="122">
        <f>+X24+X22</f>
        <v>4.328737093207502E-2</v>
      </c>
      <c r="Y25" s="122">
        <f>+Y24+Y22</f>
        <v>4.0484957442527766E-2</v>
      </c>
      <c r="Z25" s="122">
        <f>+Z24+Z22</f>
        <v>4.1352683265565723E-2</v>
      </c>
      <c r="AA25" s="125" t="s">
        <v>152</v>
      </c>
    </row>
    <row r="26" spans="2:27" x14ac:dyDescent="0.25">
      <c r="B26" s="22" t="s">
        <v>9</v>
      </c>
      <c r="C26" s="21">
        <v>910411</v>
      </c>
      <c r="D26" s="21">
        <v>878011</v>
      </c>
      <c r="E26" s="21">
        <v>1098572</v>
      </c>
      <c r="F26" s="21">
        <v>1094439</v>
      </c>
      <c r="G26" s="21">
        <v>1103214</v>
      </c>
      <c r="H26" s="21">
        <v>1141813</v>
      </c>
      <c r="J26" s="3" t="s">
        <v>64</v>
      </c>
      <c r="K26" s="5">
        <f t="shared" ref="K26:P26" si="16">+K16+K17</f>
        <v>-37484</v>
      </c>
      <c r="L26" s="5">
        <f t="shared" si="16"/>
        <v>-36851</v>
      </c>
      <c r="M26" s="5">
        <f t="shared" si="16"/>
        <v>-37055</v>
      </c>
      <c r="N26" s="5">
        <f t="shared" si="16"/>
        <v>-34813</v>
      </c>
      <c r="O26" s="5">
        <f t="shared" si="16"/>
        <v>-33861</v>
      </c>
      <c r="P26" s="5">
        <f t="shared" si="16"/>
        <v>-36757</v>
      </c>
      <c r="U26" s="22" t="s">
        <v>140</v>
      </c>
      <c r="V26" s="107">
        <f>+(V13+V14)/V5</f>
        <v>4.8205941701579692E-2</v>
      </c>
      <c r="W26" s="107">
        <f>+(W13+W14)/W5</f>
        <v>3.9977872359852264E-2</v>
      </c>
      <c r="X26" s="107">
        <f>+(X13+X14)/X5</f>
        <v>4.3287370932075013E-2</v>
      </c>
      <c r="Y26" s="107">
        <f>+(Y13+Y14)/Y5</f>
        <v>4.0484957442527766E-2</v>
      </c>
      <c r="Z26" s="77">
        <f>+(Z13+Z14)/Z5</f>
        <v>4.1352683265565723E-2</v>
      </c>
    </row>
    <row r="27" spans="2:27" x14ac:dyDescent="0.25">
      <c r="B27" s="22" t="s">
        <v>54</v>
      </c>
      <c r="C27" s="21">
        <f t="shared" ref="C27:H27" si="17">C25-C26</f>
        <v>22633</v>
      </c>
      <c r="D27" s="21">
        <f t="shared" si="17"/>
        <v>21659</v>
      </c>
      <c r="E27" s="21">
        <f t="shared" si="17"/>
        <v>21157</v>
      </c>
      <c r="F27" s="21">
        <f t="shared" si="17"/>
        <v>23036</v>
      </c>
      <c r="G27" s="21">
        <f t="shared" si="17"/>
        <v>17056</v>
      </c>
      <c r="H27" s="21">
        <f t="shared" si="17"/>
        <v>20998</v>
      </c>
      <c r="J27" s="1" t="s">
        <v>129</v>
      </c>
      <c r="K27" s="1" t="s">
        <v>57</v>
      </c>
      <c r="L27" s="1" t="s">
        <v>58</v>
      </c>
      <c r="M27" s="1" t="s">
        <v>59</v>
      </c>
      <c r="N27" s="1" t="s">
        <v>60</v>
      </c>
      <c r="O27" s="1" t="s">
        <v>61</v>
      </c>
      <c r="P27" s="1" t="s">
        <v>62</v>
      </c>
      <c r="U27" s="123" t="s">
        <v>117</v>
      </c>
      <c r="V27" s="124">
        <f>+V15/V6</f>
        <v>-1.5814562000365889E-2</v>
      </c>
      <c r="W27" s="124">
        <f>+W15/W6</f>
        <v>-1.6680077440500804E-2</v>
      </c>
      <c r="X27" s="124">
        <f>+X15/X6</f>
        <v>-1.2460746033371927E-2</v>
      </c>
      <c r="Y27" s="124">
        <f>+Y15/Y6</f>
        <v>-1.3246497672468948E-2</v>
      </c>
      <c r="Z27" s="124">
        <f>+Z15/Z6</f>
        <v>-1.5783297096085485E-2</v>
      </c>
    </row>
    <row r="28" spans="2:27" x14ac:dyDescent="0.25">
      <c r="B28" s="24" t="s">
        <v>10</v>
      </c>
      <c r="C28" s="23">
        <v>805830</v>
      </c>
      <c r="D28" s="23">
        <v>873163</v>
      </c>
      <c r="E28" s="23">
        <v>926841</v>
      </c>
      <c r="F28" s="23">
        <v>963390</v>
      </c>
      <c r="G28" s="23">
        <v>949314</v>
      </c>
      <c r="H28" s="23">
        <v>1008279</v>
      </c>
      <c r="J28" s="58" t="s">
        <v>93</v>
      </c>
      <c r="K28" s="11">
        <f t="shared" ref="K28:P30" si="18">-K23/K12</f>
        <v>0.33999999999999997</v>
      </c>
      <c r="L28" s="11">
        <f t="shared" si="18"/>
        <v>0.34</v>
      </c>
      <c r="M28" s="11">
        <f t="shared" si="18"/>
        <v>0.34</v>
      </c>
      <c r="N28" s="11">
        <f t="shared" si="18"/>
        <v>0.34</v>
      </c>
      <c r="O28" s="11">
        <f t="shared" si="18"/>
        <v>0.34</v>
      </c>
      <c r="P28" s="11">
        <f t="shared" si="18"/>
        <v>0.34000000000000008</v>
      </c>
      <c r="U28" s="22" t="s">
        <v>118</v>
      </c>
      <c r="V28" s="107">
        <f>+V26+V27</f>
        <v>3.2391379701213807E-2</v>
      </c>
      <c r="W28" s="107">
        <f>+W26+W27</f>
        <v>2.329779491935146E-2</v>
      </c>
      <c r="X28" s="107">
        <f>+X26+X27</f>
        <v>3.0826624898703088E-2</v>
      </c>
      <c r="Y28" s="107">
        <f>+Y26+Y27</f>
        <v>2.7238459770058818E-2</v>
      </c>
      <c r="Z28" s="77">
        <f>+Z26+Z27</f>
        <v>2.5569386169480238E-2</v>
      </c>
    </row>
    <row r="29" spans="2:27" x14ac:dyDescent="0.25">
      <c r="B29" s="22" t="s">
        <v>11</v>
      </c>
      <c r="C29" s="21">
        <v>8665</v>
      </c>
      <c r="D29" s="21">
        <v>8362</v>
      </c>
      <c r="E29" s="21">
        <v>7654</v>
      </c>
      <c r="F29" s="21">
        <v>7496</v>
      </c>
      <c r="G29" s="21">
        <v>7734</v>
      </c>
      <c r="H29" s="21">
        <v>7373</v>
      </c>
      <c r="J29" s="58" t="s">
        <v>94</v>
      </c>
      <c r="K29" s="11">
        <f t="shared" si="18"/>
        <v>0.34</v>
      </c>
      <c r="L29" s="11">
        <f t="shared" si="18"/>
        <v>0.34</v>
      </c>
      <c r="M29" s="11">
        <f t="shared" si="18"/>
        <v>0.34</v>
      </c>
      <c r="N29" s="11">
        <f t="shared" si="18"/>
        <v>0.34</v>
      </c>
      <c r="O29" s="11">
        <f t="shared" si="18"/>
        <v>0.34</v>
      </c>
      <c r="P29" s="11">
        <f t="shared" si="18"/>
        <v>0.34</v>
      </c>
      <c r="U29" s="22" t="s">
        <v>119</v>
      </c>
      <c r="V29" s="106">
        <f>+V6/V7</f>
        <v>1.4194484432037537</v>
      </c>
      <c r="W29" s="106">
        <f>+W6/W7</f>
        <v>1.3851463663414081</v>
      </c>
      <c r="X29" s="106">
        <f>+X6/X7</f>
        <v>1.4306447201426704</v>
      </c>
      <c r="Y29" s="106">
        <f>+Y6/Y7</f>
        <v>1.4218718630797029</v>
      </c>
      <c r="Z29" s="54">
        <f>+Z6/Z7</f>
        <v>1.4320060400706378</v>
      </c>
    </row>
    <row r="30" spans="2:27" x14ac:dyDescent="0.25">
      <c r="B30" s="22" t="s">
        <v>12</v>
      </c>
      <c r="C30" s="21">
        <v>797165</v>
      </c>
      <c r="D30" s="21">
        <v>864801</v>
      </c>
      <c r="E30" s="21">
        <v>919187</v>
      </c>
      <c r="F30" s="21">
        <v>955894</v>
      </c>
      <c r="G30" s="21">
        <v>941580</v>
      </c>
      <c r="H30" s="21">
        <v>1000906</v>
      </c>
      <c r="I30" s="17"/>
      <c r="J30" s="59" t="s">
        <v>95</v>
      </c>
      <c r="K30" s="60">
        <f t="shared" si="18"/>
        <v>0.33583929275297036</v>
      </c>
      <c r="L30" s="60">
        <f t="shared" si="18"/>
        <v>0.24773115478182856</v>
      </c>
      <c r="M30" s="60">
        <f t="shared" si="18"/>
        <v>0.29440629316509764</v>
      </c>
      <c r="N30" s="60">
        <f t="shared" si="18"/>
        <v>0.21355535492223571</v>
      </c>
      <c r="O30" s="60">
        <f t="shared" si="18"/>
        <v>0.24657793428086625</v>
      </c>
      <c r="P30" s="60">
        <f t="shared" si="18"/>
        <v>0.25102129616527519</v>
      </c>
      <c r="U30" s="24" t="s">
        <v>120</v>
      </c>
      <c r="V30" s="108">
        <f>+V29*V28</f>
        <v>4.5977893490109611E-2</v>
      </c>
      <c r="W30" s="108">
        <f>+W29*W28</f>
        <v>3.2270855976306995E-2</v>
      </c>
      <c r="X30" s="108">
        <f>+X29*X28</f>
        <v>4.4101948151148158E-2</v>
      </c>
      <c r="Y30" s="108">
        <f>+Y29*Y28</f>
        <v>3.8729599540675071E-2</v>
      </c>
      <c r="Z30" s="78">
        <f>+Z29*Z28</f>
        <v>3.6615515435594333E-2</v>
      </c>
    </row>
    <row r="31" spans="2:27" x14ac:dyDescent="0.25">
      <c r="B31" s="31" t="s">
        <v>56</v>
      </c>
      <c r="C31" s="25">
        <f t="shared" ref="C31:H31" si="19">C28+C25+C22</f>
        <v>2532835</v>
      </c>
      <c r="D31" s="25">
        <f t="shared" si="19"/>
        <v>2632341</v>
      </c>
      <c r="E31" s="25">
        <f t="shared" si="19"/>
        <v>2935100</v>
      </c>
      <c r="F31" s="25">
        <f t="shared" si="19"/>
        <v>3029601</v>
      </c>
      <c r="G31" s="25">
        <f t="shared" si="19"/>
        <v>2867880</v>
      </c>
      <c r="H31" s="25">
        <f t="shared" si="19"/>
        <v>3150333</v>
      </c>
      <c r="I31" s="17"/>
      <c r="U31" s="51" t="s">
        <v>141</v>
      </c>
      <c r="V31" s="107">
        <f>+V25</f>
        <v>4.8205941701579699E-2</v>
      </c>
      <c r="W31" s="107">
        <f>+W25</f>
        <v>3.9977872359852271E-2</v>
      </c>
      <c r="X31" s="107">
        <f>+X25</f>
        <v>4.328737093207502E-2</v>
      </c>
      <c r="Y31" s="107">
        <f>+Y25</f>
        <v>4.0484957442527766E-2</v>
      </c>
      <c r="Z31" s="77">
        <f>+Z25</f>
        <v>4.1352683265565723E-2</v>
      </c>
    </row>
    <row r="32" spans="2:27" x14ac:dyDescent="0.25">
      <c r="I32" s="17"/>
      <c r="U32" s="121" t="s">
        <v>154</v>
      </c>
      <c r="V32" s="122">
        <f>+V31+V30</f>
        <v>9.4183835191689311E-2</v>
      </c>
      <c r="W32" s="122">
        <f>+W31+W30</f>
        <v>7.2248728336159265E-2</v>
      </c>
      <c r="X32" s="122">
        <f>+X31+X30</f>
        <v>8.7389319083223171E-2</v>
      </c>
      <c r="Y32" s="122">
        <f>+Y31+Y30</f>
        <v>7.9214556983202844E-2</v>
      </c>
      <c r="Z32" s="122">
        <f>+Z31+Z30</f>
        <v>7.7968198701160063E-2</v>
      </c>
    </row>
    <row r="33" spans="2:26" x14ac:dyDescent="0.25">
      <c r="B33" s="38" t="s">
        <v>125</v>
      </c>
      <c r="C33" s="38">
        <v>40268</v>
      </c>
      <c r="D33" s="38">
        <v>40359</v>
      </c>
      <c r="E33" s="38">
        <v>40451</v>
      </c>
      <c r="F33" s="38">
        <v>40543</v>
      </c>
      <c r="G33" s="38">
        <v>40633</v>
      </c>
      <c r="H33" s="38">
        <v>40724</v>
      </c>
      <c r="I33" s="39"/>
      <c r="J33" s="4" t="s">
        <v>104</v>
      </c>
      <c r="K33" s="1" t="s">
        <v>57</v>
      </c>
      <c r="L33" s="1" t="s">
        <v>58</v>
      </c>
      <c r="M33" s="1" t="s">
        <v>59</v>
      </c>
      <c r="N33" s="1" t="s">
        <v>60</v>
      </c>
      <c r="O33" s="1" t="s">
        <v>61</v>
      </c>
      <c r="P33" s="1" t="s">
        <v>62</v>
      </c>
      <c r="Q33" s="1" t="s">
        <v>105</v>
      </c>
      <c r="R33" s="1" t="s">
        <v>106</v>
      </c>
      <c r="S33" s="1" t="s">
        <v>107</v>
      </c>
      <c r="U33" s="22" t="s">
        <v>121</v>
      </c>
      <c r="V33" s="107">
        <f>+V16/V7</f>
        <v>9.4183835191689311E-2</v>
      </c>
      <c r="W33" s="107">
        <f>+W16/W7</f>
        <v>7.2248728336159265E-2</v>
      </c>
      <c r="X33" s="107">
        <f>+X16/X7</f>
        <v>8.7389319083223158E-2</v>
      </c>
      <c r="Y33" s="107">
        <f>+Y16/Y7</f>
        <v>7.9214556983202844E-2</v>
      </c>
      <c r="Z33" s="77">
        <f>+Z16/Z7</f>
        <v>7.7968198701160049E-2</v>
      </c>
    </row>
    <row r="34" spans="2:26" x14ac:dyDescent="0.25">
      <c r="B34" s="34" t="s">
        <v>5</v>
      </c>
      <c r="C34" s="43">
        <f t="shared" ref="C34:H34" si="20">+C22/C$31</f>
        <v>0.31346732021627938</v>
      </c>
      <c r="D34" s="43">
        <f t="shared" si="20"/>
        <v>0.32651848677659923</v>
      </c>
      <c r="E34" s="43">
        <f t="shared" si="20"/>
        <v>0.30272563115396411</v>
      </c>
      <c r="F34" s="43">
        <f t="shared" si="20"/>
        <v>0.31315542871817115</v>
      </c>
      <c r="G34" s="43">
        <f t="shared" si="20"/>
        <v>0.2783575323932661</v>
      </c>
      <c r="H34" s="43">
        <f t="shared" si="20"/>
        <v>0.31083793364066592</v>
      </c>
      <c r="J34" s="61" t="s">
        <v>13</v>
      </c>
      <c r="K34" s="62"/>
      <c r="L34" s="63">
        <f t="shared" ref="L34:P39" si="21">L3/K3-1</f>
        <v>7.1422892662487358E-2</v>
      </c>
      <c r="M34" s="63">
        <f t="shared" si="21"/>
        <v>-1.9808061736843352E-2</v>
      </c>
      <c r="N34" s="63">
        <f t="shared" si="21"/>
        <v>0.18351536970135385</v>
      </c>
      <c r="O34" s="63">
        <f t="shared" si="21"/>
        <v>-9.8272496399059994E-2</v>
      </c>
      <c r="P34" s="63">
        <f t="shared" si="21"/>
        <v>1.1836954522764787E-2</v>
      </c>
      <c r="Q34" s="63">
        <f>AVERAGE(L34:P34)</f>
        <v>2.9738931750140529E-2</v>
      </c>
      <c r="R34" s="63">
        <f>STDEV(L34:P34)</f>
        <v>0.10553086818006384</v>
      </c>
      <c r="S34" s="63">
        <f>+R34/Q34</f>
        <v>3.5485762927434394</v>
      </c>
      <c r="U34" s="123" t="s">
        <v>72</v>
      </c>
      <c r="V34" s="126">
        <f>+V32/V31</f>
        <v>1.9537806309175976</v>
      </c>
      <c r="W34" s="126">
        <f>+W32/W31</f>
        <v>1.8072179451129311</v>
      </c>
      <c r="X34" s="126">
        <f>+X32/X31</f>
        <v>2.0188178954169183</v>
      </c>
      <c r="Y34" s="126">
        <f>+Y32/Y31</f>
        <v>1.9566417254027106</v>
      </c>
      <c r="Z34" s="126">
        <f>+Z32/Z31</f>
        <v>1.8854447291956986</v>
      </c>
    </row>
    <row r="35" spans="2:26" x14ac:dyDescent="0.25">
      <c r="B35" s="22" t="s">
        <v>6</v>
      </c>
      <c r="C35" s="44">
        <f t="shared" ref="C35:H35" si="22">+C23/C$31</f>
        <v>0.12680415423823502</v>
      </c>
      <c r="D35" s="44">
        <f t="shared" si="22"/>
        <v>0.1039561363820265</v>
      </c>
      <c r="E35" s="44">
        <f t="shared" si="22"/>
        <v>8.2803993049640562E-2</v>
      </c>
      <c r="F35" s="44">
        <f t="shared" si="22"/>
        <v>8.8526508936325285E-2</v>
      </c>
      <c r="G35" s="44">
        <f t="shared" si="22"/>
        <v>8.8485919912967073E-2</v>
      </c>
      <c r="H35" s="44">
        <f t="shared" si="22"/>
        <v>9.6653591858384499E-2</v>
      </c>
      <c r="J35" s="3" t="s">
        <v>14</v>
      </c>
      <c r="K35" s="47"/>
      <c r="L35" s="11">
        <f t="shared" si="21"/>
        <v>0.11426797804031108</v>
      </c>
      <c r="M35" s="11">
        <f t="shared" si="21"/>
        <v>-2.2512421787135639E-2</v>
      </c>
      <c r="N35" s="11">
        <f t="shared" si="21"/>
        <v>0.21434359877676723</v>
      </c>
      <c r="O35" s="11">
        <f t="shared" si="21"/>
        <v>-0.12200044293929824</v>
      </c>
      <c r="P35" s="11">
        <f t="shared" si="21"/>
        <v>2.3101157981250564E-2</v>
      </c>
      <c r="Q35" s="11">
        <f t="shared" ref="Q35:Q48" si="23">AVERAGE(L35:P35)</f>
        <v>4.1439974014379002E-2</v>
      </c>
      <c r="R35" s="11">
        <f t="shared" ref="R35:R48" si="24">STDEV(L35:P35)</f>
        <v>0.12878137736355391</v>
      </c>
      <c r="S35" s="11">
        <f t="shared" ref="S35:S48" si="25">+R35/Q35</f>
        <v>3.1076606688717723</v>
      </c>
      <c r="U35" s="22" t="s">
        <v>122</v>
      </c>
      <c r="V35" s="107">
        <f>+(1+16%)^(0.25)-1</f>
        <v>3.7801985653766579E-2</v>
      </c>
      <c r="W35" s="107">
        <f>+(1+16%)^(0.25)-1</f>
        <v>3.7801985653766579E-2</v>
      </c>
      <c r="X35" s="107">
        <f>+(1+16%)^(0.25)-1</f>
        <v>3.7801985653766579E-2</v>
      </c>
      <c r="Y35" s="107">
        <f>+(1+16%)^(0.25)-1</f>
        <v>3.7801985653766579E-2</v>
      </c>
      <c r="Z35" s="107">
        <f>+(1+16%)^(0.25)-1</f>
        <v>3.7801985653766579E-2</v>
      </c>
    </row>
    <row r="36" spans="2:26" x14ac:dyDescent="0.25">
      <c r="B36" s="22" t="s">
        <v>139</v>
      </c>
      <c r="C36" s="44">
        <f t="shared" ref="C36:H36" si="26">+C24/C$31</f>
        <v>0.18666316597804436</v>
      </c>
      <c r="D36" s="44">
        <f t="shared" si="26"/>
        <v>0.22256235039457273</v>
      </c>
      <c r="E36" s="44">
        <f t="shared" si="26"/>
        <v>0.21992163810432352</v>
      </c>
      <c r="F36" s="44">
        <f t="shared" si="26"/>
        <v>0.22462891978184585</v>
      </c>
      <c r="G36" s="44">
        <f t="shared" si="26"/>
        <v>0.18987161248029905</v>
      </c>
      <c r="H36" s="44">
        <f t="shared" si="26"/>
        <v>0.21418434178228143</v>
      </c>
      <c r="J36" s="6" t="s">
        <v>15</v>
      </c>
      <c r="K36" s="48"/>
      <c r="L36" s="49">
        <f t="shared" si="21"/>
        <v>-6.3469572227786819E-2</v>
      </c>
      <c r="M36" s="49">
        <f t="shared" si="21"/>
        <v>-9.6778400939089293E-3</v>
      </c>
      <c r="N36" s="49">
        <f t="shared" si="21"/>
        <v>6.953297861131591E-2</v>
      </c>
      <c r="O36" s="49">
        <f t="shared" si="21"/>
        <v>1.3360834898255014E-3</v>
      </c>
      <c r="P36" s="49">
        <f t="shared" si="21"/>
        <v>-2.9625166018987681E-2</v>
      </c>
      <c r="Q36" s="11">
        <f t="shared" si="23"/>
        <v>-6.3807032479084036E-3</v>
      </c>
      <c r="R36" s="11">
        <f t="shared" si="24"/>
        <v>4.9073289611758907E-2</v>
      </c>
      <c r="S36" s="11">
        <f t="shared" si="25"/>
        <v>-7.6908904403045453</v>
      </c>
      <c r="U36" s="22" t="s">
        <v>123</v>
      </c>
      <c r="V36" s="107">
        <f>+V32-V35</f>
        <v>5.6381849537922732E-2</v>
      </c>
      <c r="W36" s="107">
        <f>+W32-W35</f>
        <v>3.4446742682392686E-2</v>
      </c>
      <c r="X36" s="107">
        <f>+X32-X35</f>
        <v>4.9587333429456593E-2</v>
      </c>
      <c r="Y36" s="107">
        <f>+Y32-Y35</f>
        <v>4.1412571329436265E-2</v>
      </c>
      <c r="Z36" s="77">
        <f>+Z32-Z35</f>
        <v>4.0166213047393484E-2</v>
      </c>
    </row>
    <row r="37" spans="2:26" x14ac:dyDescent="0.25">
      <c r="B37" s="24" t="s">
        <v>8</v>
      </c>
      <c r="C37" s="45">
        <f t="shared" ref="C37:H37" si="27">+C25/C$31</f>
        <v>0.36837930619246811</v>
      </c>
      <c r="D37" s="45">
        <f t="shared" si="27"/>
        <v>0.34177562861346611</v>
      </c>
      <c r="E37" s="45">
        <f t="shared" si="27"/>
        <v>0.38149603079963201</v>
      </c>
      <c r="F37" s="45">
        <f t="shared" si="27"/>
        <v>0.36885220198963492</v>
      </c>
      <c r="G37" s="45">
        <f t="shared" si="27"/>
        <v>0.39062652551710669</v>
      </c>
      <c r="H37" s="45">
        <f t="shared" si="27"/>
        <v>0.36910732928868156</v>
      </c>
      <c r="J37" s="8" t="s">
        <v>16</v>
      </c>
      <c r="K37" s="48"/>
      <c r="L37" s="49">
        <f t="shared" si="21"/>
        <v>-1.3317249698431843E-2</v>
      </c>
      <c r="M37" s="49">
        <f t="shared" si="21"/>
        <v>0.14711395830276941</v>
      </c>
      <c r="N37" s="49">
        <f t="shared" si="21"/>
        <v>4.668049792531126E-2</v>
      </c>
      <c r="O37" s="49">
        <f t="shared" si="21"/>
        <v>-7.4670431866624698E-3</v>
      </c>
      <c r="P37" s="49">
        <f t="shared" si="21"/>
        <v>-5.111685611500949E-2</v>
      </c>
      <c r="Q37" s="11">
        <f t="shared" si="23"/>
        <v>2.4378661445595372E-2</v>
      </c>
      <c r="R37" s="11">
        <f t="shared" si="24"/>
        <v>7.6967572388041486E-2</v>
      </c>
      <c r="S37" s="11">
        <f t="shared" si="25"/>
        <v>3.1571697469857454</v>
      </c>
      <c r="U37" s="127" t="s">
        <v>124</v>
      </c>
      <c r="V37" s="128">
        <f>+V36*V7</f>
        <v>47332.365350612752</v>
      </c>
      <c r="W37" s="128">
        <f>+W36*W7</f>
        <v>31002.137307638783</v>
      </c>
      <c r="X37" s="128">
        <f>+X36*X7</f>
        <v>46865.75742784758</v>
      </c>
      <c r="Y37" s="128">
        <f>+Y36*Y7</f>
        <v>39604.995416049031</v>
      </c>
      <c r="Z37" s="128">
        <f>+Z36*Z7</f>
        <v>39314.548749043075</v>
      </c>
    </row>
    <row r="38" spans="2:26" x14ac:dyDescent="0.25">
      <c r="B38" s="22" t="s">
        <v>9</v>
      </c>
      <c r="C38" s="44">
        <f t="shared" ref="C38:H38" si="28">+C26/C$31</f>
        <v>0.35944346947195532</v>
      </c>
      <c r="D38" s="44">
        <f t="shared" si="28"/>
        <v>0.33354759128851469</v>
      </c>
      <c r="E38" s="44">
        <f t="shared" si="28"/>
        <v>0.37428775850907975</v>
      </c>
      <c r="F38" s="44">
        <f t="shared" si="28"/>
        <v>0.36124856045400039</v>
      </c>
      <c r="G38" s="44">
        <f t="shared" si="28"/>
        <v>0.38467927528348467</v>
      </c>
      <c r="H38" s="44">
        <f t="shared" si="28"/>
        <v>0.36244200216294598</v>
      </c>
      <c r="J38" s="3" t="s">
        <v>17</v>
      </c>
      <c r="K38" s="47"/>
      <c r="L38" s="11">
        <f t="shared" si="21"/>
        <v>0.20231563050591483</v>
      </c>
      <c r="M38" s="11">
        <f t="shared" si="21"/>
        <v>-0.22680455535086252</v>
      </c>
      <c r="N38" s="11">
        <f t="shared" si="21"/>
        <v>3.4764715438349469E-2</v>
      </c>
      <c r="O38" s="11">
        <f t="shared" si="21"/>
        <v>0.17261499816840242</v>
      </c>
      <c r="P38" s="11">
        <f t="shared" si="21"/>
        <v>-0.17889099631819705</v>
      </c>
      <c r="Q38" s="11">
        <f t="shared" si="23"/>
        <v>7.9995848872143065E-4</v>
      </c>
      <c r="R38" s="11">
        <f t="shared" si="24"/>
        <v>0.19708832575960333</v>
      </c>
      <c r="S38" s="11">
        <f t="shared" si="25"/>
        <v>246.37319128222333</v>
      </c>
      <c r="U38" s="22" t="s">
        <v>143</v>
      </c>
      <c r="V38" s="107">
        <f>V35*(V7/V8)-V27*(V6/V8)</f>
        <v>2.4902345505388907E-2</v>
      </c>
      <c r="W38" s="107">
        <f t="shared" ref="W38:Z38" si="29">W35*(W7/W8)-W27*(W6/W8)</f>
        <v>2.5535679977658644E-2</v>
      </c>
      <c r="X38" s="107">
        <f t="shared" si="29"/>
        <v>2.288647358227805E-2</v>
      </c>
      <c r="Y38" s="107">
        <f t="shared" si="29"/>
        <v>2.3385551003751455E-2</v>
      </c>
      <c r="Z38" s="77">
        <f t="shared" si="29"/>
        <v>2.4837011681860758E-2</v>
      </c>
    </row>
    <row r="39" spans="2:26" x14ac:dyDescent="0.25">
      <c r="B39" s="22" t="s">
        <v>54</v>
      </c>
      <c r="C39" s="44">
        <f t="shared" ref="C39:H39" si="30">+C27/C$31</f>
        <v>8.9358367205127857E-3</v>
      </c>
      <c r="D39" s="44">
        <f t="shared" si="30"/>
        <v>8.2280373249514413E-3</v>
      </c>
      <c r="E39" s="44">
        <f t="shared" si="30"/>
        <v>7.208272290552281E-3</v>
      </c>
      <c r="F39" s="44">
        <f t="shared" si="30"/>
        <v>7.6036415356345605E-3</v>
      </c>
      <c r="G39" s="44">
        <f t="shared" si="30"/>
        <v>5.9472502336220482E-3</v>
      </c>
      <c r="H39" s="44">
        <f t="shared" si="30"/>
        <v>6.6653271257355968E-3</v>
      </c>
      <c r="J39" s="3" t="s">
        <v>18</v>
      </c>
      <c r="K39" s="47"/>
      <c r="L39" s="11">
        <f t="shared" si="21"/>
        <v>-0.39501002450434397</v>
      </c>
      <c r="M39" s="11">
        <f t="shared" si="21"/>
        <v>1.4624788276014433</v>
      </c>
      <c r="N39" s="11">
        <f t="shared" si="21"/>
        <v>5.9842095819127916E-2</v>
      </c>
      <c r="O39" s="11">
        <f t="shared" si="21"/>
        <v>-0.20167047602923338</v>
      </c>
      <c r="P39" s="11">
        <f t="shared" si="21"/>
        <v>0.15127951364343284</v>
      </c>
      <c r="Q39" s="11">
        <f t="shared" si="23"/>
        <v>0.21538398730608535</v>
      </c>
      <c r="R39" s="11">
        <f t="shared" si="24"/>
        <v>0.72973684970750796</v>
      </c>
      <c r="S39" s="11">
        <f t="shared" si="25"/>
        <v>3.3880738249611295</v>
      </c>
      <c r="U39" s="26" t="s">
        <v>142</v>
      </c>
      <c r="V39" s="25">
        <f>(V25-V38)*V5</f>
        <v>47332.365350612745</v>
      </c>
      <c r="W39" s="25">
        <f t="shared" ref="W39:Z39" si="31">(W25-W38)*W5</f>
        <v>31002.13730763879</v>
      </c>
      <c r="X39" s="25">
        <f t="shared" si="31"/>
        <v>46865.757427847595</v>
      </c>
      <c r="Y39" s="25">
        <f t="shared" si="31"/>
        <v>39604.995416049016</v>
      </c>
      <c r="Z39" s="25">
        <f t="shared" si="31"/>
        <v>39314.548749043068</v>
      </c>
    </row>
    <row r="40" spans="2:26" x14ac:dyDescent="0.25">
      <c r="B40" s="24" t="s">
        <v>10</v>
      </c>
      <c r="C40" s="45">
        <f t="shared" ref="C40:H40" si="32">+C28/C$31</f>
        <v>0.31815337359125251</v>
      </c>
      <c r="D40" s="45">
        <f t="shared" si="32"/>
        <v>0.33170588460993466</v>
      </c>
      <c r="E40" s="45">
        <f t="shared" si="32"/>
        <v>0.31577833804640387</v>
      </c>
      <c r="F40" s="45">
        <f t="shared" si="32"/>
        <v>0.31799236929219393</v>
      </c>
      <c r="G40" s="45">
        <f t="shared" si="32"/>
        <v>0.3310159420896272</v>
      </c>
      <c r="H40" s="45">
        <f t="shared" si="32"/>
        <v>0.32005473707065252</v>
      </c>
      <c r="J40" s="2" t="s">
        <v>63</v>
      </c>
      <c r="K40" s="48"/>
      <c r="L40" s="49">
        <f t="shared" ref="L40:P48" si="33">L10/K10-1</f>
        <v>-9.4173715253502932E-2</v>
      </c>
      <c r="M40" s="49">
        <f t="shared" si="33"/>
        <v>-0.11423695281162694</v>
      </c>
      <c r="N40" s="49">
        <f t="shared" si="33"/>
        <v>8.9269058956359615E-2</v>
      </c>
      <c r="O40" s="49">
        <f t="shared" si="33"/>
        <v>8.6414745713061514E-3</v>
      </c>
      <c r="P40" s="49">
        <f t="shared" si="33"/>
        <v>-1.2074839430326723E-2</v>
      </c>
      <c r="Q40" s="11">
        <f t="shared" si="23"/>
        <v>-2.4514994793558165E-2</v>
      </c>
      <c r="R40" s="11">
        <f t="shared" si="24"/>
        <v>8.2315379639350386E-2</v>
      </c>
      <c r="S40" s="11">
        <f t="shared" si="25"/>
        <v>-3.3577563582016543</v>
      </c>
      <c r="U40" s="1" t="s">
        <v>132</v>
      </c>
      <c r="V40" s="1" t="s">
        <v>58</v>
      </c>
      <c r="W40" s="1" t="s">
        <v>59</v>
      </c>
      <c r="X40" s="1" t="s">
        <v>60</v>
      </c>
      <c r="Y40" s="1" t="s">
        <v>61</v>
      </c>
      <c r="Z40" s="1" t="s">
        <v>62</v>
      </c>
    </row>
    <row r="41" spans="2:26" x14ac:dyDescent="0.25">
      <c r="B41" s="22" t="s">
        <v>11</v>
      </c>
      <c r="C41" s="44">
        <f t="shared" ref="C41:H41" si="34">+C29/C$31</f>
        <v>3.4210676968693182E-3</v>
      </c>
      <c r="D41" s="44">
        <f t="shared" si="34"/>
        <v>3.1766401085573642E-3</v>
      </c>
      <c r="E41" s="44">
        <f t="shared" si="34"/>
        <v>2.607747606555143E-3</v>
      </c>
      <c r="F41" s="44">
        <f t="shared" si="34"/>
        <v>2.4742532102412164E-3</v>
      </c>
      <c r="G41" s="44">
        <f t="shared" si="34"/>
        <v>2.6967655550441442E-3</v>
      </c>
      <c r="H41" s="44">
        <f t="shared" si="34"/>
        <v>2.3403875082411924E-3</v>
      </c>
      <c r="J41" s="2" t="s">
        <v>19</v>
      </c>
      <c r="K41" s="48"/>
      <c r="L41" s="49">
        <f t="shared" si="33"/>
        <v>3.7878727236341803</v>
      </c>
      <c r="M41" s="49">
        <f t="shared" si="33"/>
        <v>-0.13918495297805644</v>
      </c>
      <c r="N41" s="49">
        <f t="shared" si="33"/>
        <v>0.39101723719349346</v>
      </c>
      <c r="O41" s="49">
        <f t="shared" si="33"/>
        <v>-0.29862468584194357</v>
      </c>
      <c r="P41" s="49">
        <f t="shared" si="33"/>
        <v>0.22570049270890369</v>
      </c>
      <c r="Q41" s="11">
        <f t="shared" si="23"/>
        <v>0.79335616294331557</v>
      </c>
      <c r="R41" s="11">
        <f t="shared" si="24"/>
        <v>1.696562267526033</v>
      </c>
      <c r="S41" s="11">
        <f t="shared" si="25"/>
        <v>2.1384623284854354</v>
      </c>
      <c r="U41" s="80" t="s">
        <v>110</v>
      </c>
      <c r="V41" s="81">
        <f>+V22/V26</f>
        <v>0.64625901753799697</v>
      </c>
      <c r="W41" s="81">
        <f>+W22/W26</f>
        <v>0.59930695159847669</v>
      </c>
      <c r="X41" s="81">
        <f>+X22/X26</f>
        <v>0.64043013036410967</v>
      </c>
      <c r="Y41" s="81">
        <f>+Y22/Y26</f>
        <v>0.66647975487182853</v>
      </c>
      <c r="Z41" s="81">
        <f>+Z22/Z26</f>
        <v>0.61013836794377441</v>
      </c>
    </row>
    <row r="42" spans="2:26" x14ac:dyDescent="0.25">
      <c r="B42" s="22" t="s">
        <v>12</v>
      </c>
      <c r="C42" s="44">
        <f t="shared" ref="C42:H42" si="35">+C30/C$31</f>
        <v>0.31473230589438317</v>
      </c>
      <c r="D42" s="44">
        <f t="shared" si="35"/>
        <v>0.32852924450137727</v>
      </c>
      <c r="E42" s="44">
        <f t="shared" si="35"/>
        <v>0.31317059043984874</v>
      </c>
      <c r="F42" s="44">
        <f t="shared" si="35"/>
        <v>0.31551811608195268</v>
      </c>
      <c r="G42" s="44">
        <f t="shared" si="35"/>
        <v>0.32831917653458303</v>
      </c>
      <c r="H42" s="44">
        <f t="shared" si="35"/>
        <v>0.31771434956241135</v>
      </c>
      <c r="J42" s="12" t="s">
        <v>20</v>
      </c>
      <c r="K42" s="47"/>
      <c r="L42" s="50">
        <f t="shared" si="33"/>
        <v>4.8553388746803039E-2</v>
      </c>
      <c r="M42" s="50">
        <f t="shared" si="33"/>
        <v>-7.183962803460453E-3</v>
      </c>
      <c r="N42" s="50">
        <f t="shared" si="33"/>
        <v>3.9826490854302232E-2</v>
      </c>
      <c r="O42" s="50">
        <f t="shared" si="33"/>
        <v>-0.12535070880094512</v>
      </c>
      <c r="P42" s="50">
        <f t="shared" si="33"/>
        <v>0.22711828637754561</v>
      </c>
      <c r="Q42" s="11">
        <f t="shared" si="23"/>
        <v>3.6592698874849061E-2</v>
      </c>
      <c r="R42" s="11">
        <f t="shared" si="24"/>
        <v>0.12707830106215298</v>
      </c>
      <c r="S42" s="11">
        <f t="shared" si="25"/>
        <v>3.4727774930396458</v>
      </c>
      <c r="U42" s="79" t="s">
        <v>115</v>
      </c>
      <c r="V42" s="44">
        <f>V24/V26</f>
        <v>0.35374098246200314</v>
      </c>
      <c r="W42" s="44">
        <f>W24/W26</f>
        <v>0.40069304840152342</v>
      </c>
      <c r="X42" s="44">
        <f>X24/X26</f>
        <v>0.35956986963589038</v>
      </c>
      <c r="Y42" s="44">
        <f>Y24/Y26</f>
        <v>0.33352024512817141</v>
      </c>
      <c r="Z42" s="44">
        <f>Z24/Z26</f>
        <v>0.38986163205622565</v>
      </c>
    </row>
    <row r="43" spans="2:26" x14ac:dyDescent="0.25">
      <c r="B43" s="31" t="s">
        <v>56</v>
      </c>
      <c r="C43" s="46">
        <f t="shared" ref="C43:H43" si="36">+C31/C$31</f>
        <v>1</v>
      </c>
      <c r="D43" s="46">
        <f t="shared" si="36"/>
        <v>1</v>
      </c>
      <c r="E43" s="46">
        <f t="shared" si="36"/>
        <v>1</v>
      </c>
      <c r="F43" s="46">
        <f t="shared" si="36"/>
        <v>1</v>
      </c>
      <c r="G43" s="46">
        <f t="shared" si="36"/>
        <v>1</v>
      </c>
      <c r="H43" s="46">
        <f t="shared" si="36"/>
        <v>1</v>
      </c>
      <c r="J43" s="12" t="s">
        <v>21</v>
      </c>
      <c r="K43" s="47"/>
      <c r="L43" s="50">
        <f t="shared" si="33"/>
        <v>-0.36620718740982439</v>
      </c>
      <c r="M43" s="50">
        <f>M13/L13-1</f>
        <v>0.10342170700101572</v>
      </c>
      <c r="N43" s="50">
        <f t="shared" si="33"/>
        <v>-0.18974163651367992</v>
      </c>
      <c r="O43" s="50">
        <f t="shared" si="33"/>
        <v>6.9100595424631761E-2</v>
      </c>
      <c r="P43" s="50">
        <f t="shared" si="33"/>
        <v>0.22816209878352622</v>
      </c>
      <c r="Q43" s="11">
        <f t="shared" si="23"/>
        <v>-3.1052884542866123E-2</v>
      </c>
      <c r="R43" s="11">
        <f t="shared" si="24"/>
        <v>0.24125560596268378</v>
      </c>
      <c r="S43" s="11">
        <f t="shared" si="25"/>
        <v>-7.7691850375332745</v>
      </c>
      <c r="U43" s="82" t="s">
        <v>116</v>
      </c>
      <c r="V43" s="69">
        <f>+V26/V26</f>
        <v>1</v>
      </c>
      <c r="W43" s="69">
        <f>+W26/W26</f>
        <v>1</v>
      </c>
      <c r="X43" s="69">
        <f>+X26/X26</f>
        <v>1</v>
      </c>
      <c r="Y43" s="69">
        <f>+Y26/Y26</f>
        <v>1</v>
      </c>
      <c r="Z43" s="69">
        <f>+Z26/Z26</f>
        <v>1</v>
      </c>
    </row>
    <row r="44" spans="2:26" x14ac:dyDescent="0.25">
      <c r="J44" s="2" t="s">
        <v>22</v>
      </c>
      <c r="K44" s="48"/>
      <c r="L44" s="49">
        <f t="shared" si="33"/>
        <v>8.7880323591793763E-2</v>
      </c>
      <c r="M44" s="49">
        <f t="shared" si="33"/>
        <v>-0.11938611777290842</v>
      </c>
      <c r="N44" s="49">
        <f t="shared" si="33"/>
        <v>0.15014841446330784</v>
      </c>
      <c r="O44" s="49">
        <f t="shared" si="33"/>
        <v>-6.633391819838852E-2</v>
      </c>
      <c r="P44" s="49">
        <f t="shared" si="33"/>
        <v>3.1509423634804579E-2</v>
      </c>
      <c r="Q44" s="11">
        <f t="shared" si="23"/>
        <v>1.6763625143721851E-2</v>
      </c>
      <c r="R44" s="11">
        <f t="shared" si="24"/>
        <v>0.11012320327578833</v>
      </c>
      <c r="S44" s="11">
        <f t="shared" si="25"/>
        <v>6.5691759587591703</v>
      </c>
    </row>
    <row r="45" spans="2:26" x14ac:dyDescent="0.25">
      <c r="B45" s="57" t="s">
        <v>126</v>
      </c>
      <c r="C45" s="57">
        <v>40268</v>
      </c>
      <c r="D45" s="57">
        <v>40359</v>
      </c>
      <c r="E45" s="57">
        <v>40451</v>
      </c>
      <c r="F45" s="57">
        <v>40543</v>
      </c>
      <c r="G45" s="57">
        <v>40633</v>
      </c>
      <c r="H45" s="57">
        <v>40724</v>
      </c>
      <c r="J45" s="2" t="s">
        <v>64</v>
      </c>
      <c r="K45" s="48"/>
      <c r="L45" s="49">
        <f t="shared" si="33"/>
        <v>-1.6887205207555267E-2</v>
      </c>
      <c r="M45" s="49">
        <f t="shared" si="33"/>
        <v>5.5358063553228032E-3</v>
      </c>
      <c r="N45" s="49">
        <f t="shared" si="33"/>
        <v>-6.0504655242207495E-2</v>
      </c>
      <c r="O45" s="49">
        <f t="shared" si="33"/>
        <v>-2.7346106339585785E-2</v>
      </c>
      <c r="P45" s="49">
        <f t="shared" si="33"/>
        <v>8.552612149670713E-2</v>
      </c>
      <c r="Q45" s="11">
        <f t="shared" si="23"/>
        <v>-2.7352077874637226E-3</v>
      </c>
      <c r="R45" s="11">
        <f t="shared" si="24"/>
        <v>5.4776263882512409E-2</v>
      </c>
      <c r="S45" s="11">
        <f t="shared" si="25"/>
        <v>-20.026362945282788</v>
      </c>
      <c r="U45" s="130" t="s">
        <v>155</v>
      </c>
      <c r="V45" s="130"/>
      <c r="W45" s="130"/>
      <c r="X45" s="130"/>
      <c r="Y45" s="130"/>
      <c r="Z45" s="130"/>
    </row>
    <row r="46" spans="2:26" x14ac:dyDescent="0.25">
      <c r="B46" s="51" t="s">
        <v>78</v>
      </c>
      <c r="C46" s="21">
        <f>+C4</f>
        <v>504018</v>
      </c>
      <c r="D46" s="21">
        <f t="shared" ref="D46:H46" si="37">+D4</f>
        <v>562468</v>
      </c>
      <c r="E46" s="21">
        <f t="shared" si="37"/>
        <v>607328</v>
      </c>
      <c r="F46" s="21">
        <f t="shared" si="37"/>
        <v>672123</v>
      </c>
      <c r="G46" s="21">
        <f t="shared" si="37"/>
        <v>568173</v>
      </c>
      <c r="H46" s="21">
        <f t="shared" si="37"/>
        <v>673300</v>
      </c>
      <c r="J46" s="3" t="s">
        <v>65</v>
      </c>
      <c r="K46" s="47"/>
      <c r="L46" s="11">
        <f t="shared" si="33"/>
        <v>0.19266604914727847</v>
      </c>
      <c r="M46" s="11">
        <f t="shared" si="33"/>
        <v>-0.21200146192151303</v>
      </c>
      <c r="N46" s="11">
        <f t="shared" si="33"/>
        <v>-0.45493811056033862</v>
      </c>
      <c r="O46" s="11">
        <f t="shared" si="33"/>
        <v>1.3986066053289368</v>
      </c>
      <c r="P46" s="11">
        <f t="shared" si="33"/>
        <v>-6.4965300104210533E-2</v>
      </c>
      <c r="Q46" s="11">
        <f t="shared" si="23"/>
        <v>0.17187355637803062</v>
      </c>
      <c r="R46" s="11">
        <f t="shared" si="24"/>
        <v>0.7248537508643198</v>
      </c>
      <c r="S46" s="11">
        <f t="shared" si="25"/>
        <v>4.2173663368553695</v>
      </c>
      <c r="U46" s="102" t="s">
        <v>144</v>
      </c>
      <c r="V46" s="103">
        <f>V33</f>
        <v>9.4183835191689311E-2</v>
      </c>
      <c r="W46" s="103">
        <f t="shared" ref="W46:Z46" si="38">W33</f>
        <v>7.2248728336159265E-2</v>
      </c>
      <c r="X46" s="103">
        <f t="shared" si="38"/>
        <v>8.7389319083223158E-2</v>
      </c>
      <c r="Y46" s="103">
        <f t="shared" si="38"/>
        <v>7.9214556983202844E-2</v>
      </c>
      <c r="Z46" s="103">
        <f t="shared" si="38"/>
        <v>7.7968198701160049E-2</v>
      </c>
    </row>
    <row r="47" spans="2:26" x14ac:dyDescent="0.25">
      <c r="B47" s="51" t="s">
        <v>79</v>
      </c>
      <c r="C47" s="120">
        <f t="shared" ref="C47:H47" si="39">+C51-C46</f>
        <v>1533397</v>
      </c>
      <c r="D47" s="21">
        <f t="shared" si="39"/>
        <v>1462354</v>
      </c>
      <c r="E47" s="21">
        <f t="shared" si="39"/>
        <v>1661123</v>
      </c>
      <c r="F47" s="21">
        <f t="shared" si="39"/>
        <v>1653906</v>
      </c>
      <c r="G47" s="21">
        <f t="shared" si="39"/>
        <v>1738122</v>
      </c>
      <c r="H47" s="21">
        <f t="shared" si="39"/>
        <v>1781283</v>
      </c>
      <c r="J47" s="3" t="s">
        <v>23</v>
      </c>
      <c r="K47" s="47"/>
      <c r="L47" s="11">
        <f t="shared" si="33"/>
        <v>-9.9035989717223654</v>
      </c>
      <c r="M47" s="11">
        <f t="shared" si="33"/>
        <v>-1.3692796304316444</v>
      </c>
      <c r="N47" s="11">
        <f t="shared" si="33"/>
        <v>5.2587959343236905</v>
      </c>
      <c r="O47" s="11">
        <f t="shared" si="33"/>
        <v>-1.7020612117426608</v>
      </c>
      <c r="P47" s="11">
        <f t="shared" si="33"/>
        <v>-0.51832740213523132</v>
      </c>
      <c r="Q47" s="11">
        <f t="shared" si="23"/>
        <v>-1.646894256341642</v>
      </c>
      <c r="R47" s="11">
        <f t="shared" si="24"/>
        <v>5.4133055101375538</v>
      </c>
      <c r="S47" s="11">
        <f t="shared" si="25"/>
        <v>-3.286978195043619</v>
      </c>
      <c r="U47" s="102" t="s">
        <v>149</v>
      </c>
      <c r="V47" s="103">
        <f>V31</f>
        <v>4.8205941701579699E-2</v>
      </c>
      <c r="W47" s="103">
        <f t="shared" ref="W47:Z47" si="40">W31</f>
        <v>3.9977872359852271E-2</v>
      </c>
      <c r="X47" s="103">
        <f t="shared" si="40"/>
        <v>4.328737093207502E-2</v>
      </c>
      <c r="Y47" s="103">
        <f t="shared" si="40"/>
        <v>4.0484957442527766E-2</v>
      </c>
      <c r="Z47" s="103">
        <f t="shared" si="40"/>
        <v>4.1352683265565723E-2</v>
      </c>
    </row>
    <row r="48" spans="2:26" x14ac:dyDescent="0.25">
      <c r="B48" s="52" t="s">
        <v>80</v>
      </c>
      <c r="C48" s="53">
        <f t="shared" ref="C48:H48" si="41">SUM(C46:C47)</f>
        <v>2037415</v>
      </c>
      <c r="D48" s="53">
        <f t="shared" si="41"/>
        <v>2024822</v>
      </c>
      <c r="E48" s="53">
        <f t="shared" si="41"/>
        <v>2268451</v>
      </c>
      <c r="F48" s="53">
        <f t="shared" si="41"/>
        <v>2326029</v>
      </c>
      <c r="G48" s="53">
        <f t="shared" si="41"/>
        <v>2306295</v>
      </c>
      <c r="H48" s="53">
        <f t="shared" si="41"/>
        <v>2454583</v>
      </c>
      <c r="J48" s="64" t="s">
        <v>66</v>
      </c>
      <c r="K48" s="65"/>
      <c r="L48" s="66">
        <f t="shared" si="33"/>
        <v>0.144737223106993</v>
      </c>
      <c r="M48" s="66">
        <f t="shared" si="33"/>
        <v>-0.17760886336904147</v>
      </c>
      <c r="N48" s="66">
        <f t="shared" si="33"/>
        <v>0.27019254429133865</v>
      </c>
      <c r="O48" s="66">
        <f t="shared" si="33"/>
        <v>-8.2767304735268166E-2</v>
      </c>
      <c r="P48" s="66">
        <f t="shared" si="33"/>
        <v>7.3656559789854192E-3</v>
      </c>
      <c r="Q48" s="60">
        <f t="shared" si="23"/>
        <v>3.2383851054601488E-2</v>
      </c>
      <c r="R48" s="60">
        <f t="shared" si="24"/>
        <v>0.17829672856372167</v>
      </c>
      <c r="S48" s="60">
        <f t="shared" si="25"/>
        <v>5.5057296386121788</v>
      </c>
      <c r="U48" s="102" t="s">
        <v>145</v>
      </c>
      <c r="V48" s="102">
        <f>V31*V7</f>
        <v>40468.719337680202</v>
      </c>
      <c r="W48" s="102">
        <f t="shared" ref="W48:Z48" si="42">W31*W7</f>
        <v>35980.165079611761</v>
      </c>
      <c r="X48" s="102">
        <f t="shared" si="42"/>
        <v>40911.565222153549</v>
      </c>
      <c r="Y48" s="102">
        <f t="shared" si="42"/>
        <v>38717.870020076312</v>
      </c>
      <c r="Z48" s="102">
        <f t="shared" si="42"/>
        <v>40475.8616459443</v>
      </c>
    </row>
    <row r="49" spans="2:26" x14ac:dyDescent="0.25">
      <c r="B49" s="51" t="s">
        <v>76</v>
      </c>
      <c r="C49" s="21">
        <f>+C23+C26</f>
        <v>1231585</v>
      </c>
      <c r="D49" s="21">
        <f t="shared" ref="D49:H49" si="43">+D23+D26</f>
        <v>1151659</v>
      </c>
      <c r="E49" s="21">
        <f t="shared" si="43"/>
        <v>1341610</v>
      </c>
      <c r="F49" s="21">
        <f t="shared" si="43"/>
        <v>1362639</v>
      </c>
      <c r="G49" s="21">
        <f t="shared" si="43"/>
        <v>1356981</v>
      </c>
      <c r="H49" s="21">
        <f t="shared" si="43"/>
        <v>1446304</v>
      </c>
      <c r="U49" s="104" t="s">
        <v>147</v>
      </c>
      <c r="V49" s="102">
        <f>L18</f>
        <v>79067</v>
      </c>
      <c r="W49" s="102">
        <f t="shared" ref="W49:Z49" si="44">M18</f>
        <v>65024</v>
      </c>
      <c r="X49" s="102">
        <f t="shared" si="44"/>
        <v>82593</v>
      </c>
      <c r="Y49" s="102">
        <f t="shared" si="44"/>
        <v>75757</v>
      </c>
      <c r="Z49" s="102">
        <f t="shared" si="44"/>
        <v>76315</v>
      </c>
    </row>
    <row r="50" spans="2:26" x14ac:dyDescent="0.25">
      <c r="B50" s="51" t="s">
        <v>70</v>
      </c>
      <c r="C50" s="21">
        <f t="shared" ref="C50:H50" si="45">+C28</f>
        <v>805830</v>
      </c>
      <c r="D50" s="21">
        <f t="shared" si="45"/>
        <v>873163</v>
      </c>
      <c r="E50" s="21">
        <f t="shared" si="45"/>
        <v>926841</v>
      </c>
      <c r="F50" s="21">
        <f t="shared" si="45"/>
        <v>963390</v>
      </c>
      <c r="G50" s="21">
        <f t="shared" si="45"/>
        <v>949314</v>
      </c>
      <c r="H50" s="21">
        <f t="shared" si="45"/>
        <v>1008279</v>
      </c>
      <c r="J50" s="4" t="s">
        <v>104</v>
      </c>
      <c r="K50" s="1" t="s">
        <v>57</v>
      </c>
      <c r="L50" s="1" t="s">
        <v>58</v>
      </c>
      <c r="M50" s="1" t="s">
        <v>59</v>
      </c>
      <c r="N50" s="1" t="s">
        <v>60</v>
      </c>
      <c r="O50" s="1" t="s">
        <v>61</v>
      </c>
      <c r="P50" s="1" t="s">
        <v>62</v>
      </c>
      <c r="U50" s="102" t="s">
        <v>146</v>
      </c>
      <c r="V50" s="102">
        <f>V49-V48</f>
        <v>38598.280662319798</v>
      </c>
      <c r="W50" s="102">
        <f t="shared" ref="W50:Z50" si="46">W49-W48</f>
        <v>29043.834920388239</v>
      </c>
      <c r="X50" s="102">
        <f t="shared" si="46"/>
        <v>41681.434777846451</v>
      </c>
      <c r="Y50" s="102">
        <f t="shared" si="46"/>
        <v>37039.129979923688</v>
      </c>
      <c r="Z50" s="102">
        <f t="shared" si="46"/>
        <v>35839.1383540557</v>
      </c>
    </row>
    <row r="51" spans="2:26" x14ac:dyDescent="0.25">
      <c r="B51" s="32" t="s">
        <v>80</v>
      </c>
      <c r="C51" s="53">
        <f t="shared" ref="C51:H51" si="47">SUM(C49:C50)</f>
        <v>2037415</v>
      </c>
      <c r="D51" s="53">
        <f t="shared" si="47"/>
        <v>2024822</v>
      </c>
      <c r="E51" s="53">
        <f t="shared" si="47"/>
        <v>2268451</v>
      </c>
      <c r="F51" s="53">
        <f t="shared" si="47"/>
        <v>2326029</v>
      </c>
      <c r="G51" s="53">
        <f t="shared" si="47"/>
        <v>2306295</v>
      </c>
      <c r="H51" s="53">
        <f t="shared" si="47"/>
        <v>2454583</v>
      </c>
      <c r="J51" s="3" t="s">
        <v>13</v>
      </c>
      <c r="K51" s="11">
        <f t="shared" ref="K51:P51" si="48">+K3/$K3</f>
        <v>1</v>
      </c>
      <c r="L51" s="11">
        <f t="shared" si="48"/>
        <v>1.0714228926624874</v>
      </c>
      <c r="M51" s="11">
        <f t="shared" si="48"/>
        <v>1.0502000818583614</v>
      </c>
      <c r="N51" s="11">
        <f t="shared" si="48"/>
        <v>1.2429279381409908</v>
      </c>
      <c r="O51" s="11">
        <f t="shared" si="48"/>
        <v>1.1207823068157392</v>
      </c>
      <c r="P51" s="11">
        <f t="shared" si="48"/>
        <v>1.1340489560114366</v>
      </c>
      <c r="U51" s="102" t="s">
        <v>148</v>
      </c>
      <c r="V51" s="103">
        <f>V50/V7</f>
        <v>4.5977893490109605E-2</v>
      </c>
      <c r="W51" s="103">
        <f t="shared" ref="W51:Z51" si="49">W50/W7</f>
        <v>3.2270855976306988E-2</v>
      </c>
      <c r="X51" s="103">
        <f t="shared" si="49"/>
        <v>4.4101948151148138E-2</v>
      </c>
      <c r="Y51" s="103">
        <f t="shared" si="49"/>
        <v>3.8729599540675071E-2</v>
      </c>
      <c r="Z51" s="103">
        <f t="shared" si="49"/>
        <v>3.6615515435594326E-2</v>
      </c>
    </row>
    <row r="52" spans="2:26" x14ac:dyDescent="0.25">
      <c r="B52" s="57" t="s">
        <v>126</v>
      </c>
      <c r="C52" s="57">
        <v>40268</v>
      </c>
      <c r="D52" s="57">
        <v>40359</v>
      </c>
      <c r="E52" s="57">
        <v>40451</v>
      </c>
      <c r="F52" s="57">
        <v>40543</v>
      </c>
      <c r="G52" s="57">
        <v>40633</v>
      </c>
      <c r="H52" s="57">
        <v>40724</v>
      </c>
      <c r="J52" s="3" t="s">
        <v>14</v>
      </c>
      <c r="K52" s="11">
        <f t="shared" ref="K52:P52" si="50">+K4/$K4</f>
        <v>1</v>
      </c>
      <c r="L52" s="11">
        <f t="shared" si="50"/>
        <v>1.1142679780403111</v>
      </c>
      <c r="M52" s="11">
        <f t="shared" si="50"/>
        <v>1.0891831073347689</v>
      </c>
      <c r="N52" s="11">
        <f t="shared" si="50"/>
        <v>1.322642534287765</v>
      </c>
      <c r="O52" s="11">
        <f t="shared" si="50"/>
        <v>1.1612795592543017</v>
      </c>
      <c r="P52" s="11">
        <f t="shared" si="50"/>
        <v>1.1881064618130324</v>
      </c>
      <c r="U52" s="102" t="s">
        <v>144</v>
      </c>
      <c r="V52" s="103">
        <f>V51+V47</f>
        <v>9.4183835191689297E-2</v>
      </c>
      <c r="W52" s="103">
        <f t="shared" ref="W52:Z52" si="51">W51+W47</f>
        <v>7.2248728336159251E-2</v>
      </c>
      <c r="X52" s="103">
        <f t="shared" si="51"/>
        <v>8.7389319083223158E-2</v>
      </c>
      <c r="Y52" s="103">
        <f t="shared" si="51"/>
        <v>7.9214556983202844E-2</v>
      </c>
      <c r="Z52" s="103">
        <f t="shared" si="51"/>
        <v>7.7968198701160049E-2</v>
      </c>
    </row>
    <row r="53" spans="2:26" x14ac:dyDescent="0.25">
      <c r="B53" s="51" t="s">
        <v>78</v>
      </c>
      <c r="C53" s="21">
        <f>+C4</f>
        <v>504018</v>
      </c>
      <c r="D53" s="21">
        <f t="shared" ref="D53:H53" si="52">+D4</f>
        <v>562468</v>
      </c>
      <c r="E53" s="21">
        <f t="shared" si="52"/>
        <v>607328</v>
      </c>
      <c r="F53" s="21">
        <f t="shared" si="52"/>
        <v>672123</v>
      </c>
      <c r="G53" s="21">
        <f t="shared" si="52"/>
        <v>568173</v>
      </c>
      <c r="H53" s="21">
        <f t="shared" si="52"/>
        <v>673300</v>
      </c>
      <c r="J53" s="6" t="s">
        <v>15</v>
      </c>
      <c r="K53" s="49">
        <f t="shared" ref="K53:P53" si="53">+K5/$K5</f>
        <v>1</v>
      </c>
      <c r="L53" s="49">
        <f t="shared" si="53"/>
        <v>0.93653042777221318</v>
      </c>
      <c r="M53" s="49">
        <f t="shared" si="53"/>
        <v>0.92746683604915348</v>
      </c>
      <c r="N53" s="49">
        <f t="shared" si="53"/>
        <v>0.99195636772286422</v>
      </c>
      <c r="O53" s="49">
        <f t="shared" si="53"/>
        <v>0.99328170424840589</v>
      </c>
      <c r="P53" s="49">
        <f t="shared" si="53"/>
        <v>0.96385556885642387</v>
      </c>
    </row>
    <row r="54" spans="2:26" x14ac:dyDescent="0.25">
      <c r="B54" s="51" t="s">
        <v>81</v>
      </c>
      <c r="C54" s="21">
        <f t="shared" ref="C54:H54" si="54">+C5-C24</f>
        <v>665118</v>
      </c>
      <c r="D54" s="21">
        <f t="shared" si="54"/>
        <v>591210</v>
      </c>
      <c r="E54" s="21">
        <f t="shared" si="54"/>
        <v>602512</v>
      </c>
      <c r="F54" s="21">
        <f t="shared" si="54"/>
        <v>637850</v>
      </c>
      <c r="G54" s="21">
        <f t="shared" si="54"/>
        <v>721728</v>
      </c>
      <c r="H54" s="21">
        <f t="shared" si="54"/>
        <v>680559</v>
      </c>
      <c r="J54" s="8" t="s">
        <v>16</v>
      </c>
      <c r="K54" s="49">
        <f t="shared" ref="K54:P54" si="55">+K6/$K6</f>
        <v>1</v>
      </c>
      <c r="L54" s="49">
        <f t="shared" si="55"/>
        <v>0.98668275030156816</v>
      </c>
      <c r="M54" s="49">
        <f t="shared" si="55"/>
        <v>1.1318375552874951</v>
      </c>
      <c r="N54" s="49">
        <f t="shared" si="55"/>
        <v>1.1846722959388822</v>
      </c>
      <c r="O54" s="49">
        <f t="shared" si="55"/>
        <v>1.1758262967430639</v>
      </c>
      <c r="P54" s="49">
        <f t="shared" si="55"/>
        <v>1.1157217531162043</v>
      </c>
    </row>
    <row r="55" spans="2:26" x14ac:dyDescent="0.25">
      <c r="B55" s="51" t="s">
        <v>82</v>
      </c>
      <c r="C55" s="21">
        <f>+C7+C8+C9-C27</f>
        <v>868279</v>
      </c>
      <c r="D55" s="21">
        <f t="shared" ref="D55:H55" si="56">+D7+D8+D9-D27</f>
        <v>871144</v>
      </c>
      <c r="E55" s="21">
        <f t="shared" si="56"/>
        <v>1058611</v>
      </c>
      <c r="F55" s="21">
        <f t="shared" si="56"/>
        <v>1016056</v>
      </c>
      <c r="G55" s="21">
        <f t="shared" si="56"/>
        <v>1016394</v>
      </c>
      <c r="H55" s="21">
        <f t="shared" si="56"/>
        <v>1100724</v>
      </c>
      <c r="J55" s="3" t="s">
        <v>17</v>
      </c>
      <c r="K55" s="11">
        <f t="shared" ref="K55:P55" si="57">+K7/$K7</f>
        <v>1</v>
      </c>
      <c r="L55" s="11">
        <f t="shared" si="57"/>
        <v>1.2023156305059148</v>
      </c>
      <c r="M55" s="11">
        <f t="shared" si="57"/>
        <v>0.92962496853762899</v>
      </c>
      <c r="N55" s="11">
        <f t="shared" si="57"/>
        <v>0.96194311603322424</v>
      </c>
      <c r="O55" s="11">
        <f t="shared" si="57"/>
        <v>1.1279889252454065</v>
      </c>
      <c r="P55" s="11">
        <f t="shared" si="57"/>
        <v>0.92620186257236348</v>
      </c>
    </row>
    <row r="56" spans="2:26" x14ac:dyDescent="0.25">
      <c r="B56" s="52" t="s">
        <v>80</v>
      </c>
      <c r="C56" s="53">
        <f t="shared" ref="C56:H56" si="58">+SUM(C53:C55)</f>
        <v>2037415</v>
      </c>
      <c r="D56" s="53">
        <f t="shared" si="58"/>
        <v>2024822</v>
      </c>
      <c r="E56" s="53">
        <f t="shared" si="58"/>
        <v>2268451</v>
      </c>
      <c r="F56" s="53">
        <f t="shared" si="58"/>
        <v>2326029</v>
      </c>
      <c r="G56" s="53">
        <f t="shared" si="58"/>
        <v>2306295</v>
      </c>
      <c r="H56" s="53">
        <f t="shared" si="58"/>
        <v>2454583</v>
      </c>
      <c r="J56" s="3" t="s">
        <v>18</v>
      </c>
      <c r="K56" s="11">
        <f t="shared" ref="K56:P56" si="59">+K8/$K8</f>
        <v>1</v>
      </c>
      <c r="L56" s="11">
        <f t="shared" si="59"/>
        <v>0.60498997549565603</v>
      </c>
      <c r="M56" s="11">
        <f t="shared" si="59"/>
        <v>1.489775005569169</v>
      </c>
      <c r="N56" s="11">
        <f t="shared" si="59"/>
        <v>1.578926264201381</v>
      </c>
      <c r="O56" s="11">
        <f t="shared" si="59"/>
        <v>1.2605034528848296</v>
      </c>
      <c r="P56" s="11">
        <f t="shared" si="59"/>
        <v>1.4511918021831143</v>
      </c>
    </row>
    <row r="57" spans="2:26" x14ac:dyDescent="0.25">
      <c r="B57" s="51" t="s">
        <v>83</v>
      </c>
      <c r="C57" s="21">
        <f>+C23</f>
        <v>321174</v>
      </c>
      <c r="D57" s="21">
        <f t="shared" ref="D57:H57" si="60">+D23</f>
        <v>273648</v>
      </c>
      <c r="E57" s="21">
        <f t="shared" si="60"/>
        <v>243038</v>
      </c>
      <c r="F57" s="21">
        <f t="shared" si="60"/>
        <v>268200</v>
      </c>
      <c r="G57" s="21">
        <f t="shared" si="60"/>
        <v>253767</v>
      </c>
      <c r="H57" s="21">
        <f t="shared" si="60"/>
        <v>304491</v>
      </c>
      <c r="J57" s="68" t="s">
        <v>63</v>
      </c>
      <c r="K57" s="49">
        <f t="shared" ref="K57:P57" si="61">+K10/$K10</f>
        <v>1</v>
      </c>
      <c r="L57" s="49">
        <f t="shared" si="61"/>
        <v>0.90582628474649707</v>
      </c>
      <c r="M57" s="49">
        <f t="shared" si="61"/>
        <v>0.80234745020038012</v>
      </c>
      <c r="N57" s="49">
        <f t="shared" si="61"/>
        <v>0.87397225203580253</v>
      </c>
      <c r="O57" s="49">
        <f t="shared" si="61"/>
        <v>0.88152466102779725</v>
      </c>
      <c r="P57" s="49">
        <f t="shared" si="61"/>
        <v>0.87088039229201331</v>
      </c>
    </row>
    <row r="58" spans="2:26" x14ac:dyDescent="0.25">
      <c r="B58" s="51" t="s">
        <v>84</v>
      </c>
      <c r="C58" s="21">
        <f t="shared" ref="C58:H58" si="62">+C26</f>
        <v>910411</v>
      </c>
      <c r="D58" s="21">
        <f t="shared" si="62"/>
        <v>878011</v>
      </c>
      <c r="E58" s="21">
        <f t="shared" si="62"/>
        <v>1098572</v>
      </c>
      <c r="F58" s="21">
        <f t="shared" si="62"/>
        <v>1094439</v>
      </c>
      <c r="G58" s="21">
        <f t="shared" si="62"/>
        <v>1103214</v>
      </c>
      <c r="H58" s="21">
        <f t="shared" si="62"/>
        <v>1141813</v>
      </c>
      <c r="J58" s="3" t="s">
        <v>19</v>
      </c>
      <c r="K58" s="11">
        <f t="shared" ref="K58:P58" si="63">+K11/$K11</f>
        <v>1</v>
      </c>
      <c r="L58" s="11">
        <f t="shared" si="63"/>
        <v>4.7878727236341803</v>
      </c>
      <c r="M58" s="11">
        <f t="shared" si="63"/>
        <v>4.1214728837302381</v>
      </c>
      <c r="N58" s="11">
        <f t="shared" si="63"/>
        <v>5.7330398238943365</v>
      </c>
      <c r="O58" s="11">
        <f t="shared" si="63"/>
        <v>4.0210126075645389</v>
      </c>
      <c r="P58" s="11">
        <f t="shared" si="63"/>
        <v>4.9285571342805685</v>
      </c>
    </row>
    <row r="59" spans="2:26" x14ac:dyDescent="0.25">
      <c r="B59" s="51" t="s">
        <v>70</v>
      </c>
      <c r="C59" s="21">
        <f>+C28</f>
        <v>805830</v>
      </c>
      <c r="D59" s="21">
        <f t="shared" ref="D59:H59" si="64">+D28</f>
        <v>873163</v>
      </c>
      <c r="E59" s="21">
        <f t="shared" si="64"/>
        <v>926841</v>
      </c>
      <c r="F59" s="21">
        <f t="shared" si="64"/>
        <v>963390</v>
      </c>
      <c r="G59" s="21">
        <f t="shared" si="64"/>
        <v>949314</v>
      </c>
      <c r="H59" s="21">
        <f t="shared" si="64"/>
        <v>1008279</v>
      </c>
      <c r="J59" s="3" t="s">
        <v>20</v>
      </c>
      <c r="K59" s="11">
        <f t="shared" ref="K59:P59" si="65">+K12/$K12</f>
        <v>1</v>
      </c>
      <c r="L59" s="11">
        <f t="shared" si="65"/>
        <v>1.048553388746803</v>
      </c>
      <c r="M59" s="11">
        <f t="shared" si="65"/>
        <v>1.0410206202046035</v>
      </c>
      <c r="N59" s="11">
        <f t="shared" si="65"/>
        <v>1.0824808184143222</v>
      </c>
      <c r="O59" s="11">
        <f t="shared" si="65"/>
        <v>0.94679108056265981</v>
      </c>
      <c r="P59" s="11">
        <f t="shared" si="65"/>
        <v>1.1618246483375958</v>
      </c>
    </row>
    <row r="60" spans="2:26" x14ac:dyDescent="0.25">
      <c r="B60" s="52" t="s">
        <v>77</v>
      </c>
      <c r="C60" s="53">
        <f t="shared" ref="C60:H60" si="66">+SUM(C57:C59)</f>
        <v>2037415</v>
      </c>
      <c r="D60" s="53">
        <f t="shared" si="66"/>
        <v>2024822</v>
      </c>
      <c r="E60" s="53">
        <f t="shared" si="66"/>
        <v>2268451</v>
      </c>
      <c r="F60" s="53">
        <f t="shared" si="66"/>
        <v>2326029</v>
      </c>
      <c r="G60" s="53">
        <f t="shared" si="66"/>
        <v>2306295</v>
      </c>
      <c r="H60" s="53">
        <f t="shared" si="66"/>
        <v>2454583</v>
      </c>
      <c r="J60" s="3" t="s">
        <v>21</v>
      </c>
      <c r="K60" s="11">
        <f t="shared" ref="K60:P60" si="67">+K13/$K13</f>
        <v>1</v>
      </c>
      <c r="L60" s="11">
        <f t="shared" si="67"/>
        <v>0.63379281259017561</v>
      </c>
      <c r="M60" s="11">
        <f t="shared" si="67"/>
        <v>0.69934074715322636</v>
      </c>
      <c r="N60" s="11">
        <f t="shared" si="67"/>
        <v>0.56664668930767348</v>
      </c>
      <c r="O60" s="11">
        <f t="shared" si="67"/>
        <v>0.60580231293423015</v>
      </c>
      <c r="P60" s="11">
        <f t="shared" si="67"/>
        <v>0.74402344010121857</v>
      </c>
    </row>
    <row r="61" spans="2:26" x14ac:dyDescent="0.25">
      <c r="B61" s="57" t="s">
        <v>127</v>
      </c>
      <c r="C61" s="57">
        <v>40268</v>
      </c>
      <c r="D61" s="57">
        <v>40359</v>
      </c>
      <c r="E61" s="57">
        <v>40451</v>
      </c>
      <c r="F61" s="57">
        <v>40543</v>
      </c>
      <c r="G61" s="57">
        <v>40633</v>
      </c>
      <c r="H61" s="57">
        <v>40724</v>
      </c>
      <c r="J61" s="68" t="s">
        <v>22</v>
      </c>
      <c r="K61" s="49">
        <f t="shared" ref="K61:P61" si="68">+K14/$K14</f>
        <v>1</v>
      </c>
      <c r="L61" s="49">
        <f t="shared" si="68"/>
        <v>1.0878803235917938</v>
      </c>
      <c r="M61" s="49">
        <f t="shared" si="68"/>
        <v>0.95800251515663415</v>
      </c>
      <c r="N61" s="49">
        <f t="shared" si="68"/>
        <v>1.1018450738592638</v>
      </c>
      <c r="O61" s="49">
        <f t="shared" si="68"/>
        <v>1.028755372862586</v>
      </c>
      <c r="P61" s="49">
        <f t="shared" si="68"/>
        <v>1.0611708617226947</v>
      </c>
    </row>
    <row r="62" spans="2:26" x14ac:dyDescent="0.25">
      <c r="B62" s="51" t="s">
        <v>71</v>
      </c>
      <c r="C62" s="54">
        <f t="shared" ref="C62:H62" si="69">+C49/C50</f>
        <v>1.5283434471290471</v>
      </c>
      <c r="D62" s="54">
        <f t="shared" si="69"/>
        <v>1.3189507571896657</v>
      </c>
      <c r="E62" s="54">
        <f t="shared" si="69"/>
        <v>1.4475082565402264</v>
      </c>
      <c r="F62" s="54">
        <f t="shared" si="69"/>
        <v>1.4144209510167223</v>
      </c>
      <c r="G62" s="54">
        <f t="shared" si="69"/>
        <v>1.4294332539075585</v>
      </c>
      <c r="H62" s="54">
        <f t="shared" si="69"/>
        <v>1.4344283675450942</v>
      </c>
      <c r="J62" s="3" t="s">
        <v>64</v>
      </c>
      <c r="K62" s="11">
        <f t="shared" ref="K62:P62" si="70">+K15/$K15</f>
        <v>1</v>
      </c>
      <c r="L62" s="11">
        <f t="shared" si="70"/>
        <v>0.98311279479244473</v>
      </c>
      <c r="M62" s="11">
        <f t="shared" si="70"/>
        <v>0.98855511684985597</v>
      </c>
      <c r="N62" s="11">
        <f t="shared" si="70"/>
        <v>0.92874293031693522</v>
      </c>
      <c r="O62" s="11">
        <f t="shared" si="70"/>
        <v>0.9033454273823498</v>
      </c>
      <c r="P62" s="11">
        <f t="shared" si="70"/>
        <v>0.98060505815814747</v>
      </c>
    </row>
    <row r="63" spans="2:26" x14ac:dyDescent="0.25">
      <c r="B63" s="51" t="s">
        <v>85</v>
      </c>
      <c r="C63" s="54">
        <f t="shared" ref="C63:H63" si="71">+C57/C58</f>
        <v>0.3527791294261603</v>
      </c>
      <c r="D63" s="54">
        <f t="shared" si="71"/>
        <v>0.31166807705142646</v>
      </c>
      <c r="E63" s="54">
        <f t="shared" si="71"/>
        <v>0.22123083421022927</v>
      </c>
      <c r="F63" s="54">
        <f t="shared" si="71"/>
        <v>0.24505705662901267</v>
      </c>
      <c r="G63" s="54">
        <f t="shared" si="71"/>
        <v>0.23002518097123495</v>
      </c>
      <c r="H63" s="54">
        <f t="shared" si="71"/>
        <v>0.26667326436115196</v>
      </c>
      <c r="J63" s="3" t="s">
        <v>65</v>
      </c>
      <c r="K63" s="11">
        <f t="shared" ref="K63:P63" si="72">+K16/$K16</f>
        <v>1</v>
      </c>
      <c r="L63" s="11">
        <f t="shared" si="72"/>
        <v>1.1926660491472785</v>
      </c>
      <c r="M63" s="11">
        <f t="shared" si="72"/>
        <v>0.93981910314390016</v>
      </c>
      <c r="N63" s="11">
        <f t="shared" si="72"/>
        <v>0.51225957609110229</v>
      </c>
      <c r="O63" s="11">
        <f t="shared" si="72"/>
        <v>1.228709202855119</v>
      </c>
      <c r="P63" s="11">
        <f t="shared" si="72"/>
        <v>1.1488857407508308</v>
      </c>
    </row>
    <row r="64" spans="2:26" x14ac:dyDescent="0.25">
      <c r="B64" s="51" t="s">
        <v>86</v>
      </c>
      <c r="C64" s="44">
        <f t="shared" ref="C64:H64" si="73">+C57/C60</f>
        <v>0.15763798735161957</v>
      </c>
      <c r="D64" s="44">
        <f t="shared" si="73"/>
        <v>0.13514669437609825</v>
      </c>
      <c r="E64" s="44">
        <f t="shared" si="73"/>
        <v>0.10713830715320719</v>
      </c>
      <c r="F64" s="44">
        <f t="shared" si="73"/>
        <v>0.11530380747617507</v>
      </c>
      <c r="G64" s="44">
        <f t="shared" si="73"/>
        <v>0.11003232457252866</v>
      </c>
      <c r="H64" s="44">
        <f t="shared" si="73"/>
        <v>0.12404999138346513</v>
      </c>
      <c r="J64" s="3" t="s">
        <v>23</v>
      </c>
      <c r="K64" s="11">
        <f t="shared" ref="K64:P64" si="74">+K17/$K17</f>
        <v>1</v>
      </c>
      <c r="L64" s="11">
        <f t="shared" si="74"/>
        <v>-8.9035989717223654</v>
      </c>
      <c r="M64" s="11">
        <f t="shared" si="74"/>
        <v>3.2879177377892033</v>
      </c>
      <c r="N64" s="11">
        <f t="shared" si="74"/>
        <v>20.578406169665811</v>
      </c>
      <c r="O64" s="11">
        <f t="shared" si="74"/>
        <v>-14.447300771208226</v>
      </c>
      <c r="P64" s="11">
        <f t="shared" si="74"/>
        <v>-6.958868894601542</v>
      </c>
    </row>
    <row r="65" spans="2:16" x14ac:dyDescent="0.25">
      <c r="B65" s="51" t="s">
        <v>87</v>
      </c>
      <c r="C65" s="44">
        <f t="shared" ref="C65:H65" si="75">+C58/C60</f>
        <v>0.44684612609605801</v>
      </c>
      <c r="D65" s="44">
        <f t="shared" si="75"/>
        <v>0.43362379507927118</v>
      </c>
      <c r="E65" s="44">
        <f t="shared" si="75"/>
        <v>0.48428288730944596</v>
      </c>
      <c r="F65" s="44">
        <f t="shared" si="75"/>
        <v>0.47051820936024441</v>
      </c>
      <c r="G65" s="44">
        <f t="shared" si="75"/>
        <v>0.47834904034392822</v>
      </c>
      <c r="H65" s="44">
        <f t="shared" si="75"/>
        <v>0.46517595860478134</v>
      </c>
      <c r="J65" s="67" t="s">
        <v>66</v>
      </c>
      <c r="K65" s="66">
        <f t="shared" ref="K65:P65" si="76">+K18/$K18</f>
        <v>1</v>
      </c>
      <c r="L65" s="66">
        <f t="shared" si="76"/>
        <v>1.144737223106993</v>
      </c>
      <c r="M65" s="66">
        <f t="shared" si="76"/>
        <v>0.94142174605472706</v>
      </c>
      <c r="N65" s="66">
        <f t="shared" si="76"/>
        <v>1.1957868828724483</v>
      </c>
      <c r="O65" s="66">
        <f t="shared" si="76"/>
        <v>1.096814825539308</v>
      </c>
      <c r="P65" s="66">
        <f t="shared" si="76"/>
        <v>1.1048935862168814</v>
      </c>
    </row>
    <row r="66" spans="2:16" x14ac:dyDescent="0.25">
      <c r="B66" s="51" t="s">
        <v>88</v>
      </c>
      <c r="C66" s="44">
        <f t="shared" ref="C66:H66" si="77">SUM(C64:C65)</f>
        <v>0.60448411344767761</v>
      </c>
      <c r="D66" s="44">
        <f t="shared" si="77"/>
        <v>0.56877048945536945</v>
      </c>
      <c r="E66" s="44">
        <f t="shared" si="77"/>
        <v>0.59142119446265318</v>
      </c>
      <c r="F66" s="44">
        <f t="shared" si="77"/>
        <v>0.58582201683641943</v>
      </c>
      <c r="G66" s="44">
        <f t="shared" si="77"/>
        <v>0.58838136491645687</v>
      </c>
      <c r="H66" s="44">
        <f t="shared" si="77"/>
        <v>0.58922594998824651</v>
      </c>
    </row>
    <row r="67" spans="2:16" x14ac:dyDescent="0.25">
      <c r="B67" s="57" t="s">
        <v>128</v>
      </c>
      <c r="C67" s="57">
        <v>40268</v>
      </c>
      <c r="D67" s="57">
        <v>40359</v>
      </c>
      <c r="E67" s="57">
        <v>40451</v>
      </c>
      <c r="F67" s="57">
        <v>40543</v>
      </c>
      <c r="G67" s="57">
        <v>40633</v>
      </c>
      <c r="H67" s="57">
        <v>40724</v>
      </c>
      <c r="J67" s="4" t="s">
        <v>102</v>
      </c>
      <c r="K67" s="1" t="s">
        <v>57</v>
      </c>
      <c r="L67" s="1" t="s">
        <v>58</v>
      </c>
      <c r="M67" s="1" t="s">
        <v>59</v>
      </c>
      <c r="N67" s="1" t="s">
        <v>60</v>
      </c>
      <c r="O67" s="1" t="s">
        <v>61</v>
      </c>
      <c r="P67" s="1" t="s">
        <v>62</v>
      </c>
    </row>
    <row r="68" spans="2:16" x14ac:dyDescent="0.25">
      <c r="B68" s="51" t="s">
        <v>89</v>
      </c>
      <c r="C68" s="54">
        <f t="shared" ref="C68:H68" si="78">+C3/C22</f>
        <v>2.0680146757838229</v>
      </c>
      <c r="D68" s="54">
        <f t="shared" si="78"/>
        <v>2.0238764502482818</v>
      </c>
      <c r="E68" s="54">
        <f t="shared" si="78"/>
        <v>2.0880915669701641</v>
      </c>
      <c r="F68" s="54">
        <f t="shared" si="78"/>
        <v>2.0980641611575823</v>
      </c>
      <c r="G68" s="54">
        <f t="shared" si="78"/>
        <v>2.2979320953631235</v>
      </c>
      <c r="H68" s="54">
        <f t="shared" si="78"/>
        <v>2.0716114386316775</v>
      </c>
      <c r="J68" s="58" t="s">
        <v>13</v>
      </c>
      <c r="K68" s="11">
        <f t="shared" ref="K68:P68" si="79">+K3/K$3</f>
        <v>1</v>
      </c>
      <c r="L68" s="11">
        <f t="shared" si="79"/>
        <v>1</v>
      </c>
      <c r="M68" s="11">
        <f t="shared" si="79"/>
        <v>1</v>
      </c>
      <c r="N68" s="11">
        <f t="shared" si="79"/>
        <v>1</v>
      </c>
      <c r="O68" s="11">
        <f t="shared" si="79"/>
        <v>1</v>
      </c>
      <c r="P68" s="11">
        <f t="shared" si="79"/>
        <v>1</v>
      </c>
    </row>
    <row r="69" spans="2:16" x14ac:dyDescent="0.25">
      <c r="B69" s="51" t="s">
        <v>90</v>
      </c>
      <c r="C69" s="54">
        <f t="shared" ref="C69:H69" si="80">+C4/C22</f>
        <v>0.63481455638249229</v>
      </c>
      <c r="D69" s="54">
        <f t="shared" si="80"/>
        <v>0.65440693978415554</v>
      </c>
      <c r="E69" s="54">
        <f t="shared" si="80"/>
        <v>0.68351997118836727</v>
      </c>
      <c r="F69" s="54">
        <f t="shared" si="80"/>
        <v>0.70844049345655691</v>
      </c>
      <c r="G69" s="54">
        <f t="shared" si="80"/>
        <v>0.71173223967049815</v>
      </c>
      <c r="H69" s="54">
        <f t="shared" si="80"/>
        <v>0.68757193056268973</v>
      </c>
      <c r="J69" s="58" t="s">
        <v>14</v>
      </c>
      <c r="K69" s="11">
        <f t="shared" ref="K69:P69" si="81">+K4/K$3</f>
        <v>0.75894184817335131</v>
      </c>
      <c r="L69" s="11">
        <f t="shared" si="81"/>
        <v>0.78929114209312745</v>
      </c>
      <c r="M69" s="11">
        <f t="shared" si="81"/>
        <v>0.78711347938299692</v>
      </c>
      <c r="N69" s="11">
        <f t="shared" si="81"/>
        <v>0.80761622507770447</v>
      </c>
      <c r="O69" s="11">
        <f t="shared" si="81"/>
        <v>0.78636471113679951</v>
      </c>
      <c r="P69" s="11">
        <f t="shared" si="81"/>
        <v>0.79511886076458804</v>
      </c>
    </row>
    <row r="70" spans="2:16" x14ac:dyDescent="0.25">
      <c r="B70" s="55" t="s">
        <v>91</v>
      </c>
      <c r="C70" s="56">
        <f>+C4/C23</f>
        <v>1.5692988847166955</v>
      </c>
      <c r="D70" s="56">
        <f t="shared" ref="D70:H70" si="82">+D4/D23</f>
        <v>2.0554434894462958</v>
      </c>
      <c r="E70" s="56">
        <f t="shared" si="82"/>
        <v>2.4989014063644368</v>
      </c>
      <c r="F70" s="56">
        <f t="shared" si="82"/>
        <v>2.5060514541387025</v>
      </c>
      <c r="G70" s="56">
        <f t="shared" si="82"/>
        <v>2.2389554197354267</v>
      </c>
      <c r="H70" s="56">
        <f t="shared" si="82"/>
        <v>2.2112312022358624</v>
      </c>
      <c r="J70" s="70" t="s">
        <v>15</v>
      </c>
      <c r="K70" s="49">
        <f t="shared" ref="K70:P70" si="83">+K5/K$3</f>
        <v>0.24105815182664872</v>
      </c>
      <c r="L70" s="49">
        <f t="shared" si="83"/>
        <v>0.21070885790687258</v>
      </c>
      <c r="M70" s="49">
        <f t="shared" si="83"/>
        <v>0.21288652061700306</v>
      </c>
      <c r="N70" s="49">
        <f t="shared" si="83"/>
        <v>0.1923837749222955</v>
      </c>
      <c r="O70" s="49">
        <f t="shared" si="83"/>
        <v>0.21363528886320049</v>
      </c>
      <c r="P70" s="49">
        <f t="shared" si="83"/>
        <v>0.20488113923541196</v>
      </c>
    </row>
    <row r="71" spans="2:16" x14ac:dyDescent="0.25">
      <c r="J71" s="71" t="s">
        <v>16</v>
      </c>
      <c r="K71" s="49">
        <f t="shared" ref="K71:P71" si="84">+K6/K$3</f>
        <v>-9.1538554404892655E-2</v>
      </c>
      <c r="L71" s="49">
        <f t="shared" si="84"/>
        <v>-8.4298658575798296E-2</v>
      </c>
      <c r="M71" s="49">
        <f t="shared" si="84"/>
        <v>-9.8654318755003023E-2</v>
      </c>
      <c r="N71" s="49">
        <f t="shared" si="84"/>
        <v>-8.7248171101508606E-2</v>
      </c>
      <c r="O71" s="49">
        <f t="shared" si="84"/>
        <v>-9.603420644720595E-2</v>
      </c>
      <c r="P71" s="49">
        <f t="shared" si="84"/>
        <v>-9.0059212926359683E-2</v>
      </c>
    </row>
    <row r="72" spans="2:16" x14ac:dyDescent="0.25">
      <c r="C72" s="97"/>
      <c r="J72" s="58" t="s">
        <v>17</v>
      </c>
      <c r="K72" s="11">
        <f t="shared" ref="K72:P72" si="85">+K7/K$3</f>
        <v>-5.8493393912446887E-2</v>
      </c>
      <c r="L72" s="11">
        <f t="shared" si="85"/>
        <v>-6.5639368230699685E-2</v>
      </c>
      <c r="M72" s="11">
        <f t="shared" si="85"/>
        <v>-5.1777675906571952E-2</v>
      </c>
      <c r="N72" s="11">
        <f t="shared" si="85"/>
        <v>-4.5269975741035556E-2</v>
      </c>
      <c r="O72" s="11">
        <f t="shared" si="85"/>
        <v>-5.8869505819299582E-2</v>
      </c>
      <c r="P72" s="11">
        <f t="shared" si="85"/>
        <v>-4.7772796846824041E-2</v>
      </c>
    </row>
    <row r="73" spans="2:16" x14ac:dyDescent="0.25">
      <c r="J73" s="58" t="s">
        <v>18</v>
      </c>
      <c r="K73" s="11">
        <f t="shared" ref="K73:P73" si="86">+K8/K$3</f>
        <v>-3.3045160492445769E-2</v>
      </c>
      <c r="L73" s="11">
        <f t="shared" si="86"/>
        <v>-1.8659290345098622E-2</v>
      </c>
      <c r="M73" s="11">
        <f t="shared" si="86"/>
        <v>-4.6876642848431065E-2</v>
      </c>
      <c r="N73" s="11">
        <f t="shared" si="86"/>
        <v>-4.197819536047305E-2</v>
      </c>
      <c r="O73" s="11">
        <f t="shared" si="86"/>
        <v>-3.7164700627906368E-2</v>
      </c>
      <c r="P73" s="11">
        <f t="shared" si="86"/>
        <v>-4.2286416079535642E-2</v>
      </c>
    </row>
    <row r="74" spans="2:16" x14ac:dyDescent="0.25">
      <c r="J74" s="72"/>
      <c r="K74" s="73"/>
      <c r="L74" s="73"/>
      <c r="M74" s="73"/>
      <c r="N74" s="73"/>
      <c r="O74" s="73"/>
      <c r="P74" s="73"/>
    </row>
    <row r="75" spans="2:16" x14ac:dyDescent="0.25">
      <c r="J75" s="74" t="s">
        <v>63</v>
      </c>
      <c r="K75" s="49">
        <f t="shared" ref="K75:P75" si="87">+K10/K$3</f>
        <v>0.14951959742175608</v>
      </c>
      <c r="L75" s="49">
        <f t="shared" si="87"/>
        <v>0.12641019933107428</v>
      </c>
      <c r="M75" s="49">
        <f t="shared" si="87"/>
        <v>0.11423220186200003</v>
      </c>
      <c r="N75" s="49">
        <f t="shared" si="87"/>
        <v>0.1051356038207869</v>
      </c>
      <c r="O75" s="49">
        <f t="shared" si="87"/>
        <v>0.11760108241599454</v>
      </c>
      <c r="P75" s="49">
        <f t="shared" si="87"/>
        <v>0.11482192630905227</v>
      </c>
    </row>
    <row r="76" spans="2:16" x14ac:dyDescent="0.25">
      <c r="J76" s="74" t="s">
        <v>19</v>
      </c>
      <c r="K76" s="49">
        <f t="shared" ref="K76:P76" si="88">+K11/K$3</f>
        <v>7.3569466242259527E-3</v>
      </c>
      <c r="L76" s="49">
        <f t="shared" si="88"/>
        <v>3.2876023382169856E-2</v>
      </c>
      <c r="M76" s="49">
        <f t="shared" si="88"/>
        <v>2.8872075466936951E-2</v>
      </c>
      <c r="N76" s="49">
        <f t="shared" si="88"/>
        <v>3.3934121749677811E-2</v>
      </c>
      <c r="O76" s="49">
        <f t="shared" si="88"/>
        <v>2.6394398759950609E-2</v>
      </c>
      <c r="P76" s="49">
        <f t="shared" si="88"/>
        <v>3.1973162692091488E-2</v>
      </c>
    </row>
    <row r="77" spans="2:16" x14ac:dyDescent="0.25">
      <c r="J77" s="75" t="s">
        <v>20</v>
      </c>
      <c r="K77" s="50">
        <f t="shared" ref="K77:P77" si="89">+K12/K$3</f>
        <v>7.3684303511959273E-2</v>
      </c>
      <c r="L77" s="50">
        <f t="shared" si="89"/>
        <v>7.211151327270679E-2</v>
      </c>
      <c r="M77" s="50">
        <f t="shared" si="89"/>
        <v>7.3040252677974371E-2</v>
      </c>
      <c r="N77" s="50">
        <f t="shared" si="89"/>
        <v>6.4172541884618295E-2</v>
      </c>
      <c r="O77" s="50">
        <f t="shared" si="89"/>
        <v>6.2245487744003361E-2</v>
      </c>
      <c r="P77" s="50">
        <f t="shared" si="89"/>
        <v>7.548901620338816E-2</v>
      </c>
    </row>
    <row r="78" spans="2:16" x14ac:dyDescent="0.25">
      <c r="J78" s="75" t="s">
        <v>21</v>
      </c>
      <c r="K78" s="50">
        <f t="shared" ref="K78:P78" si="90">+K13/K$3</f>
        <v>-6.6327356887733321E-2</v>
      </c>
      <c r="L78" s="50">
        <f t="shared" si="90"/>
        <v>-3.9235489890536927E-2</v>
      </c>
      <c r="M78" s="50">
        <f t="shared" si="90"/>
        <v>-4.416817721103742E-2</v>
      </c>
      <c r="N78" s="50">
        <f t="shared" si="90"/>
        <v>-3.0238420134940491E-2</v>
      </c>
      <c r="O78" s="50">
        <f t="shared" si="90"/>
        <v>-3.5851088984052752E-2</v>
      </c>
      <c r="P78" s="50">
        <f t="shared" si="90"/>
        <v>-4.3515853511296672E-2</v>
      </c>
    </row>
    <row r="79" spans="2:16" x14ac:dyDescent="0.25">
      <c r="J79" s="74" t="s">
        <v>22</v>
      </c>
      <c r="K79" s="49">
        <f t="shared" ref="K79:P79" si="91">+K14/K$3</f>
        <v>0.15687654404598203</v>
      </c>
      <c r="L79" s="49">
        <f t="shared" si="91"/>
        <v>0.15928622271324414</v>
      </c>
      <c r="M79" s="49">
        <f t="shared" si="91"/>
        <v>0.14310427732893699</v>
      </c>
      <c r="N79" s="49">
        <f t="shared" si="91"/>
        <v>0.13906972557046471</v>
      </c>
      <c r="O79" s="49">
        <f t="shared" si="91"/>
        <v>0.14399548117594516</v>
      </c>
      <c r="P79" s="49">
        <f t="shared" si="91"/>
        <v>0.14679508900114374</v>
      </c>
    </row>
    <row r="80" spans="2:16" x14ac:dyDescent="0.25">
      <c r="J80" s="74" t="s">
        <v>64</v>
      </c>
      <c r="K80" s="49">
        <f t="shared" ref="K80:P80" si="92">+K15/K$3</f>
        <v>-5.5186669454169626E-2</v>
      </c>
      <c r="L80" s="49">
        <f t="shared" si="92"/>
        <v>-5.0638007843525241E-2</v>
      </c>
      <c r="M80" s="49">
        <f t="shared" si="92"/>
        <v>-5.1947305483241016E-2</v>
      </c>
      <c r="N80" s="49">
        <f t="shared" si="92"/>
        <v>-4.123668599802896E-2</v>
      </c>
      <c r="O80" s="49">
        <f t="shared" si="92"/>
        <v>-4.4480203872527123E-2</v>
      </c>
      <c r="P80" s="49">
        <f t="shared" si="92"/>
        <v>-4.7719568827075148E-2</v>
      </c>
    </row>
    <row r="81" spans="10:16" x14ac:dyDescent="0.25">
      <c r="J81" s="58" t="s">
        <v>65</v>
      </c>
      <c r="K81" s="11">
        <f t="shared" ref="K81:P81" si="93">+K16/K$3</f>
        <v>-5.4041241302549094E-2</v>
      </c>
      <c r="L81" s="11">
        <f t="shared" si="93"/>
        <v>-6.0156595679190475E-2</v>
      </c>
      <c r="M81" s="11">
        <f t="shared" si="93"/>
        <v>-4.8361252118617339E-2</v>
      </c>
      <c r="N81" s="11">
        <f t="shared" si="93"/>
        <v>-2.2272524827533925E-2</v>
      </c>
      <c r="O81" s="11">
        <f t="shared" si="93"/>
        <v>-5.9245198749441716E-2</v>
      </c>
      <c r="P81" s="11">
        <f t="shared" si="93"/>
        <v>-5.4748263922697334E-2</v>
      </c>
    </row>
    <row r="82" spans="10:16" x14ac:dyDescent="0.25">
      <c r="J82" s="58" t="s">
        <v>23</v>
      </c>
      <c r="K82" s="11">
        <f t="shared" ref="K82:P82" si="94">+K17/K$3</f>
        <v>-1.1454281516205306E-3</v>
      </c>
      <c r="L82" s="11">
        <f t="shared" si="94"/>
        <v>9.51858783566523E-3</v>
      </c>
      <c r="M82" s="11">
        <f t="shared" si="94"/>
        <v>-3.5860533646236816E-3</v>
      </c>
      <c r="N82" s="11">
        <f t="shared" si="94"/>
        <v>-1.8964161170495035E-2</v>
      </c>
      <c r="O82" s="11">
        <f t="shared" si="94"/>
        <v>1.476499487691459E-2</v>
      </c>
      <c r="P82" s="11">
        <f t="shared" si="94"/>
        <v>7.0286950956221905E-3</v>
      </c>
    </row>
    <row r="83" spans="10:16" x14ac:dyDescent="0.25">
      <c r="J83" s="74" t="s">
        <v>66</v>
      </c>
      <c r="K83" s="49">
        <f t="shared" ref="K83:P83" si="95">+K18/K$3</f>
        <v>0.10168987459181239</v>
      </c>
      <c r="L83" s="49">
        <f t="shared" si="95"/>
        <v>0.10864821486971889</v>
      </c>
      <c r="M83" s="49">
        <f t="shared" si="95"/>
        <v>9.1156971845695961E-2</v>
      </c>
      <c r="N83" s="49">
        <f t="shared" si="95"/>
        <v>9.7833039572435748E-2</v>
      </c>
      <c r="O83" s="49">
        <f t="shared" si="95"/>
        <v>9.9515277303418012E-2</v>
      </c>
      <c r="P83" s="49">
        <f t="shared" si="95"/>
        <v>9.9075520174068607E-2</v>
      </c>
    </row>
    <row r="84" spans="10:16" x14ac:dyDescent="0.25">
      <c r="J84" s="58" t="s">
        <v>68</v>
      </c>
      <c r="K84" s="11">
        <f t="shared" ref="K84:P84" si="96">+K19/K$3</f>
        <v>0</v>
      </c>
      <c r="L84" s="11">
        <f t="shared" si="96"/>
        <v>0</v>
      </c>
      <c r="M84" s="11">
        <f t="shared" si="96"/>
        <v>0</v>
      </c>
      <c r="N84" s="11">
        <f t="shared" si="96"/>
        <v>-9.2866348267758316E-4</v>
      </c>
      <c r="O84" s="11">
        <f t="shared" si="96"/>
        <v>5.3989438562383415E-4</v>
      </c>
      <c r="P84" s="11">
        <f t="shared" si="96"/>
        <v>-5.3228019748893573E-5</v>
      </c>
    </row>
    <row r="85" spans="10:16" x14ac:dyDescent="0.25">
      <c r="J85" s="59" t="s">
        <v>67</v>
      </c>
      <c r="K85" s="60">
        <f t="shared" ref="K85:P85" si="97">+K20/K$3</f>
        <v>0.10168987459181239</v>
      </c>
      <c r="L85" s="60">
        <f t="shared" si="97"/>
        <v>0.10864821486971889</v>
      </c>
      <c r="M85" s="60">
        <f t="shared" si="97"/>
        <v>9.1156971845695961E-2</v>
      </c>
      <c r="N85" s="60">
        <f t="shared" si="97"/>
        <v>9.8761703055113337E-2</v>
      </c>
      <c r="O85" s="60">
        <f t="shared" si="97"/>
        <v>9.8975382917794189E-2</v>
      </c>
      <c r="P85" s="60">
        <f t="shared" si="97"/>
        <v>9.9128748193817506E-2</v>
      </c>
    </row>
  </sheetData>
  <mergeCells count="1">
    <mergeCell ref="U45:Z45"/>
  </mergeCells>
  <phoneticPr fontId="1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99"/>
  <sheetViews>
    <sheetView showGridLines="0" tabSelected="1" topLeftCell="K1" zoomScale="110" zoomScaleNormal="110" zoomScalePageLayoutView="125" workbookViewId="0">
      <selection activeCell="W57" sqref="W57"/>
    </sheetView>
  </sheetViews>
  <sheetFormatPr defaultColWidth="24.85546875" defaultRowHeight="15" x14ac:dyDescent="0.25"/>
  <cols>
    <col min="1" max="1" width="3.42578125" style="16" customWidth="1"/>
    <col min="2" max="2" width="30.42578125" style="16" bestFit="1" customWidth="1"/>
    <col min="3" max="8" width="10.140625" style="17" bestFit="1" customWidth="1"/>
    <col min="9" max="9" width="2.42578125" style="16" customWidth="1"/>
    <col min="10" max="10" width="28.5703125" style="16" bestFit="1" customWidth="1"/>
    <col min="11" max="16" width="10.5703125" style="16" bestFit="1" customWidth="1"/>
    <col min="17" max="17" width="5.7109375" style="16" bestFit="1" customWidth="1"/>
    <col min="18" max="18" width="46.42578125" style="16" bestFit="1" customWidth="1"/>
    <col min="19" max="24" width="10.7109375" style="16" bestFit="1" customWidth="1"/>
    <col min="25" max="16384" width="24.85546875" style="16"/>
  </cols>
  <sheetData>
    <row r="2" spans="2:24" x14ac:dyDescent="0.25">
      <c r="B2" s="38" t="s">
        <v>69</v>
      </c>
      <c r="C2" s="38">
        <v>40268</v>
      </c>
      <c r="D2" s="38">
        <v>40359</v>
      </c>
      <c r="E2" s="38">
        <v>40451</v>
      </c>
      <c r="F2" s="38">
        <v>40543</v>
      </c>
      <c r="G2" s="38">
        <v>40633</v>
      </c>
      <c r="H2" s="38">
        <v>40724</v>
      </c>
      <c r="J2" s="4" t="s">
        <v>73</v>
      </c>
      <c r="K2" s="1" t="s">
        <v>57</v>
      </c>
      <c r="L2" s="1" t="s">
        <v>58</v>
      </c>
      <c r="M2" s="1" t="s">
        <v>59</v>
      </c>
      <c r="N2" s="1" t="s">
        <v>60</v>
      </c>
      <c r="O2" s="1" t="s">
        <v>61</v>
      </c>
      <c r="P2" s="1" t="s">
        <v>62</v>
      </c>
      <c r="R2" s="57" t="s">
        <v>126</v>
      </c>
      <c r="S2" s="57">
        <v>40268</v>
      </c>
      <c r="T2" s="57">
        <v>40359</v>
      </c>
      <c r="U2" s="57">
        <v>40451</v>
      </c>
      <c r="V2" s="57">
        <v>40543</v>
      </c>
      <c r="W2" s="57">
        <v>40633</v>
      </c>
      <c r="X2" s="57">
        <v>40724</v>
      </c>
    </row>
    <row r="3" spans="2:24" x14ac:dyDescent="0.25">
      <c r="B3" s="34" t="s">
        <v>0</v>
      </c>
      <c r="C3" s="33">
        <v>1641923</v>
      </c>
      <c r="D3" s="33">
        <v>1739538</v>
      </c>
      <c r="E3" s="33">
        <v>1855332</v>
      </c>
      <c r="F3" s="33">
        <v>1990509</v>
      </c>
      <c r="G3" s="33">
        <v>1834430</v>
      </c>
      <c r="H3" s="33">
        <v>2028611</v>
      </c>
      <c r="J3" s="3" t="s">
        <v>13</v>
      </c>
      <c r="K3" s="5">
        <v>679222</v>
      </c>
      <c r="L3" s="5">
        <v>727734</v>
      </c>
      <c r="M3" s="5">
        <v>713319</v>
      </c>
      <c r="N3" s="5">
        <v>844224</v>
      </c>
      <c r="O3" s="5">
        <v>761260</v>
      </c>
      <c r="P3" s="5">
        <v>770271</v>
      </c>
      <c r="R3" s="22" t="s">
        <v>78</v>
      </c>
      <c r="S3" s="21">
        <f t="shared" ref="S3:X3" si="0">C30</f>
        <v>504018</v>
      </c>
      <c r="T3" s="21">
        <f t="shared" si="0"/>
        <v>562468</v>
      </c>
      <c r="U3" s="21">
        <f t="shared" si="0"/>
        <v>607328</v>
      </c>
      <c r="V3" s="21">
        <f t="shared" si="0"/>
        <v>672123</v>
      </c>
      <c r="W3" s="21">
        <f t="shared" si="0"/>
        <v>568173</v>
      </c>
      <c r="X3" s="21">
        <f t="shared" si="0"/>
        <v>673300</v>
      </c>
    </row>
    <row r="4" spans="2:24" x14ac:dyDescent="0.25">
      <c r="B4" s="22" t="s">
        <v>1</v>
      </c>
      <c r="C4" s="21">
        <v>504018</v>
      </c>
      <c r="D4" s="21">
        <v>562468</v>
      </c>
      <c r="E4" s="21">
        <v>607328</v>
      </c>
      <c r="F4" s="21">
        <v>672123</v>
      </c>
      <c r="G4" s="21">
        <v>568173</v>
      </c>
      <c r="H4" s="21">
        <v>673300</v>
      </c>
      <c r="J4" s="3" t="s">
        <v>14</v>
      </c>
      <c r="K4" s="5">
        <v>515490</v>
      </c>
      <c r="L4" s="5">
        <v>574394</v>
      </c>
      <c r="M4" s="5">
        <v>561463</v>
      </c>
      <c r="N4" s="5">
        <v>681809</v>
      </c>
      <c r="O4" s="5">
        <v>598628</v>
      </c>
      <c r="P4" s="5">
        <v>612457</v>
      </c>
      <c r="R4" s="22" t="s">
        <v>81</v>
      </c>
      <c r="S4" s="21">
        <f t="shared" ref="S4:X4" si="1">C31</f>
        <v>665118</v>
      </c>
      <c r="T4" s="21">
        <f t="shared" si="1"/>
        <v>591210</v>
      </c>
      <c r="U4" s="21">
        <f t="shared" si="1"/>
        <v>602512</v>
      </c>
      <c r="V4" s="21">
        <f t="shared" si="1"/>
        <v>637850</v>
      </c>
      <c r="W4" s="21">
        <f t="shared" si="1"/>
        <v>721728</v>
      </c>
      <c r="X4" s="21">
        <f t="shared" si="1"/>
        <v>680559</v>
      </c>
    </row>
    <row r="5" spans="2:24" x14ac:dyDescent="0.25">
      <c r="B5" s="22" t="s">
        <v>53</v>
      </c>
      <c r="C5" s="21">
        <v>1137905</v>
      </c>
      <c r="D5" s="21">
        <v>1177070</v>
      </c>
      <c r="E5" s="21">
        <v>1248004</v>
      </c>
      <c r="F5" s="21">
        <v>1318386</v>
      </c>
      <c r="G5" s="21">
        <v>1266257</v>
      </c>
      <c r="H5" s="21">
        <v>1355311</v>
      </c>
      <c r="J5" s="6" t="s">
        <v>15</v>
      </c>
      <c r="K5" s="7">
        <v>163732</v>
      </c>
      <c r="L5" s="7">
        <v>153340</v>
      </c>
      <c r="M5" s="7">
        <v>151856</v>
      </c>
      <c r="N5" s="7">
        <v>162415</v>
      </c>
      <c r="O5" s="7">
        <v>162632</v>
      </c>
      <c r="P5" s="7">
        <v>157814</v>
      </c>
      <c r="R5" s="22" t="s">
        <v>82</v>
      </c>
      <c r="S5" s="21">
        <f t="shared" ref="S5:X5" si="2">C32</f>
        <v>868279</v>
      </c>
      <c r="T5" s="21">
        <f t="shared" si="2"/>
        <v>871144</v>
      </c>
      <c r="U5" s="21">
        <f t="shared" si="2"/>
        <v>1058611</v>
      </c>
      <c r="V5" s="21">
        <f t="shared" si="2"/>
        <v>1016056</v>
      </c>
      <c r="W5" s="21">
        <f t="shared" si="2"/>
        <v>1016394</v>
      </c>
      <c r="X5" s="21">
        <f t="shared" si="2"/>
        <v>1100724</v>
      </c>
    </row>
    <row r="6" spans="2:24" x14ac:dyDescent="0.25">
      <c r="B6" s="24" t="s">
        <v>2</v>
      </c>
      <c r="C6" s="23">
        <v>890912</v>
      </c>
      <c r="D6" s="23">
        <v>892803</v>
      </c>
      <c r="E6" s="23">
        <v>1079768</v>
      </c>
      <c r="F6" s="23">
        <v>1039092</v>
      </c>
      <c r="G6" s="23">
        <v>1033450</v>
      </c>
      <c r="H6" s="23">
        <v>1121722</v>
      </c>
      <c r="J6" s="8" t="s">
        <v>16</v>
      </c>
      <c r="K6" s="7">
        <v>-62175</v>
      </c>
      <c r="L6" s="7">
        <v>-61347</v>
      </c>
      <c r="M6" s="7">
        <v>-70372</v>
      </c>
      <c r="N6" s="7">
        <v>-73657</v>
      </c>
      <c r="O6" s="7">
        <v>-73107</v>
      </c>
      <c r="P6" s="7">
        <v>-69370</v>
      </c>
      <c r="R6" s="87" t="s">
        <v>80</v>
      </c>
      <c r="S6" s="53">
        <f t="shared" ref="S6:X6" si="3">C33</f>
        <v>2037415</v>
      </c>
      <c r="T6" s="53">
        <f t="shared" si="3"/>
        <v>2024822</v>
      </c>
      <c r="U6" s="53">
        <f t="shared" si="3"/>
        <v>2268451</v>
      </c>
      <c r="V6" s="53">
        <f t="shared" si="3"/>
        <v>2326029</v>
      </c>
      <c r="W6" s="53">
        <f t="shared" si="3"/>
        <v>2306295</v>
      </c>
      <c r="X6" s="53">
        <f t="shared" si="3"/>
        <v>2454583</v>
      </c>
    </row>
    <row r="7" spans="2:24" x14ac:dyDescent="0.25">
      <c r="B7" s="22" t="s">
        <v>3</v>
      </c>
      <c r="C7" s="21">
        <v>499353</v>
      </c>
      <c r="D7" s="21">
        <v>496612</v>
      </c>
      <c r="E7" s="21">
        <v>674069</v>
      </c>
      <c r="F7" s="21">
        <v>625217</v>
      </c>
      <c r="G7" s="21">
        <v>605332</v>
      </c>
      <c r="H7" s="21">
        <v>688650</v>
      </c>
      <c r="J7" s="3" t="s">
        <v>17</v>
      </c>
      <c r="K7" s="5">
        <v>-39730</v>
      </c>
      <c r="L7" s="5">
        <v>-47768</v>
      </c>
      <c r="M7" s="5">
        <v>-36934</v>
      </c>
      <c r="N7" s="5">
        <v>-38218</v>
      </c>
      <c r="O7" s="5">
        <v>-44815</v>
      </c>
      <c r="P7" s="5">
        <v>-36798</v>
      </c>
      <c r="R7" s="22" t="s">
        <v>83</v>
      </c>
      <c r="S7" s="21">
        <f t="shared" ref="S7:X7" si="4">C34</f>
        <v>321174</v>
      </c>
      <c r="T7" s="21">
        <f t="shared" si="4"/>
        <v>273648</v>
      </c>
      <c r="U7" s="21">
        <f t="shared" si="4"/>
        <v>243038</v>
      </c>
      <c r="V7" s="21">
        <f t="shared" si="4"/>
        <v>268200</v>
      </c>
      <c r="W7" s="21">
        <f t="shared" si="4"/>
        <v>253767</v>
      </c>
      <c r="X7" s="21">
        <f t="shared" si="4"/>
        <v>304491</v>
      </c>
    </row>
    <row r="8" spans="2:24" x14ac:dyDescent="0.25">
      <c r="B8" s="22" t="s">
        <v>4</v>
      </c>
      <c r="C8" s="21">
        <v>295661</v>
      </c>
      <c r="D8" s="21">
        <v>300199</v>
      </c>
      <c r="E8" s="21">
        <v>309247</v>
      </c>
      <c r="F8" s="21">
        <v>318761</v>
      </c>
      <c r="G8" s="21">
        <v>326366</v>
      </c>
      <c r="H8" s="21">
        <v>331583</v>
      </c>
      <c r="J8" s="3" t="s">
        <v>18</v>
      </c>
      <c r="K8" s="5">
        <v>-22445</v>
      </c>
      <c r="L8" s="5">
        <v>-13579</v>
      </c>
      <c r="M8" s="5">
        <v>-33438</v>
      </c>
      <c r="N8" s="5">
        <v>-35439</v>
      </c>
      <c r="O8" s="5">
        <v>-28292</v>
      </c>
      <c r="P8" s="5">
        <v>-32572</v>
      </c>
      <c r="R8" s="22" t="s">
        <v>84</v>
      </c>
      <c r="S8" s="21">
        <f t="shared" ref="S8:X8" si="5">C35</f>
        <v>910411</v>
      </c>
      <c r="T8" s="21">
        <f t="shared" si="5"/>
        <v>878011</v>
      </c>
      <c r="U8" s="21">
        <f t="shared" si="5"/>
        <v>1098572</v>
      </c>
      <c r="V8" s="21">
        <f t="shared" si="5"/>
        <v>1094439</v>
      </c>
      <c r="W8" s="21">
        <f t="shared" si="5"/>
        <v>1103214</v>
      </c>
      <c r="X8" s="21">
        <f t="shared" si="5"/>
        <v>1141813</v>
      </c>
    </row>
    <row r="9" spans="2:24" x14ac:dyDescent="0.25">
      <c r="B9" s="22" t="s">
        <v>54</v>
      </c>
      <c r="C9" s="21">
        <v>95898</v>
      </c>
      <c r="D9" s="21">
        <v>95992</v>
      </c>
      <c r="E9" s="21">
        <v>96452</v>
      </c>
      <c r="F9" s="21">
        <v>95114</v>
      </c>
      <c r="G9" s="21">
        <v>101752</v>
      </c>
      <c r="H9" s="21">
        <v>101489</v>
      </c>
      <c r="J9" s="14"/>
      <c r="K9" s="15"/>
      <c r="L9" s="15"/>
      <c r="M9" s="15"/>
      <c r="N9" s="15"/>
      <c r="O9" s="15"/>
      <c r="P9" s="15"/>
      <c r="R9" s="22" t="s">
        <v>70</v>
      </c>
      <c r="S9" s="21">
        <f t="shared" ref="S9:X9" si="6">C36</f>
        <v>805830</v>
      </c>
      <c r="T9" s="21">
        <f t="shared" si="6"/>
        <v>873163</v>
      </c>
      <c r="U9" s="21">
        <f t="shared" si="6"/>
        <v>926841</v>
      </c>
      <c r="V9" s="21">
        <f t="shared" si="6"/>
        <v>963390</v>
      </c>
      <c r="W9" s="21">
        <f t="shared" si="6"/>
        <v>949314</v>
      </c>
      <c r="X9" s="21">
        <f t="shared" si="6"/>
        <v>1008279</v>
      </c>
    </row>
    <row r="10" spans="2:24" x14ac:dyDescent="0.25">
      <c r="B10" s="35" t="s">
        <v>55</v>
      </c>
      <c r="C10" s="25">
        <v>2532835</v>
      </c>
      <c r="D10" s="25">
        <v>2632341</v>
      </c>
      <c r="E10" s="25">
        <v>2935100</v>
      </c>
      <c r="F10" s="25">
        <v>3029601</v>
      </c>
      <c r="G10" s="25">
        <v>2867880</v>
      </c>
      <c r="H10" s="25">
        <v>3150333</v>
      </c>
      <c r="J10" s="2" t="s">
        <v>63</v>
      </c>
      <c r="K10" s="7">
        <v>101557</v>
      </c>
      <c r="L10" s="7">
        <v>91993</v>
      </c>
      <c r="M10" s="7">
        <v>81484</v>
      </c>
      <c r="N10" s="7">
        <v>88758</v>
      </c>
      <c r="O10" s="7">
        <v>89525</v>
      </c>
      <c r="P10" s="7">
        <v>88444</v>
      </c>
      <c r="R10" s="88" t="s">
        <v>77</v>
      </c>
      <c r="S10" s="84">
        <f t="shared" ref="S10:X10" si="7">C37</f>
        <v>2037415</v>
      </c>
      <c r="T10" s="84">
        <f t="shared" si="7"/>
        <v>2024822</v>
      </c>
      <c r="U10" s="84">
        <f t="shared" si="7"/>
        <v>2268451</v>
      </c>
      <c r="V10" s="84">
        <f t="shared" si="7"/>
        <v>2326029</v>
      </c>
      <c r="W10" s="84">
        <f t="shared" si="7"/>
        <v>2306295</v>
      </c>
      <c r="X10" s="84">
        <f t="shared" si="7"/>
        <v>2454583</v>
      </c>
    </row>
    <row r="11" spans="2:24" x14ac:dyDescent="0.25">
      <c r="B11" s="34" t="s">
        <v>5</v>
      </c>
      <c r="C11" s="33">
        <v>793961</v>
      </c>
      <c r="D11" s="33">
        <v>859508</v>
      </c>
      <c r="E11" s="33">
        <v>888530</v>
      </c>
      <c r="F11" s="33">
        <v>948736</v>
      </c>
      <c r="G11" s="33">
        <v>798296</v>
      </c>
      <c r="H11" s="33">
        <v>979243</v>
      </c>
      <c r="J11" s="2" t="s">
        <v>19</v>
      </c>
      <c r="K11" s="7">
        <v>4997</v>
      </c>
      <c r="L11" s="7">
        <v>23925</v>
      </c>
      <c r="M11" s="7">
        <v>20595</v>
      </c>
      <c r="N11" s="7">
        <v>28648</v>
      </c>
      <c r="O11" s="7">
        <v>20093</v>
      </c>
      <c r="P11" s="7">
        <v>24628</v>
      </c>
    </row>
    <row r="12" spans="2:24" x14ac:dyDescent="0.25">
      <c r="B12" s="22" t="s">
        <v>6</v>
      </c>
      <c r="C12" s="21">
        <v>321174</v>
      </c>
      <c r="D12" s="21">
        <v>273648</v>
      </c>
      <c r="E12" s="21">
        <v>243038</v>
      </c>
      <c r="F12" s="21">
        <v>268200</v>
      </c>
      <c r="G12" s="21">
        <v>253767</v>
      </c>
      <c r="H12" s="21">
        <v>304491</v>
      </c>
      <c r="J12" s="12" t="s">
        <v>20</v>
      </c>
      <c r="K12" s="13">
        <v>50048</v>
      </c>
      <c r="L12" s="13">
        <v>52478</v>
      </c>
      <c r="M12" s="13">
        <v>52101</v>
      </c>
      <c r="N12" s="13">
        <v>54176</v>
      </c>
      <c r="O12" s="13">
        <v>47385</v>
      </c>
      <c r="P12" s="13">
        <v>58147</v>
      </c>
      <c r="R12" s="1" t="s">
        <v>130</v>
      </c>
      <c r="S12" s="1" t="s">
        <v>57</v>
      </c>
      <c r="T12" s="1" t="s">
        <v>58</v>
      </c>
      <c r="U12" s="1" t="s">
        <v>59</v>
      </c>
      <c r="V12" s="1" t="s">
        <v>60</v>
      </c>
      <c r="W12" s="1" t="s">
        <v>61</v>
      </c>
      <c r="X12" s="1" t="s">
        <v>62</v>
      </c>
    </row>
    <row r="13" spans="2:24" x14ac:dyDescent="0.25">
      <c r="B13" s="22" t="s">
        <v>7</v>
      </c>
      <c r="C13" s="21">
        <v>472787</v>
      </c>
      <c r="D13" s="21">
        <v>585860</v>
      </c>
      <c r="E13" s="21">
        <v>645492</v>
      </c>
      <c r="F13" s="21">
        <v>680536</v>
      </c>
      <c r="G13" s="21">
        <v>544529</v>
      </c>
      <c r="H13" s="21">
        <v>674752</v>
      </c>
      <c r="J13" s="12" t="s">
        <v>21</v>
      </c>
      <c r="K13" s="13">
        <v>-45051</v>
      </c>
      <c r="L13" s="13">
        <v>-28553</v>
      </c>
      <c r="M13" s="13">
        <v>-31506</v>
      </c>
      <c r="N13" s="13">
        <v>-25528</v>
      </c>
      <c r="O13" s="13">
        <v>-27292</v>
      </c>
      <c r="P13" s="13">
        <v>-33519</v>
      </c>
      <c r="R13" s="22" t="s">
        <v>96</v>
      </c>
      <c r="S13" s="51">
        <f t="shared" ref="S13:X13" si="8">+K3</f>
        <v>679222</v>
      </c>
      <c r="T13" s="51">
        <f t="shared" si="8"/>
        <v>727734</v>
      </c>
      <c r="U13" s="51">
        <f t="shared" si="8"/>
        <v>713319</v>
      </c>
      <c r="V13" s="51">
        <f t="shared" si="8"/>
        <v>844224</v>
      </c>
      <c r="W13" s="51">
        <f t="shared" si="8"/>
        <v>761260</v>
      </c>
      <c r="X13" s="51">
        <f t="shared" si="8"/>
        <v>770271</v>
      </c>
    </row>
    <row r="14" spans="2:24" x14ac:dyDescent="0.25">
      <c r="B14" s="24" t="s">
        <v>8</v>
      </c>
      <c r="C14" s="23">
        <v>933044</v>
      </c>
      <c r="D14" s="23">
        <v>899670</v>
      </c>
      <c r="E14" s="23">
        <v>1119729</v>
      </c>
      <c r="F14" s="23">
        <v>1117475</v>
      </c>
      <c r="G14" s="23">
        <v>1120270</v>
      </c>
      <c r="H14" s="23">
        <v>1162811</v>
      </c>
      <c r="J14" s="2" t="s">
        <v>22</v>
      </c>
      <c r="K14" s="7">
        <v>106554</v>
      </c>
      <c r="L14" s="7">
        <v>115918</v>
      </c>
      <c r="M14" s="7">
        <v>102079</v>
      </c>
      <c r="N14" s="7">
        <v>117406</v>
      </c>
      <c r="O14" s="7">
        <v>109618</v>
      </c>
      <c r="P14" s="7">
        <v>113072</v>
      </c>
      <c r="R14" s="28" t="s">
        <v>15</v>
      </c>
      <c r="S14" s="51">
        <f t="shared" ref="S14:X14" si="9">+K5</f>
        <v>163732</v>
      </c>
      <c r="T14" s="51">
        <f t="shared" si="9"/>
        <v>153340</v>
      </c>
      <c r="U14" s="51">
        <f t="shared" si="9"/>
        <v>151856</v>
      </c>
      <c r="V14" s="51">
        <f t="shared" si="9"/>
        <v>162415</v>
      </c>
      <c r="W14" s="51">
        <f t="shared" si="9"/>
        <v>162632</v>
      </c>
      <c r="X14" s="51">
        <f t="shared" si="9"/>
        <v>157814</v>
      </c>
    </row>
    <row r="15" spans="2:24" x14ac:dyDescent="0.25">
      <c r="B15" s="22" t="s">
        <v>9</v>
      </c>
      <c r="C15" s="21">
        <v>910411</v>
      </c>
      <c r="D15" s="21">
        <v>878011</v>
      </c>
      <c r="E15" s="21">
        <v>1098572</v>
      </c>
      <c r="F15" s="21">
        <v>1094439</v>
      </c>
      <c r="G15" s="21">
        <v>1103214</v>
      </c>
      <c r="H15" s="21">
        <v>1141813</v>
      </c>
      <c r="J15" s="2" t="s">
        <v>64</v>
      </c>
      <c r="K15" s="7">
        <v>-37484</v>
      </c>
      <c r="L15" s="7">
        <v>-36851</v>
      </c>
      <c r="M15" s="7">
        <v>-37055</v>
      </c>
      <c r="N15" s="7">
        <v>-34813</v>
      </c>
      <c r="O15" s="7">
        <v>-33861</v>
      </c>
      <c r="P15" s="7">
        <v>-36757</v>
      </c>
      <c r="R15" s="22" t="s">
        <v>151</v>
      </c>
      <c r="S15" s="51">
        <f>SUM(K7:K8,K25)</f>
        <v>-97960.02</v>
      </c>
      <c r="T15" s="51">
        <f t="shared" ref="T15:X15" si="10">SUM(L7:L8,L25)</f>
        <v>-90063.5</v>
      </c>
      <c r="U15" s="51">
        <f t="shared" si="10"/>
        <v>-100424.7</v>
      </c>
      <c r="V15" s="51">
        <f t="shared" si="10"/>
        <v>-98729.680000000008</v>
      </c>
      <c r="W15" s="51">
        <f t="shared" si="10"/>
        <v>-100136.38</v>
      </c>
      <c r="X15" s="51">
        <f t="shared" si="10"/>
        <v>-97753.48</v>
      </c>
    </row>
    <row r="16" spans="2:24" x14ac:dyDescent="0.25">
      <c r="B16" s="22" t="s">
        <v>54</v>
      </c>
      <c r="C16" s="21">
        <v>22633</v>
      </c>
      <c r="D16" s="21">
        <v>21659</v>
      </c>
      <c r="E16" s="21">
        <v>21157</v>
      </c>
      <c r="F16" s="21">
        <v>23036</v>
      </c>
      <c r="G16" s="21">
        <v>17056</v>
      </c>
      <c r="H16" s="21">
        <v>20998</v>
      </c>
      <c r="J16" s="3" t="s">
        <v>65</v>
      </c>
      <c r="K16" s="5">
        <v>-36706</v>
      </c>
      <c r="L16" s="5">
        <v>-43778</v>
      </c>
      <c r="M16" s="5">
        <v>-34497</v>
      </c>
      <c r="N16" s="5">
        <v>-18803</v>
      </c>
      <c r="O16" s="5">
        <v>-45101</v>
      </c>
      <c r="P16" s="5">
        <v>-42171</v>
      </c>
      <c r="R16" s="28" t="s">
        <v>98</v>
      </c>
      <c r="S16" s="51">
        <f t="shared" ref="S16:X16" si="11">SUM(S14:S15)</f>
        <v>65771.98</v>
      </c>
      <c r="T16" s="51">
        <f t="shared" si="11"/>
        <v>63276.5</v>
      </c>
      <c r="U16" s="51">
        <f t="shared" si="11"/>
        <v>51431.3</v>
      </c>
      <c r="V16" s="51">
        <f t="shared" si="11"/>
        <v>63685.319999999992</v>
      </c>
      <c r="W16" s="51">
        <f t="shared" si="11"/>
        <v>62495.619999999995</v>
      </c>
      <c r="X16" s="51">
        <f t="shared" si="11"/>
        <v>60060.520000000004</v>
      </c>
    </row>
    <row r="17" spans="2:29" x14ac:dyDescent="0.25">
      <c r="B17" s="24" t="s">
        <v>10</v>
      </c>
      <c r="C17" s="23">
        <v>805830</v>
      </c>
      <c r="D17" s="23">
        <v>873163</v>
      </c>
      <c r="E17" s="23">
        <v>926841</v>
      </c>
      <c r="F17" s="23">
        <v>963390</v>
      </c>
      <c r="G17" s="23">
        <v>949314</v>
      </c>
      <c r="H17" s="23">
        <v>1008279</v>
      </c>
      <c r="J17" s="3" t="s">
        <v>23</v>
      </c>
      <c r="K17" s="5">
        <v>-778</v>
      </c>
      <c r="L17" s="5">
        <v>6927</v>
      </c>
      <c r="M17" s="5">
        <v>-2558</v>
      </c>
      <c r="N17" s="5">
        <v>-16010</v>
      </c>
      <c r="O17" s="5">
        <v>11240</v>
      </c>
      <c r="P17" s="5">
        <v>5414</v>
      </c>
      <c r="R17" s="22" t="s">
        <v>99</v>
      </c>
      <c r="S17" s="51">
        <f>SUM(K12,K23)</f>
        <v>33031.68</v>
      </c>
      <c r="T17" s="51">
        <f t="shared" ref="T17:X18" si="12">SUM(L12,L23)</f>
        <v>34635.479999999996</v>
      </c>
      <c r="U17" s="51">
        <f t="shared" si="12"/>
        <v>34386.660000000003</v>
      </c>
      <c r="V17" s="51">
        <f t="shared" si="12"/>
        <v>35756.160000000003</v>
      </c>
      <c r="W17" s="51">
        <f t="shared" si="12"/>
        <v>31274.1</v>
      </c>
      <c r="X17" s="51">
        <f t="shared" si="12"/>
        <v>38377.019999999997</v>
      </c>
    </row>
    <row r="18" spans="2:29" x14ac:dyDescent="0.25">
      <c r="B18" s="22" t="s">
        <v>11</v>
      </c>
      <c r="C18" s="21">
        <v>8665</v>
      </c>
      <c r="D18" s="21">
        <v>8362</v>
      </c>
      <c r="E18" s="21">
        <v>7654</v>
      </c>
      <c r="F18" s="21">
        <v>7496</v>
      </c>
      <c r="G18" s="21">
        <v>7734</v>
      </c>
      <c r="H18" s="21">
        <v>7373</v>
      </c>
      <c r="J18" s="2" t="s">
        <v>66</v>
      </c>
      <c r="K18" s="7">
        <v>69070</v>
      </c>
      <c r="L18" s="7">
        <v>79067</v>
      </c>
      <c r="M18" s="7">
        <v>65024</v>
      </c>
      <c r="N18" s="7">
        <v>82593</v>
      </c>
      <c r="O18" s="7">
        <v>75757</v>
      </c>
      <c r="P18" s="7">
        <v>76315</v>
      </c>
      <c r="R18" s="22" t="s">
        <v>100</v>
      </c>
      <c r="S18" s="51">
        <f>SUM(K13,K24)</f>
        <v>-29733.659999999996</v>
      </c>
      <c r="T18" s="51">
        <f t="shared" si="12"/>
        <v>-18844.98</v>
      </c>
      <c r="U18" s="51">
        <f t="shared" si="12"/>
        <v>-20793.96</v>
      </c>
      <c r="V18" s="51">
        <f t="shared" si="12"/>
        <v>-16848.48</v>
      </c>
      <c r="W18" s="51">
        <f t="shared" si="12"/>
        <v>-18012.72</v>
      </c>
      <c r="X18" s="51">
        <f t="shared" si="12"/>
        <v>-22122.54</v>
      </c>
    </row>
    <row r="19" spans="2:29" x14ac:dyDescent="0.25">
      <c r="B19" s="22" t="s">
        <v>12</v>
      </c>
      <c r="C19" s="21">
        <v>797165</v>
      </c>
      <c r="D19" s="21">
        <v>864801</v>
      </c>
      <c r="E19" s="21">
        <v>919187</v>
      </c>
      <c r="F19" s="21">
        <v>955894</v>
      </c>
      <c r="G19" s="21">
        <v>941580</v>
      </c>
      <c r="H19" s="21">
        <v>1000906</v>
      </c>
      <c r="J19" s="3" t="s">
        <v>68</v>
      </c>
      <c r="K19" s="5">
        <v>0</v>
      </c>
      <c r="L19" s="5">
        <v>0</v>
      </c>
      <c r="M19" s="5">
        <v>0</v>
      </c>
      <c r="N19" s="5">
        <v>-784</v>
      </c>
      <c r="O19" s="5">
        <v>411</v>
      </c>
      <c r="P19" s="5">
        <v>-41</v>
      </c>
      <c r="R19" s="35" t="s">
        <v>101</v>
      </c>
      <c r="S19" s="35">
        <f>SUM(S16:S18)</f>
        <v>69070</v>
      </c>
      <c r="T19" s="35">
        <f t="shared" ref="T19:X19" si="13">SUM(T16:T18)</f>
        <v>79067</v>
      </c>
      <c r="U19" s="35">
        <f t="shared" si="13"/>
        <v>65024.000000000007</v>
      </c>
      <c r="V19" s="35">
        <f t="shared" si="13"/>
        <v>82593</v>
      </c>
      <c r="W19" s="35">
        <f t="shared" si="13"/>
        <v>75757</v>
      </c>
      <c r="X19" s="35">
        <f t="shared" si="13"/>
        <v>76315</v>
      </c>
      <c r="Z19"/>
      <c r="AA19"/>
      <c r="AB19"/>
      <c r="AC19"/>
    </row>
    <row r="20" spans="2:29" x14ac:dyDescent="0.25">
      <c r="B20" s="31" t="s">
        <v>56</v>
      </c>
      <c r="C20" s="25">
        <v>2532835</v>
      </c>
      <c r="D20" s="25">
        <v>2632341</v>
      </c>
      <c r="E20" s="25">
        <v>2935100</v>
      </c>
      <c r="F20" s="25">
        <v>3029601</v>
      </c>
      <c r="G20" s="25">
        <v>2867880</v>
      </c>
      <c r="H20" s="25">
        <v>3150333</v>
      </c>
      <c r="J20" s="9" t="s">
        <v>67</v>
      </c>
      <c r="K20" s="10">
        <v>69070</v>
      </c>
      <c r="L20" s="10">
        <v>79067</v>
      </c>
      <c r="M20" s="10">
        <v>65024</v>
      </c>
      <c r="N20" s="10">
        <v>83377</v>
      </c>
      <c r="O20" s="10">
        <v>75346</v>
      </c>
      <c r="P20" s="10">
        <v>76356</v>
      </c>
      <c r="Z20"/>
      <c r="AA20"/>
      <c r="AB20"/>
      <c r="AC20"/>
    </row>
    <row r="21" spans="2:29" x14ac:dyDescent="0.25">
      <c r="R21" s="37" t="s">
        <v>25</v>
      </c>
      <c r="S21" s="36" t="s">
        <v>57</v>
      </c>
      <c r="T21" s="36" t="s">
        <v>58</v>
      </c>
      <c r="U21" s="36" t="s">
        <v>59</v>
      </c>
      <c r="V21" s="36" t="s">
        <v>60</v>
      </c>
      <c r="W21" s="36" t="s">
        <v>61</v>
      </c>
      <c r="X21" s="36" t="s">
        <v>62</v>
      </c>
      <c r="Z21"/>
      <c r="AA21"/>
      <c r="AB21"/>
      <c r="AC21"/>
    </row>
    <row r="22" spans="2:29" x14ac:dyDescent="0.25">
      <c r="B22" s="57" t="s">
        <v>126</v>
      </c>
      <c r="C22" s="57">
        <v>40268</v>
      </c>
      <c r="D22" s="57">
        <v>40359</v>
      </c>
      <c r="E22" s="57">
        <v>40451</v>
      </c>
      <c r="F22" s="57">
        <v>40543</v>
      </c>
      <c r="G22" s="57">
        <v>40633</v>
      </c>
      <c r="H22" s="57">
        <v>40724</v>
      </c>
      <c r="J22" s="1" t="s">
        <v>92</v>
      </c>
      <c r="K22" s="1" t="s">
        <v>57</v>
      </c>
      <c r="L22" s="1" t="s">
        <v>58</v>
      </c>
      <c r="M22" s="1" t="s">
        <v>59</v>
      </c>
      <c r="N22" s="1" t="s">
        <v>60</v>
      </c>
      <c r="O22" s="1" t="s">
        <v>61</v>
      </c>
      <c r="P22" s="1" t="s">
        <v>62</v>
      </c>
      <c r="R22" s="34" t="s">
        <v>26</v>
      </c>
      <c r="S22" s="33">
        <f>S23+S33</f>
        <v>93163</v>
      </c>
      <c r="T22" s="33">
        <f t="shared" ref="T22:X22" si="14">T23+T33</f>
        <v>188068</v>
      </c>
      <c r="U22" s="33">
        <f t="shared" si="14"/>
        <v>-108373</v>
      </c>
      <c r="V22" s="33">
        <f t="shared" si="14"/>
        <v>85210</v>
      </c>
      <c r="W22" s="33">
        <f t="shared" si="14"/>
        <v>46289</v>
      </c>
      <c r="X22" s="33">
        <f t="shared" si="14"/>
        <v>59420</v>
      </c>
      <c r="Z22"/>
      <c r="AA22"/>
      <c r="AB22"/>
      <c r="AC22"/>
    </row>
    <row r="23" spans="2:29" x14ac:dyDescent="0.25">
      <c r="B23" s="51" t="s">
        <v>78</v>
      </c>
      <c r="C23" s="21">
        <f t="shared" ref="C23:H23" si="15">+C4</f>
        <v>504018</v>
      </c>
      <c r="D23" s="21">
        <f t="shared" si="15"/>
        <v>562468</v>
      </c>
      <c r="E23" s="21">
        <f t="shared" si="15"/>
        <v>607328</v>
      </c>
      <c r="F23" s="21">
        <f t="shared" si="15"/>
        <v>672123</v>
      </c>
      <c r="G23" s="21">
        <f t="shared" si="15"/>
        <v>568173</v>
      </c>
      <c r="H23" s="21">
        <f t="shared" si="15"/>
        <v>673300</v>
      </c>
      <c r="J23" s="3" t="s">
        <v>93</v>
      </c>
      <c r="K23" s="5">
        <f>-34%*K12</f>
        <v>-17016.32</v>
      </c>
      <c r="L23" s="5">
        <f t="shared" ref="L23:P24" si="16">-34%*L12</f>
        <v>-17842.52</v>
      </c>
      <c r="M23" s="5">
        <f t="shared" si="16"/>
        <v>-17714.34</v>
      </c>
      <c r="N23" s="5">
        <f t="shared" si="16"/>
        <v>-18419.84</v>
      </c>
      <c r="O23" s="5">
        <f t="shared" si="16"/>
        <v>-16110.900000000001</v>
      </c>
      <c r="P23" s="5">
        <f t="shared" si="16"/>
        <v>-19769.980000000003</v>
      </c>
      <c r="R23" s="32" t="s">
        <v>27</v>
      </c>
      <c r="S23" s="23">
        <f t="shared" ref="S23:X23" si="17">SUM(S24:S32)</f>
        <v>101320</v>
      </c>
      <c r="T23" s="23">
        <f t="shared" si="17"/>
        <v>97637</v>
      </c>
      <c r="U23" s="23">
        <f t="shared" si="17"/>
        <v>77913</v>
      </c>
      <c r="V23" s="23">
        <f t="shared" si="17"/>
        <v>105538</v>
      </c>
      <c r="W23" s="23">
        <f t="shared" si="17"/>
        <v>86717</v>
      </c>
      <c r="X23" s="23">
        <f t="shared" si="17"/>
        <v>89037</v>
      </c>
      <c r="Z23"/>
      <c r="AA23"/>
      <c r="AB23"/>
      <c r="AC23"/>
    </row>
    <row r="24" spans="2:29" x14ac:dyDescent="0.25">
      <c r="B24" s="51" t="s">
        <v>79</v>
      </c>
      <c r="C24" s="21">
        <f t="shared" ref="C24:H24" si="18">+C28-C23</f>
        <v>1533397</v>
      </c>
      <c r="D24" s="21">
        <f t="shared" si="18"/>
        <v>1462354</v>
      </c>
      <c r="E24" s="21">
        <f t="shared" si="18"/>
        <v>1661123</v>
      </c>
      <c r="F24" s="21">
        <f t="shared" si="18"/>
        <v>1653906</v>
      </c>
      <c r="G24" s="21">
        <f t="shared" si="18"/>
        <v>1738122</v>
      </c>
      <c r="H24" s="21">
        <f t="shared" si="18"/>
        <v>1781283</v>
      </c>
      <c r="J24" s="3" t="s">
        <v>94</v>
      </c>
      <c r="K24" s="5">
        <f>-34%*K13</f>
        <v>15317.340000000002</v>
      </c>
      <c r="L24" s="5">
        <f t="shared" si="16"/>
        <v>9708.02</v>
      </c>
      <c r="M24" s="5">
        <f t="shared" si="16"/>
        <v>10712.04</v>
      </c>
      <c r="N24" s="5">
        <f t="shared" si="16"/>
        <v>8679.52</v>
      </c>
      <c r="O24" s="5">
        <f t="shared" si="16"/>
        <v>9279.2800000000007</v>
      </c>
      <c r="P24" s="5">
        <f t="shared" si="16"/>
        <v>11396.460000000001</v>
      </c>
      <c r="R24" s="27" t="s">
        <v>24</v>
      </c>
      <c r="S24" s="21">
        <v>69070</v>
      </c>
      <c r="T24" s="21">
        <v>79067</v>
      </c>
      <c r="U24" s="21">
        <v>65024</v>
      </c>
      <c r="V24" s="21">
        <v>82593</v>
      </c>
      <c r="W24" s="21">
        <v>75757</v>
      </c>
      <c r="X24" s="21">
        <v>76315</v>
      </c>
      <c r="Z24"/>
      <c r="AA24"/>
      <c r="AB24"/>
      <c r="AC24"/>
    </row>
    <row r="25" spans="2:29" x14ac:dyDescent="0.25">
      <c r="B25" s="52" t="s">
        <v>80</v>
      </c>
      <c r="C25" s="53">
        <f t="shared" ref="C25:H25" si="19">SUM(C23:C24)</f>
        <v>2037415</v>
      </c>
      <c r="D25" s="53">
        <f t="shared" si="19"/>
        <v>2024822</v>
      </c>
      <c r="E25" s="53">
        <f t="shared" si="19"/>
        <v>2268451</v>
      </c>
      <c r="F25" s="53">
        <f t="shared" si="19"/>
        <v>2326029</v>
      </c>
      <c r="G25" s="53">
        <f t="shared" si="19"/>
        <v>2306295</v>
      </c>
      <c r="H25" s="53">
        <f t="shared" si="19"/>
        <v>2454583</v>
      </c>
      <c r="J25" s="3" t="s">
        <v>95</v>
      </c>
      <c r="K25" s="5">
        <f t="shared" ref="K25:P25" si="20">+K26-K24-K23</f>
        <v>-35785.020000000004</v>
      </c>
      <c r="L25" s="5">
        <f t="shared" si="20"/>
        <v>-28716.500000000004</v>
      </c>
      <c r="M25" s="5">
        <f t="shared" si="20"/>
        <v>-30052.7</v>
      </c>
      <c r="N25" s="5">
        <f t="shared" si="20"/>
        <v>-25072.680000000004</v>
      </c>
      <c r="O25" s="5">
        <f t="shared" si="20"/>
        <v>-27029.379999999997</v>
      </c>
      <c r="P25" s="5">
        <f t="shared" si="20"/>
        <v>-28383.479999999996</v>
      </c>
      <c r="R25" s="119" t="s">
        <v>28</v>
      </c>
      <c r="S25" s="21">
        <v>9120</v>
      </c>
      <c r="T25" s="21">
        <v>8067</v>
      </c>
      <c r="U25" s="21">
        <v>7845</v>
      </c>
      <c r="V25" s="21">
        <v>9447</v>
      </c>
      <c r="W25" s="21">
        <v>8944</v>
      </c>
      <c r="X25" s="21">
        <v>8837</v>
      </c>
      <c r="Z25"/>
      <c r="AA25"/>
      <c r="AB25"/>
      <c r="AC25"/>
    </row>
    <row r="26" spans="2:29" x14ac:dyDescent="0.25">
      <c r="B26" s="51" t="s">
        <v>76</v>
      </c>
      <c r="C26" s="21">
        <f t="shared" ref="C26:H26" si="21">+C12+C15</f>
        <v>1231585</v>
      </c>
      <c r="D26" s="21">
        <f t="shared" si="21"/>
        <v>1151659</v>
      </c>
      <c r="E26" s="21">
        <f t="shared" si="21"/>
        <v>1341610</v>
      </c>
      <c r="F26" s="21">
        <f t="shared" si="21"/>
        <v>1362639</v>
      </c>
      <c r="G26" s="21">
        <f t="shared" si="21"/>
        <v>1356981</v>
      </c>
      <c r="H26" s="21">
        <f t="shared" si="21"/>
        <v>1446304</v>
      </c>
      <c r="J26" s="3" t="s">
        <v>64</v>
      </c>
      <c r="K26" s="5">
        <f t="shared" ref="K26:P26" si="22">+K16+K17</f>
        <v>-37484</v>
      </c>
      <c r="L26" s="5">
        <f t="shared" si="22"/>
        <v>-36851</v>
      </c>
      <c r="M26" s="5">
        <f t="shared" si="22"/>
        <v>-37055</v>
      </c>
      <c r="N26" s="5">
        <f t="shared" si="22"/>
        <v>-34813</v>
      </c>
      <c r="O26" s="5">
        <f t="shared" si="22"/>
        <v>-33861</v>
      </c>
      <c r="P26" s="5">
        <f t="shared" si="22"/>
        <v>-36757</v>
      </c>
      <c r="R26" s="119" t="s">
        <v>29</v>
      </c>
      <c r="S26" s="21">
        <v>16120</v>
      </c>
      <c r="T26" s="21">
        <v>17148</v>
      </c>
      <c r="U26" s="21">
        <v>-263</v>
      </c>
      <c r="V26" s="21">
        <v>172</v>
      </c>
      <c r="W26" s="21">
        <v>6719</v>
      </c>
      <c r="X26" s="21">
        <v>14285</v>
      </c>
      <c r="Z26"/>
      <c r="AA26"/>
      <c r="AB26"/>
      <c r="AC26"/>
    </row>
    <row r="27" spans="2:29" x14ac:dyDescent="0.25">
      <c r="B27" s="51" t="s">
        <v>70</v>
      </c>
      <c r="C27" s="21">
        <f t="shared" ref="C27:H27" si="23">+C17</f>
        <v>805830</v>
      </c>
      <c r="D27" s="21">
        <f t="shared" si="23"/>
        <v>873163</v>
      </c>
      <c r="E27" s="21">
        <f t="shared" si="23"/>
        <v>926841</v>
      </c>
      <c r="F27" s="21">
        <f t="shared" si="23"/>
        <v>963390</v>
      </c>
      <c r="G27" s="21">
        <f t="shared" si="23"/>
        <v>949314</v>
      </c>
      <c r="H27" s="21">
        <f t="shared" si="23"/>
        <v>1008279</v>
      </c>
      <c r="J27" s="1" t="s">
        <v>129</v>
      </c>
      <c r="K27" s="1" t="s">
        <v>57</v>
      </c>
      <c r="L27" s="1" t="s">
        <v>58</v>
      </c>
      <c r="M27" s="1" t="s">
        <v>59</v>
      </c>
      <c r="N27" s="1" t="s">
        <v>60</v>
      </c>
      <c r="O27" s="1" t="s">
        <v>61</v>
      </c>
      <c r="P27" s="1" t="s">
        <v>62</v>
      </c>
      <c r="R27" s="27" t="s">
        <v>30</v>
      </c>
      <c r="S27" s="21">
        <v>0</v>
      </c>
      <c r="T27" s="21">
        <v>0</v>
      </c>
      <c r="U27" s="21">
        <v>0</v>
      </c>
      <c r="V27" s="21">
        <v>0</v>
      </c>
      <c r="W27" s="21">
        <v>4776</v>
      </c>
      <c r="X27" s="21">
        <v>431</v>
      </c>
      <c r="Z27"/>
      <c r="AA27"/>
      <c r="AB27"/>
      <c r="AC27"/>
    </row>
    <row r="28" spans="2:29" x14ac:dyDescent="0.25">
      <c r="B28" s="52" t="s">
        <v>77</v>
      </c>
      <c r="C28" s="53">
        <f t="shared" ref="C28:H28" si="24">SUM(C26:C27)</f>
        <v>2037415</v>
      </c>
      <c r="D28" s="53">
        <f t="shared" si="24"/>
        <v>2024822</v>
      </c>
      <c r="E28" s="53">
        <f t="shared" si="24"/>
        <v>2268451</v>
      </c>
      <c r="F28" s="53">
        <f t="shared" si="24"/>
        <v>2326029</v>
      </c>
      <c r="G28" s="53">
        <f t="shared" si="24"/>
        <v>2306295</v>
      </c>
      <c r="H28" s="53">
        <f t="shared" si="24"/>
        <v>2454583</v>
      </c>
      <c r="J28" s="58" t="s">
        <v>93</v>
      </c>
      <c r="K28" s="11">
        <f t="shared" ref="K28:P30" si="25">-K23/K12</f>
        <v>0.33999999999999997</v>
      </c>
      <c r="L28" s="11">
        <f t="shared" si="25"/>
        <v>0.34</v>
      </c>
      <c r="M28" s="11">
        <f t="shared" si="25"/>
        <v>0.34</v>
      </c>
      <c r="N28" s="11">
        <f t="shared" si="25"/>
        <v>0.34</v>
      </c>
      <c r="O28" s="11">
        <f t="shared" si="25"/>
        <v>0.34</v>
      </c>
      <c r="P28" s="11">
        <f t="shared" si="25"/>
        <v>0.34000000000000008</v>
      </c>
      <c r="R28" s="27" t="s">
        <v>31</v>
      </c>
      <c r="S28" s="21">
        <v>3003</v>
      </c>
      <c r="T28" s="21">
        <v>1814</v>
      </c>
      <c r="U28" s="21">
        <v>4312</v>
      </c>
      <c r="V28" s="21">
        <v>2771</v>
      </c>
      <c r="W28" s="21">
        <v>0</v>
      </c>
      <c r="X28" s="21">
        <v>0</v>
      </c>
      <c r="Z28"/>
      <c r="AA28"/>
      <c r="AB28"/>
      <c r="AC28"/>
    </row>
    <row r="29" spans="2:29" x14ac:dyDescent="0.25">
      <c r="B29" s="57" t="s">
        <v>126</v>
      </c>
      <c r="C29" s="57">
        <v>40268</v>
      </c>
      <c r="D29" s="57">
        <v>40359</v>
      </c>
      <c r="E29" s="57">
        <v>40451</v>
      </c>
      <c r="F29" s="57">
        <v>40543</v>
      </c>
      <c r="G29" s="57">
        <v>40633</v>
      </c>
      <c r="H29" s="57">
        <v>40724</v>
      </c>
      <c r="J29" s="58" t="s">
        <v>94</v>
      </c>
      <c r="K29" s="11">
        <f t="shared" si="25"/>
        <v>0.34</v>
      </c>
      <c r="L29" s="11">
        <f t="shared" si="25"/>
        <v>0.34</v>
      </c>
      <c r="M29" s="11">
        <f t="shared" si="25"/>
        <v>0.34</v>
      </c>
      <c r="N29" s="11">
        <f t="shared" si="25"/>
        <v>0.34</v>
      </c>
      <c r="O29" s="11">
        <f t="shared" si="25"/>
        <v>0.34</v>
      </c>
      <c r="P29" s="11">
        <f t="shared" si="25"/>
        <v>0.34</v>
      </c>
      <c r="R29" s="27" t="s">
        <v>32</v>
      </c>
      <c r="S29" s="21">
        <v>-1254</v>
      </c>
      <c r="T29" s="21">
        <v>-1657</v>
      </c>
      <c r="U29" s="21">
        <v>-2023</v>
      </c>
      <c r="V29" s="21">
        <v>-2150</v>
      </c>
      <c r="W29" s="21">
        <v>-2190</v>
      </c>
      <c r="X29" s="21">
        <v>-1742</v>
      </c>
    </row>
    <row r="30" spans="2:29" x14ac:dyDescent="0.25">
      <c r="B30" s="51" t="s">
        <v>78</v>
      </c>
      <c r="C30" s="21">
        <f t="shared" ref="C30:H30" si="26">+C4</f>
        <v>504018</v>
      </c>
      <c r="D30" s="21">
        <f t="shared" si="26"/>
        <v>562468</v>
      </c>
      <c r="E30" s="21">
        <f t="shared" si="26"/>
        <v>607328</v>
      </c>
      <c r="F30" s="21">
        <f t="shared" si="26"/>
        <v>672123</v>
      </c>
      <c r="G30" s="21">
        <f t="shared" si="26"/>
        <v>568173</v>
      </c>
      <c r="H30" s="21">
        <f t="shared" si="26"/>
        <v>673300</v>
      </c>
      <c r="I30" s="17"/>
      <c r="J30" s="59" t="s">
        <v>95</v>
      </c>
      <c r="K30" s="60">
        <f t="shared" si="25"/>
        <v>0.33583929275297036</v>
      </c>
      <c r="L30" s="60">
        <f t="shared" si="25"/>
        <v>0.24773115478182856</v>
      </c>
      <c r="M30" s="60">
        <f t="shared" si="25"/>
        <v>0.29440629316509764</v>
      </c>
      <c r="N30" s="60">
        <f t="shared" si="25"/>
        <v>0.21355535492223571</v>
      </c>
      <c r="O30" s="60">
        <f t="shared" si="25"/>
        <v>0.24657793428086625</v>
      </c>
      <c r="P30" s="60">
        <f t="shared" si="25"/>
        <v>0.25102129616527519</v>
      </c>
      <c r="R30" s="27" t="s">
        <v>33</v>
      </c>
      <c r="S30" s="21">
        <v>778</v>
      </c>
      <c r="T30" s="21">
        <v>-7705</v>
      </c>
      <c r="U30" s="21">
        <v>2558</v>
      </c>
      <c r="V30" s="21">
        <v>16010</v>
      </c>
      <c r="W30" s="21">
        <v>-11240</v>
      </c>
      <c r="X30" s="21">
        <v>-5414</v>
      </c>
    </row>
    <row r="31" spans="2:29" x14ac:dyDescent="0.25">
      <c r="B31" s="51" t="s">
        <v>81</v>
      </c>
      <c r="C31" s="21">
        <f t="shared" ref="C31:H31" si="27">+C5-C13</f>
        <v>665118</v>
      </c>
      <c r="D31" s="21">
        <f t="shared" si="27"/>
        <v>591210</v>
      </c>
      <c r="E31" s="21">
        <f t="shared" si="27"/>
        <v>602512</v>
      </c>
      <c r="F31" s="21">
        <f t="shared" si="27"/>
        <v>637850</v>
      </c>
      <c r="G31" s="21">
        <f t="shared" si="27"/>
        <v>721728</v>
      </c>
      <c r="H31" s="21">
        <f t="shared" si="27"/>
        <v>680559</v>
      </c>
      <c r="I31" s="17"/>
      <c r="R31" s="27" t="s">
        <v>34</v>
      </c>
      <c r="S31" s="21">
        <v>-503</v>
      </c>
      <c r="T31" s="21">
        <v>-22</v>
      </c>
      <c r="U31" s="21">
        <v>-235</v>
      </c>
      <c r="V31" s="21">
        <v>-24</v>
      </c>
      <c r="W31" s="21">
        <v>411</v>
      </c>
      <c r="X31" s="21">
        <v>-781</v>
      </c>
    </row>
    <row r="32" spans="2:29" x14ac:dyDescent="0.25">
      <c r="B32" s="51" t="s">
        <v>82</v>
      </c>
      <c r="C32" s="21">
        <f t="shared" ref="C32:H32" si="28">+C7+C8+C9-C16</f>
        <v>868279</v>
      </c>
      <c r="D32" s="21">
        <f t="shared" si="28"/>
        <v>871144</v>
      </c>
      <c r="E32" s="21">
        <f t="shared" si="28"/>
        <v>1058611</v>
      </c>
      <c r="F32" s="21">
        <f t="shared" si="28"/>
        <v>1016056</v>
      </c>
      <c r="G32" s="21">
        <f t="shared" si="28"/>
        <v>1016394</v>
      </c>
      <c r="H32" s="21">
        <f t="shared" si="28"/>
        <v>1100724</v>
      </c>
      <c r="I32" s="17"/>
      <c r="R32" s="27" t="s">
        <v>35</v>
      </c>
      <c r="S32" s="21">
        <v>4986</v>
      </c>
      <c r="T32" s="21">
        <v>925</v>
      </c>
      <c r="U32" s="21">
        <v>695</v>
      </c>
      <c r="V32" s="21">
        <v>-3281</v>
      </c>
      <c r="W32" s="21">
        <v>3540</v>
      </c>
      <c r="X32" s="21">
        <v>-2894</v>
      </c>
    </row>
    <row r="33" spans="2:24" x14ac:dyDescent="0.25">
      <c r="B33" s="52" t="s">
        <v>80</v>
      </c>
      <c r="C33" s="53">
        <f t="shared" ref="C33:H33" si="29">+SUM(C30:C32)</f>
        <v>2037415</v>
      </c>
      <c r="D33" s="53">
        <f t="shared" si="29"/>
        <v>2024822</v>
      </c>
      <c r="E33" s="53">
        <f t="shared" si="29"/>
        <v>2268451</v>
      </c>
      <c r="F33" s="53">
        <f t="shared" si="29"/>
        <v>2326029</v>
      </c>
      <c r="G33" s="53">
        <f t="shared" si="29"/>
        <v>2306295</v>
      </c>
      <c r="H33" s="53">
        <f t="shared" si="29"/>
        <v>2454583</v>
      </c>
      <c r="I33" s="39"/>
      <c r="R33" s="32" t="s">
        <v>36</v>
      </c>
      <c r="S33" s="23">
        <f t="shared" ref="S33:X33" si="30">SUM(S34:S38)</f>
        <v>-8157</v>
      </c>
      <c r="T33" s="23">
        <f t="shared" si="30"/>
        <v>90431</v>
      </c>
      <c r="U33" s="23">
        <f>SUM(U34:U38)</f>
        <v>-186286</v>
      </c>
      <c r="V33" s="23">
        <f t="shared" si="30"/>
        <v>-20328</v>
      </c>
      <c r="W33" s="23">
        <f t="shared" si="30"/>
        <v>-40428</v>
      </c>
      <c r="X33" s="23">
        <f t="shared" si="30"/>
        <v>-29617</v>
      </c>
    </row>
    <row r="34" spans="2:24" x14ac:dyDescent="0.25">
      <c r="B34" s="51" t="s">
        <v>83</v>
      </c>
      <c r="C34" s="21">
        <f t="shared" ref="C34:H34" si="31">+C12</f>
        <v>321174</v>
      </c>
      <c r="D34" s="21">
        <f t="shared" si="31"/>
        <v>273648</v>
      </c>
      <c r="E34" s="21">
        <f t="shared" si="31"/>
        <v>243038</v>
      </c>
      <c r="F34" s="21">
        <f t="shared" si="31"/>
        <v>268200</v>
      </c>
      <c r="G34" s="21">
        <f t="shared" si="31"/>
        <v>253767</v>
      </c>
      <c r="H34" s="21">
        <f t="shared" si="31"/>
        <v>304491</v>
      </c>
      <c r="R34" s="27" t="s">
        <v>37</v>
      </c>
      <c r="S34" s="21">
        <v>-58944</v>
      </c>
      <c r="T34" s="21">
        <v>3080</v>
      </c>
      <c r="U34" s="21">
        <v>14613</v>
      </c>
      <c r="V34" s="21">
        <v>-98909</v>
      </c>
      <c r="W34" s="21">
        <v>2929</v>
      </c>
      <c r="X34" s="21">
        <v>-48180</v>
      </c>
    </row>
    <row r="35" spans="2:24" x14ac:dyDescent="0.25">
      <c r="B35" s="51" t="s">
        <v>84</v>
      </c>
      <c r="C35" s="21">
        <f t="shared" ref="C35:H35" si="32">+C15</f>
        <v>910411</v>
      </c>
      <c r="D35" s="21">
        <f t="shared" si="32"/>
        <v>878011</v>
      </c>
      <c r="E35" s="21">
        <f t="shared" si="32"/>
        <v>1098572</v>
      </c>
      <c r="F35" s="21">
        <f t="shared" si="32"/>
        <v>1094439</v>
      </c>
      <c r="G35" s="21">
        <f t="shared" si="32"/>
        <v>1103214</v>
      </c>
      <c r="H35" s="21">
        <f t="shared" si="32"/>
        <v>1141813</v>
      </c>
      <c r="R35" s="27" t="s">
        <v>38</v>
      </c>
      <c r="S35" s="21">
        <v>-22746</v>
      </c>
      <c r="T35" s="21">
        <v>13482</v>
      </c>
      <c r="U35" s="21">
        <v>-43655</v>
      </c>
      <c r="V35" s="21">
        <v>-22691</v>
      </c>
      <c r="W35" s="21">
        <v>45270</v>
      </c>
      <c r="X35" s="21">
        <v>-26387</v>
      </c>
    </row>
    <row r="36" spans="2:24" x14ac:dyDescent="0.25">
      <c r="B36" s="51" t="s">
        <v>70</v>
      </c>
      <c r="C36" s="21">
        <f t="shared" ref="C36:H36" si="33">+C17</f>
        <v>805830</v>
      </c>
      <c r="D36" s="21">
        <f t="shared" si="33"/>
        <v>873163</v>
      </c>
      <c r="E36" s="21">
        <f t="shared" si="33"/>
        <v>926841</v>
      </c>
      <c r="F36" s="21">
        <f t="shared" si="33"/>
        <v>963390</v>
      </c>
      <c r="G36" s="21">
        <f t="shared" si="33"/>
        <v>949314</v>
      </c>
      <c r="H36" s="21">
        <f t="shared" si="33"/>
        <v>1008279</v>
      </c>
      <c r="R36" s="27" t="s">
        <v>39</v>
      </c>
      <c r="S36" s="21">
        <v>37311</v>
      </c>
      <c r="T36" s="21">
        <v>-38374</v>
      </c>
      <c r="U36" s="21">
        <v>-226287</v>
      </c>
      <c r="V36" s="21">
        <v>83808</v>
      </c>
      <c r="W36" s="21">
        <v>27497</v>
      </c>
      <c r="X36" s="21">
        <v>-93571</v>
      </c>
    </row>
    <row r="37" spans="2:24" x14ac:dyDescent="0.25">
      <c r="B37" s="83" t="s">
        <v>77</v>
      </c>
      <c r="C37" s="84">
        <f t="shared" ref="C37:H37" si="34">+SUM(C34:C36)</f>
        <v>2037415</v>
      </c>
      <c r="D37" s="84">
        <f t="shared" si="34"/>
        <v>2024822</v>
      </c>
      <c r="E37" s="84">
        <f t="shared" si="34"/>
        <v>2268451</v>
      </c>
      <c r="F37" s="84">
        <f t="shared" si="34"/>
        <v>2326029</v>
      </c>
      <c r="G37" s="84">
        <f t="shared" si="34"/>
        <v>2306295</v>
      </c>
      <c r="H37" s="84">
        <f t="shared" si="34"/>
        <v>2454583</v>
      </c>
      <c r="R37" s="27" t="s">
        <v>40</v>
      </c>
      <c r="S37" s="21">
        <v>33521</v>
      </c>
      <c r="T37" s="21">
        <v>24315</v>
      </c>
      <c r="U37" s="21">
        <v>322</v>
      </c>
      <c r="V37" s="21">
        <v>41894</v>
      </c>
      <c r="W37" s="21">
        <v>-76946</v>
      </c>
      <c r="X37" s="21">
        <v>66251</v>
      </c>
    </row>
    <row r="38" spans="2:24" x14ac:dyDescent="0.25">
      <c r="R38" s="27" t="s">
        <v>41</v>
      </c>
      <c r="S38" s="21">
        <v>2701</v>
      </c>
      <c r="T38" s="21">
        <v>87928</v>
      </c>
      <c r="U38" s="21">
        <v>68721</v>
      </c>
      <c r="V38" s="21">
        <v>-24430</v>
      </c>
      <c r="W38" s="21">
        <v>-39178</v>
      </c>
      <c r="X38" s="21">
        <v>72270</v>
      </c>
    </row>
    <row r="39" spans="2:24" x14ac:dyDescent="0.25">
      <c r="R39" s="24" t="s">
        <v>42</v>
      </c>
      <c r="S39" s="23">
        <v>-28492</v>
      </c>
      <c r="T39" s="23">
        <v>-9361</v>
      </c>
      <c r="U39" s="23">
        <v>-22771</v>
      </c>
      <c r="V39" s="23">
        <v>-20342</v>
      </c>
      <c r="W39" s="23">
        <v>-28882</v>
      </c>
      <c r="X39" s="23">
        <v>-16348</v>
      </c>
    </row>
    <row r="40" spans="2:24" x14ac:dyDescent="0.25">
      <c r="R40" s="24" t="s">
        <v>43</v>
      </c>
      <c r="S40" s="23">
        <f t="shared" ref="S40:X40" si="35">S41+S44+S47</f>
        <v>-71715</v>
      </c>
      <c r="T40" s="23">
        <f t="shared" si="35"/>
        <v>-119862</v>
      </c>
      <c r="U40" s="23">
        <f t="shared" si="35"/>
        <v>176839</v>
      </c>
      <c r="V40" s="23">
        <f t="shared" si="35"/>
        <v>371</v>
      </c>
      <c r="W40" s="23">
        <f t="shared" si="35"/>
        <v>-120525</v>
      </c>
      <c r="X40" s="23">
        <f t="shared" si="35"/>
        <v>63000</v>
      </c>
    </row>
    <row r="41" spans="2:24" x14ac:dyDescent="0.25">
      <c r="R41" s="109" t="s">
        <v>44</v>
      </c>
      <c r="S41" s="110">
        <f t="shared" ref="S41:X41" si="36">S42+S43</f>
        <v>-30495</v>
      </c>
      <c r="T41" s="110">
        <f t="shared" si="36"/>
        <v>-97808</v>
      </c>
      <c r="U41" s="110">
        <f t="shared" si="36"/>
        <v>190965</v>
      </c>
      <c r="V41" s="110">
        <f t="shared" si="36"/>
        <v>19269</v>
      </c>
      <c r="W41" s="110">
        <f t="shared" si="36"/>
        <v>-11734</v>
      </c>
      <c r="X41" s="110">
        <f t="shared" si="36"/>
        <v>75914</v>
      </c>
    </row>
    <row r="42" spans="2:24" x14ac:dyDescent="0.25">
      <c r="R42" s="111" t="s">
        <v>45</v>
      </c>
      <c r="S42" s="112">
        <v>251838</v>
      </c>
      <c r="T42" s="112">
        <v>71965</v>
      </c>
      <c r="U42" s="112">
        <v>230212</v>
      </c>
      <c r="V42" s="112">
        <v>41489</v>
      </c>
      <c r="W42" s="112">
        <v>75684</v>
      </c>
      <c r="X42" s="112">
        <v>189120</v>
      </c>
    </row>
    <row r="43" spans="2:24" x14ac:dyDescent="0.25">
      <c r="R43" s="111" t="s">
        <v>46</v>
      </c>
      <c r="S43" s="112">
        <v>-282333</v>
      </c>
      <c r="T43" s="112">
        <v>-169773</v>
      </c>
      <c r="U43" s="112">
        <v>-39247</v>
      </c>
      <c r="V43" s="112">
        <v>-22220</v>
      </c>
      <c r="W43" s="112">
        <v>-87418</v>
      </c>
      <c r="X43" s="112">
        <v>-113206</v>
      </c>
    </row>
    <row r="44" spans="2:24" x14ac:dyDescent="0.25">
      <c r="R44" s="85" t="s">
        <v>47</v>
      </c>
      <c r="S44" s="86">
        <v>2288</v>
      </c>
      <c r="T44" s="86">
        <v>0</v>
      </c>
      <c r="U44" s="86">
        <v>-1695</v>
      </c>
      <c r="V44" s="86">
        <v>-11516</v>
      </c>
      <c r="W44" s="86">
        <v>6169</v>
      </c>
      <c r="X44" s="86">
        <v>-1</v>
      </c>
    </row>
    <row r="45" spans="2:24" x14ac:dyDescent="0.25">
      <c r="R45" s="27" t="s">
        <v>48</v>
      </c>
      <c r="S45" s="21">
        <v>2288</v>
      </c>
      <c r="T45" s="21">
        <v>0</v>
      </c>
      <c r="U45" s="21">
        <v>-1695</v>
      </c>
      <c r="V45" s="21">
        <v>-593</v>
      </c>
      <c r="W45" s="21">
        <v>6169</v>
      </c>
      <c r="X45" s="21">
        <v>-1</v>
      </c>
    </row>
    <row r="46" spans="2:24" x14ac:dyDescent="0.25">
      <c r="R46" s="27" t="s">
        <v>49</v>
      </c>
      <c r="S46" s="21">
        <v>0</v>
      </c>
      <c r="T46" s="21">
        <v>0</v>
      </c>
      <c r="U46" s="21">
        <v>0</v>
      </c>
      <c r="V46" s="21">
        <v>-10923</v>
      </c>
      <c r="W46" s="21">
        <v>0</v>
      </c>
      <c r="X46" s="21">
        <v>0</v>
      </c>
    </row>
    <row r="47" spans="2:24" x14ac:dyDescent="0.25">
      <c r="R47" s="22" t="s">
        <v>50</v>
      </c>
      <c r="S47" s="21">
        <v>-43508</v>
      </c>
      <c r="T47" s="21">
        <v>-22054</v>
      </c>
      <c r="U47" s="21">
        <v>-12431</v>
      </c>
      <c r="V47" s="21">
        <v>-7382</v>
      </c>
      <c r="W47" s="21">
        <v>-114960</v>
      </c>
      <c r="X47" s="21">
        <v>-12913</v>
      </c>
    </row>
    <row r="48" spans="2:24" x14ac:dyDescent="0.25">
      <c r="R48" s="24" t="s">
        <v>51</v>
      </c>
      <c r="S48" s="23">
        <v>-216</v>
      </c>
      <c r="T48" s="23">
        <v>-395</v>
      </c>
      <c r="U48" s="23">
        <v>-835</v>
      </c>
      <c r="V48" s="23">
        <v>-444</v>
      </c>
      <c r="W48" s="23">
        <v>-832</v>
      </c>
      <c r="X48" s="23">
        <v>-945</v>
      </c>
    </row>
    <row r="49" spans="18:25" x14ac:dyDescent="0.25">
      <c r="R49" s="92" t="s">
        <v>52</v>
      </c>
      <c r="S49" s="93">
        <f t="shared" ref="S49:X49" si="37">S48+S40+S39+S22</f>
        <v>-7260</v>
      </c>
      <c r="T49" s="93">
        <f>T48+T40+T39+T22</f>
        <v>58450</v>
      </c>
      <c r="U49" s="93">
        <f t="shared" si="37"/>
        <v>44860</v>
      </c>
      <c r="V49" s="93">
        <f t="shared" si="37"/>
        <v>64795</v>
      </c>
      <c r="W49" s="93">
        <f t="shared" si="37"/>
        <v>-103950</v>
      </c>
      <c r="X49" s="93">
        <f t="shared" si="37"/>
        <v>105127</v>
      </c>
    </row>
    <row r="50" spans="18:25" x14ac:dyDescent="0.25">
      <c r="S50" s="94"/>
      <c r="T50" s="94"/>
      <c r="U50" s="94"/>
      <c r="V50" s="94"/>
      <c r="W50" s="94"/>
      <c r="X50" s="94"/>
    </row>
    <row r="51" spans="18:25" x14ac:dyDescent="0.25">
      <c r="R51" s="30" t="s">
        <v>25</v>
      </c>
      <c r="S51" s="29" t="s">
        <v>57</v>
      </c>
      <c r="T51" s="29" t="s">
        <v>58</v>
      </c>
      <c r="U51" s="29" t="s">
        <v>59</v>
      </c>
      <c r="V51" s="29" t="s">
        <v>60</v>
      </c>
      <c r="W51" s="29" t="s">
        <v>61</v>
      </c>
      <c r="X51" s="29" t="s">
        <v>62</v>
      </c>
    </row>
    <row r="52" spans="18:25" x14ac:dyDescent="0.25">
      <c r="R52" s="116" t="s">
        <v>133</v>
      </c>
      <c r="S52" s="115">
        <f>S23</f>
        <v>101320</v>
      </c>
      <c r="T52" s="115">
        <f t="shared" ref="T52:X52" si="38">T23</f>
        <v>97637</v>
      </c>
      <c r="U52" s="115">
        <f>U23</f>
        <v>77913</v>
      </c>
      <c r="V52" s="115">
        <f t="shared" si="38"/>
        <v>105538</v>
      </c>
      <c r="W52" s="115">
        <f t="shared" si="38"/>
        <v>86717</v>
      </c>
      <c r="X52" s="115">
        <f t="shared" si="38"/>
        <v>89037</v>
      </c>
    </row>
    <row r="53" spans="18:25" x14ac:dyDescent="0.25">
      <c r="R53" s="116" t="s">
        <v>134</v>
      </c>
      <c r="S53" s="115">
        <f>S33</f>
        <v>-8157</v>
      </c>
      <c r="T53" s="115">
        <f t="shared" ref="T53:X53" si="39">T33</f>
        <v>90431</v>
      </c>
      <c r="U53" s="115">
        <f>U33</f>
        <v>-186286</v>
      </c>
      <c r="V53" s="115">
        <f t="shared" si="39"/>
        <v>-20328</v>
      </c>
      <c r="W53" s="115">
        <f t="shared" si="39"/>
        <v>-40428</v>
      </c>
      <c r="X53" s="115">
        <f t="shared" si="39"/>
        <v>-29617</v>
      </c>
    </row>
    <row r="54" spans="18:25" x14ac:dyDescent="0.25">
      <c r="R54" s="116" t="s">
        <v>135</v>
      </c>
      <c r="S54" s="115">
        <f>S39</f>
        <v>-28492</v>
      </c>
      <c r="T54" s="115">
        <f t="shared" ref="T54:X54" si="40">T39</f>
        <v>-9361</v>
      </c>
      <c r="U54" s="115">
        <f t="shared" si="40"/>
        <v>-22771</v>
      </c>
      <c r="V54" s="115">
        <f t="shared" si="40"/>
        <v>-20342</v>
      </c>
      <c r="W54" s="115">
        <f t="shared" si="40"/>
        <v>-28882</v>
      </c>
      <c r="X54" s="115">
        <f t="shared" si="40"/>
        <v>-16348</v>
      </c>
    </row>
    <row r="55" spans="18:25" x14ac:dyDescent="0.25">
      <c r="R55" s="117" t="s">
        <v>136</v>
      </c>
      <c r="S55" s="118">
        <f>SUM(S52:S54)</f>
        <v>64671</v>
      </c>
      <c r="T55" s="118">
        <f t="shared" ref="T55:X55" si="41">SUM(T52:T54)</f>
        <v>178707</v>
      </c>
      <c r="U55" s="118">
        <f t="shared" si="41"/>
        <v>-131144</v>
      </c>
      <c r="V55" s="118">
        <f t="shared" si="41"/>
        <v>64868</v>
      </c>
      <c r="W55" s="118">
        <f t="shared" si="41"/>
        <v>17407</v>
      </c>
      <c r="X55" s="118">
        <f t="shared" si="41"/>
        <v>43072</v>
      </c>
    </row>
    <row r="56" spans="18:25" x14ac:dyDescent="0.25">
      <c r="R56" s="116" t="s">
        <v>137</v>
      </c>
      <c r="S56" s="115">
        <f>S41</f>
        <v>-30495</v>
      </c>
      <c r="T56" s="115">
        <f t="shared" ref="T56:X56" si="42">T41</f>
        <v>-97808</v>
      </c>
      <c r="U56" s="115">
        <f t="shared" si="42"/>
        <v>190965</v>
      </c>
      <c r="V56" s="115">
        <f t="shared" si="42"/>
        <v>19269</v>
      </c>
      <c r="W56" s="115">
        <f t="shared" si="42"/>
        <v>-11734</v>
      </c>
      <c r="X56" s="115">
        <f t="shared" si="42"/>
        <v>75914</v>
      </c>
    </row>
    <row r="57" spans="18:25" x14ac:dyDescent="0.25">
      <c r="R57" s="117" t="s">
        <v>138</v>
      </c>
      <c r="S57" s="118">
        <f t="shared" ref="S57:X57" si="43">SUM(S55:S56)</f>
        <v>34176</v>
      </c>
      <c r="T57" s="118">
        <f t="shared" si="43"/>
        <v>80899</v>
      </c>
      <c r="U57" s="118">
        <f t="shared" si="43"/>
        <v>59821</v>
      </c>
      <c r="V57" s="118">
        <f t="shared" si="43"/>
        <v>84137</v>
      </c>
      <c r="W57" s="118">
        <f t="shared" si="43"/>
        <v>5673</v>
      </c>
      <c r="X57" s="118">
        <f t="shared" si="43"/>
        <v>118986</v>
      </c>
    </row>
    <row r="58" spans="18:25" x14ac:dyDescent="0.25">
      <c r="R58" s="113"/>
      <c r="S58" s="114"/>
      <c r="T58" s="114"/>
      <c r="U58" s="114"/>
      <c r="V58" s="114"/>
      <c r="W58" s="114"/>
      <c r="X58" s="114"/>
    </row>
    <row r="59" spans="18:25" x14ac:dyDescent="0.25">
      <c r="R59" s="113"/>
      <c r="S59" s="114"/>
      <c r="T59" s="114"/>
      <c r="U59" s="114"/>
      <c r="V59" s="114"/>
      <c r="W59" s="114"/>
      <c r="X59" s="114"/>
    </row>
    <row r="60" spans="18:25" x14ac:dyDescent="0.25">
      <c r="S60" s="17"/>
      <c r="T60" s="17"/>
      <c r="U60" s="17"/>
      <c r="V60" s="17"/>
      <c r="W60" s="17"/>
      <c r="X60" s="17"/>
      <c r="Y60" s="96"/>
    </row>
    <row r="61" spans="18:25" x14ac:dyDescent="0.25">
      <c r="R61"/>
      <c r="S61"/>
      <c r="T61"/>
      <c r="U61"/>
      <c r="V61"/>
      <c r="W61"/>
      <c r="X61"/>
    </row>
    <row r="62" spans="18:25" x14ac:dyDescent="0.25">
      <c r="R62"/>
      <c r="S62"/>
      <c r="T62"/>
      <c r="U62"/>
      <c r="V62"/>
      <c r="W62"/>
      <c r="X62"/>
    </row>
    <row r="63" spans="18:25" x14ac:dyDescent="0.25">
      <c r="R63"/>
      <c r="S63"/>
      <c r="T63"/>
      <c r="U63"/>
      <c r="V63"/>
      <c r="W63"/>
      <c r="X63"/>
    </row>
    <row r="64" spans="18:25" x14ac:dyDescent="0.25">
      <c r="R64"/>
      <c r="S64"/>
      <c r="T64"/>
      <c r="U64"/>
      <c r="V64"/>
      <c r="W64"/>
      <c r="X64"/>
    </row>
    <row r="65" spans="18:24" x14ac:dyDescent="0.25">
      <c r="R65"/>
      <c r="S65"/>
      <c r="T65"/>
      <c r="U65"/>
      <c r="V65"/>
      <c r="W65"/>
      <c r="X65"/>
    </row>
    <row r="66" spans="18:24" x14ac:dyDescent="0.25">
      <c r="R66"/>
      <c r="S66"/>
      <c r="T66"/>
      <c r="U66"/>
      <c r="V66"/>
      <c r="W66"/>
      <c r="X66"/>
    </row>
    <row r="67" spans="18:24" x14ac:dyDescent="0.25">
      <c r="R67" s="40"/>
      <c r="S67" s="100"/>
      <c r="T67" s="100"/>
      <c r="U67" s="100"/>
      <c r="V67" s="100"/>
      <c r="W67" s="100"/>
      <c r="X67" s="100"/>
    </row>
    <row r="68" spans="18:24" x14ac:dyDescent="0.25">
      <c r="R68" s="99"/>
      <c r="S68" s="100"/>
      <c r="T68" s="100"/>
      <c r="U68" s="100"/>
      <c r="V68" s="100"/>
      <c r="W68" s="100"/>
      <c r="X68" s="100"/>
    </row>
    <row r="69" spans="18:24" x14ac:dyDescent="0.25">
      <c r="R69" s="99"/>
      <c r="S69" s="100"/>
      <c r="T69" s="100"/>
      <c r="U69" s="100"/>
      <c r="V69" s="101"/>
      <c r="W69" s="100"/>
      <c r="X69" s="101"/>
    </row>
    <row r="70" spans="18:24" x14ac:dyDescent="0.25">
      <c r="R70" s="99"/>
      <c r="S70" s="100"/>
      <c r="T70" s="100"/>
      <c r="U70" s="100"/>
      <c r="V70" s="101"/>
      <c r="W70" s="100"/>
      <c r="X70" s="101"/>
    </row>
    <row r="71" spans="18:24" x14ac:dyDescent="0.25">
      <c r="R71" s="99"/>
      <c r="S71" s="100"/>
      <c r="T71" s="100"/>
      <c r="U71" s="100"/>
      <c r="V71" s="101"/>
      <c r="W71" s="100"/>
      <c r="X71" s="101"/>
    </row>
    <row r="72" spans="18:24" x14ac:dyDescent="0.25">
      <c r="R72" s="99"/>
      <c r="S72" s="100"/>
      <c r="T72" s="100"/>
      <c r="U72" s="100"/>
      <c r="V72" s="101"/>
      <c r="W72" s="100"/>
      <c r="X72" s="101"/>
    </row>
    <row r="73" spans="18:24" x14ac:dyDescent="0.25">
      <c r="R73" s="99"/>
      <c r="S73" s="100"/>
      <c r="T73" s="100"/>
      <c r="U73" s="100"/>
      <c r="V73" s="101"/>
      <c r="W73" s="100"/>
      <c r="X73" s="101"/>
    </row>
    <row r="74" spans="18:24" x14ac:dyDescent="0.25">
      <c r="R74" s="99"/>
      <c r="S74" s="100"/>
      <c r="T74" s="100"/>
      <c r="U74" s="100"/>
      <c r="V74" s="101"/>
      <c r="W74" s="100"/>
      <c r="X74" s="101"/>
    </row>
    <row r="75" spans="18:24" x14ac:dyDescent="0.25">
      <c r="R75" s="99"/>
      <c r="S75" s="100"/>
      <c r="T75" s="100"/>
      <c r="U75" s="100"/>
      <c r="V75" s="101"/>
      <c r="W75" s="100"/>
      <c r="X75" s="101"/>
    </row>
    <row r="76" spans="18:24" x14ac:dyDescent="0.25">
      <c r="R76" s="99"/>
      <c r="S76" s="100"/>
      <c r="T76" s="100"/>
      <c r="U76" s="100"/>
      <c r="V76" s="101"/>
      <c r="W76" s="100"/>
      <c r="X76" s="101"/>
    </row>
    <row r="77" spans="18:24" x14ac:dyDescent="0.25">
      <c r="R77" s="99"/>
      <c r="S77" s="100"/>
      <c r="T77" s="100"/>
      <c r="U77" s="100"/>
      <c r="V77" s="101"/>
      <c r="W77" s="100"/>
      <c r="X77" s="101"/>
    </row>
    <row r="78" spans="18:24" x14ac:dyDescent="0.25">
      <c r="R78" s="99"/>
      <c r="S78" s="100"/>
      <c r="T78" s="100"/>
      <c r="U78" s="100"/>
      <c r="V78" s="101"/>
      <c r="W78" s="100"/>
      <c r="X78" s="101"/>
    </row>
    <row r="79" spans="18:24" x14ac:dyDescent="0.25">
      <c r="R79" s="99"/>
      <c r="S79" s="100"/>
      <c r="T79" s="100"/>
      <c r="U79" s="100"/>
      <c r="V79" s="101"/>
      <c r="W79" s="100"/>
      <c r="X79" s="101"/>
    </row>
    <row r="80" spans="18:24" x14ac:dyDescent="0.25">
      <c r="R80" s="99"/>
      <c r="S80" s="100"/>
      <c r="T80" s="100"/>
      <c r="U80" s="100"/>
      <c r="V80" s="101"/>
      <c r="W80" s="100"/>
      <c r="X80" s="101"/>
    </row>
    <row r="81" spans="18:24" x14ac:dyDescent="0.25">
      <c r="R81" s="99"/>
      <c r="S81" s="100"/>
      <c r="T81" s="100"/>
      <c r="U81" s="100"/>
      <c r="V81" s="101"/>
      <c r="W81" s="100"/>
      <c r="X81" s="101"/>
    </row>
    <row r="82" spans="18:24" x14ac:dyDescent="0.25">
      <c r="R82" s="99"/>
      <c r="S82" s="100"/>
      <c r="T82" s="100"/>
      <c r="U82" s="100"/>
      <c r="V82" s="101"/>
      <c r="W82" s="100"/>
      <c r="X82" s="101"/>
    </row>
    <row r="83" spans="18:24" x14ac:dyDescent="0.25">
      <c r="R83" s="99"/>
      <c r="S83" s="100"/>
      <c r="T83" s="100"/>
      <c r="U83" s="100"/>
      <c r="V83" s="101"/>
      <c r="W83" s="100"/>
      <c r="X83" s="101"/>
    </row>
    <row r="84" spans="18:24" x14ac:dyDescent="0.25">
      <c r="R84" s="99"/>
      <c r="S84" s="100"/>
      <c r="T84" s="100"/>
      <c r="U84" s="100"/>
      <c r="V84" s="101"/>
      <c r="W84" s="100"/>
      <c r="X84" s="101"/>
    </row>
    <row r="86" spans="18:24" x14ac:dyDescent="0.25">
      <c r="R86"/>
      <c r="S86"/>
      <c r="T86"/>
      <c r="U86"/>
      <c r="V86"/>
      <c r="W86"/>
      <c r="X86"/>
    </row>
    <row r="87" spans="18:24" x14ac:dyDescent="0.25">
      <c r="R87"/>
      <c r="S87"/>
      <c r="T87"/>
      <c r="U87"/>
      <c r="V87"/>
      <c r="W87"/>
      <c r="X87"/>
    </row>
    <row r="88" spans="18:24" x14ac:dyDescent="0.25">
      <c r="R88"/>
      <c r="S88"/>
      <c r="T88"/>
      <c r="U88"/>
      <c r="V88"/>
      <c r="W88"/>
      <c r="X88"/>
    </row>
    <row r="89" spans="18:24" x14ac:dyDescent="0.25">
      <c r="R89"/>
      <c r="S89"/>
      <c r="T89"/>
      <c r="U89"/>
      <c r="V89"/>
      <c r="W89"/>
      <c r="X89"/>
    </row>
    <row r="90" spans="18:24" x14ac:dyDescent="0.25">
      <c r="R90"/>
      <c r="S90"/>
      <c r="T90"/>
      <c r="U90"/>
      <c r="V90"/>
      <c r="W90"/>
      <c r="X90"/>
    </row>
    <row r="91" spans="18:24" x14ac:dyDescent="0.25">
      <c r="R91"/>
      <c r="S91"/>
      <c r="T91"/>
      <c r="U91"/>
      <c r="V91"/>
      <c r="W91"/>
      <c r="X91"/>
    </row>
    <row r="92" spans="18:24" x14ac:dyDescent="0.25">
      <c r="R92"/>
      <c r="S92"/>
      <c r="T92"/>
      <c r="U92"/>
      <c r="V92"/>
      <c r="W92"/>
      <c r="X92"/>
    </row>
    <row r="93" spans="18:24" x14ac:dyDescent="0.25">
      <c r="R93"/>
      <c r="S93"/>
      <c r="T93"/>
      <c r="U93"/>
      <c r="V93"/>
      <c r="W93"/>
      <c r="X93"/>
    </row>
    <row r="94" spans="18:24" x14ac:dyDescent="0.25">
      <c r="R94"/>
      <c r="S94"/>
      <c r="T94"/>
      <c r="U94"/>
      <c r="V94"/>
      <c r="W94"/>
      <c r="X94"/>
    </row>
    <row r="95" spans="18:24" x14ac:dyDescent="0.25">
      <c r="R95"/>
      <c r="S95"/>
      <c r="T95"/>
      <c r="U95"/>
      <c r="V95"/>
      <c r="W95"/>
      <c r="X95"/>
    </row>
    <row r="96" spans="18:24" x14ac:dyDescent="0.25">
      <c r="R96"/>
      <c r="S96"/>
      <c r="T96"/>
      <c r="U96"/>
      <c r="V96"/>
      <c r="W96"/>
      <c r="X96"/>
    </row>
    <row r="97" spans="18:24" x14ac:dyDescent="0.25">
      <c r="R97"/>
      <c r="S97"/>
      <c r="T97"/>
      <c r="U97"/>
      <c r="V97"/>
      <c r="W97"/>
      <c r="X97"/>
    </row>
    <row r="98" spans="18:24" x14ac:dyDescent="0.25">
      <c r="R98"/>
      <c r="S98"/>
      <c r="T98"/>
      <c r="U98"/>
      <c r="V98"/>
      <c r="W98"/>
      <c r="X98"/>
    </row>
    <row r="99" spans="18:24" x14ac:dyDescent="0.25">
      <c r="R99"/>
      <c r="S99"/>
      <c r="T99"/>
      <c r="U99"/>
      <c r="V99"/>
      <c r="W99"/>
      <c r="X99"/>
    </row>
  </sheetData>
  <phoneticPr fontId="11" type="noConversion"/>
  <pageMargins left="0.511811024" right="0.511811024" top="0.78740157499999996" bottom="0.78740157499999996" header="0.31496062000000002" footer="0.3149606200000000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2</vt:i4>
      </vt:variant>
    </vt:vector>
  </HeadingPairs>
  <TitlesOfParts>
    <vt:vector size="5" baseType="lpstr">
      <vt:lpstr>Ex_03</vt:lpstr>
      <vt:lpstr>Ex_03_analises</vt:lpstr>
      <vt:lpstr>Ex_03_fluxos</vt:lpstr>
      <vt:lpstr>ROI op X ROI fin</vt:lpstr>
      <vt:lpstr>FLuxos de Caixa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Aversari Martins</dc:creator>
  <cp:lastModifiedBy>Ricardo</cp:lastModifiedBy>
  <dcterms:created xsi:type="dcterms:W3CDTF">2011-09-13T22:21:01Z</dcterms:created>
  <dcterms:modified xsi:type="dcterms:W3CDTF">2017-05-05T04:15:34Z</dcterms:modified>
</cp:coreProperties>
</file>