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fael\Dropbox\Monitoria\"/>
    </mc:Choice>
  </mc:AlternateContent>
  <bookViews>
    <workbookView xWindow="0" yWindow="0" windowWidth="19200" windowHeight="7620"/>
  </bookViews>
  <sheets>
    <sheet name="Plan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7" i="1" l="1"/>
  <c r="G4" i="1" l="1"/>
  <c r="F18" i="1"/>
  <c r="G18" i="1" s="1"/>
  <c r="G5" i="1" l="1"/>
  <c r="F17" i="1" l="1"/>
  <c r="G17" i="1" s="1"/>
  <c r="D43" i="1" l="1"/>
  <c r="H17" i="1"/>
  <c r="H18" i="1"/>
  <c r="E27" i="1"/>
  <c r="E38" i="1" s="1"/>
  <c r="E41" i="1" s="1"/>
  <c r="G37" i="1"/>
  <c r="E22" i="1"/>
  <c r="E26" i="1" s="1"/>
  <c r="F21" i="1"/>
  <c r="F22" i="1" s="1"/>
  <c r="E14" i="1"/>
  <c r="E15" i="1" s="1"/>
  <c r="F23" i="1"/>
  <c r="G23" i="1" s="1"/>
  <c r="H23" i="1" s="1"/>
  <c r="E24" i="1"/>
  <c r="F24" i="1" s="1"/>
  <c r="G24" i="1" s="1"/>
  <c r="E16" i="1" l="1"/>
  <c r="E20" i="1" s="1"/>
  <c r="F27" i="1"/>
  <c r="G27" i="1" s="1"/>
  <c r="H24" i="1"/>
  <c r="G38" i="1"/>
  <c r="G41" i="1" s="1"/>
  <c r="H27" i="1"/>
  <c r="F38" i="1"/>
  <c r="F41" i="1" s="1"/>
  <c r="G21" i="1"/>
  <c r="G22" i="1" s="1"/>
  <c r="G26" i="1" s="1"/>
  <c r="H37" i="1"/>
  <c r="F26" i="1"/>
  <c r="E19" i="1"/>
  <c r="E25" i="1"/>
  <c r="F25" i="1"/>
  <c r="F14" i="1"/>
  <c r="E28" i="1" l="1"/>
  <c r="E34" i="1" s="1"/>
  <c r="E35" i="1"/>
  <c r="J35" i="1"/>
  <c r="J36" i="1" s="1"/>
  <c r="J37" i="1" s="1"/>
  <c r="H33" i="1"/>
  <c r="H38" i="1"/>
  <c r="H41" i="1" s="1"/>
  <c r="E36" i="1"/>
  <c r="G25" i="1"/>
  <c r="H21" i="1"/>
  <c r="H22" i="1" s="1"/>
  <c r="F15" i="1"/>
  <c r="F16" i="1" s="1"/>
  <c r="G14" i="1"/>
  <c r="E39" i="1" l="1"/>
  <c r="E40" i="1" s="1"/>
  <c r="E42" i="1" s="1"/>
  <c r="E43" i="1" s="1"/>
  <c r="H25" i="1"/>
  <c r="H26" i="1"/>
  <c r="F20" i="1"/>
  <c r="F28" i="1" s="1"/>
  <c r="F34" i="1" s="1"/>
  <c r="F19" i="1"/>
  <c r="F36" i="1" s="1"/>
  <c r="H14" i="1"/>
  <c r="H15" i="1" s="1"/>
  <c r="H16" i="1" s="1"/>
  <c r="G15" i="1"/>
  <c r="G16" i="1" s="1"/>
  <c r="G20" i="1" l="1"/>
  <c r="G28" i="1" s="1"/>
  <c r="H34" i="1" s="1"/>
  <c r="G19" i="1"/>
  <c r="G36" i="1" s="1"/>
  <c r="F35" i="1"/>
  <c r="F39" i="1" s="1"/>
  <c r="H20" i="1"/>
  <c r="H19" i="1"/>
  <c r="H36" i="1" s="1"/>
  <c r="G34" i="1" l="1"/>
  <c r="F40" i="1"/>
  <c r="F42" i="1" s="1"/>
  <c r="F43" i="1" s="1"/>
  <c r="H35" i="1"/>
  <c r="H39" i="1" s="1"/>
  <c r="G35" i="1"/>
  <c r="G39" i="1" s="1"/>
  <c r="H40" i="1" l="1"/>
  <c r="H42" i="1" s="1"/>
  <c r="H43" i="1" s="1"/>
  <c r="G40" i="1"/>
  <c r="G42" i="1" s="1"/>
  <c r="G43" i="1" s="1"/>
  <c r="D49" i="1" s="1"/>
  <c r="D47" i="1" l="1"/>
  <c r="F48" i="1"/>
  <c r="F49" i="1" s="1"/>
  <c r="D46" i="1"/>
  <c r="G48" i="1"/>
  <c r="D48" i="1" l="1"/>
  <c r="G49" i="1"/>
</calcChain>
</file>

<file path=xl/sharedStrings.xml><?xml version="1.0" encoding="utf-8"?>
<sst xmlns="http://schemas.openxmlformats.org/spreadsheetml/2006/main" count="77" uniqueCount="60">
  <si>
    <t>Custos pesquisa de mkt</t>
  </si>
  <si>
    <t>custo dedesenvolvimento e pesquisa</t>
  </si>
  <si>
    <t>venda</t>
  </si>
  <si>
    <t>ano 0</t>
  </si>
  <si>
    <t>OEM</t>
  </si>
  <si>
    <t>custo variavel</t>
  </si>
  <si>
    <t>-</t>
  </si>
  <si>
    <t>inflação</t>
  </si>
  <si>
    <t>ano 1</t>
  </si>
  <si>
    <t>ano 2</t>
  </si>
  <si>
    <t>ano 3</t>
  </si>
  <si>
    <t>ano 4</t>
  </si>
  <si>
    <t>wacc</t>
  </si>
  <si>
    <t>produçao de carro</t>
  </si>
  <si>
    <t>(1+1%)*(1+$K$4)-1</t>
  </si>
  <si>
    <t>formulas</t>
  </si>
  <si>
    <t>produção de carro</t>
  </si>
  <si>
    <t>crescimento de produçao de carros</t>
  </si>
  <si>
    <t>porcentagem de mercado de carros</t>
  </si>
  <si>
    <t>quantidade de pneus</t>
  </si>
  <si>
    <t>Pneus para reposição</t>
  </si>
  <si>
    <t xml:space="preserve">Reposição de pneus </t>
  </si>
  <si>
    <t>crescimento de reposições</t>
  </si>
  <si>
    <t>porcentagem de mercado de reposições</t>
  </si>
  <si>
    <t>Consumidor</t>
  </si>
  <si>
    <t>Total de custos variaveis</t>
  </si>
  <si>
    <t>Receita Total</t>
  </si>
  <si>
    <t>Capital de giro</t>
  </si>
  <si>
    <t xml:space="preserve">  IR (34%)</t>
  </si>
  <si>
    <t>+Depreciação diferencial</t>
  </si>
  <si>
    <t>FLUXO ECONÔMICO</t>
  </si>
  <si>
    <t>FLUXO ECONÔMICO– FINANC.</t>
  </si>
  <si>
    <t>Ano 1</t>
  </si>
  <si>
    <t>Ano 2</t>
  </si>
  <si>
    <t>Ano 3</t>
  </si>
  <si>
    <t>Ano 4</t>
  </si>
  <si>
    <t>Ano 0</t>
  </si>
  <si>
    <t>Compra do equipamento</t>
  </si>
  <si>
    <t>Venda do equipamento</t>
  </si>
  <si>
    <t xml:space="preserve"> Receita operacional </t>
  </si>
  <si>
    <t xml:space="preserve"> (-)Custos variaveis</t>
  </si>
  <si>
    <t xml:space="preserve">(-) Depreciação diferencial </t>
  </si>
  <si>
    <t>Lucro tributável</t>
  </si>
  <si>
    <t>Depreciação ano 1</t>
  </si>
  <si>
    <t>Depreciação ano 2</t>
  </si>
  <si>
    <t>Depreciação ano 3</t>
  </si>
  <si>
    <t>Depreciação ano 4</t>
  </si>
  <si>
    <t>Valor da venda do ativo</t>
  </si>
  <si>
    <t>(-) Custo de Marketing</t>
  </si>
  <si>
    <t>Valor do equipamento</t>
  </si>
  <si>
    <t xml:space="preserve">Imposto de renda </t>
  </si>
  <si>
    <t>Variação de Capital de giro</t>
  </si>
  <si>
    <t>VPL</t>
  </si>
  <si>
    <t>TIR</t>
  </si>
  <si>
    <t>Payback</t>
  </si>
  <si>
    <t>índice de lucratividade</t>
  </si>
  <si>
    <t>Calcúlo do Payback por regra de três</t>
  </si>
  <si>
    <t>Equipamentos e Capital de giro</t>
  </si>
  <si>
    <t>Premissas e dados do exercício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</si>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</sst>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$&quot;\ * #,##0.00_-;\-&quot;R$&quot;\ * #,##0.00_-;_-&quot;R$&quot;\ 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9">
    <xf numFmtId="0" fontId="0" fillId="0" borderId="0" xfId="0"/>
    <xf numFmtId="0" fontId="0" fillId="0" borderId="0" xfId="0" applyAlignment="1">
      <alignment horizontal="center"/>
    </xf>
    <xf numFmtId="44" fontId="0" fillId="0" borderId="0" xfId="1" applyFont="1"/>
    <xf numFmtId="0" fontId="0" fillId="0" borderId="1" xfId="0" applyBorder="1"/>
    <xf numFmtId="0" fontId="0" fillId="0" borderId="4" xfId="0" applyBorder="1"/>
    <xf numFmtId="44" fontId="0" fillId="0" borderId="7" xfId="1" applyFont="1" applyBorder="1"/>
    <xf numFmtId="0" fontId="0" fillId="0" borderId="9" xfId="0" applyBorder="1"/>
    <xf numFmtId="44" fontId="0" fillId="0" borderId="10" xfId="1" applyFont="1" applyBorder="1"/>
    <xf numFmtId="10" fontId="0" fillId="0" borderId="1" xfId="0" applyNumberFormat="1" applyBorder="1"/>
    <xf numFmtId="0" fontId="0" fillId="0" borderId="3" xfId="0" applyBorder="1"/>
    <xf numFmtId="0" fontId="0" fillId="0" borderId="6" xfId="0" applyBorder="1"/>
    <xf numFmtId="0" fontId="0" fillId="0" borderId="14" xfId="0" applyBorder="1" applyAlignment="1">
      <alignment horizontal="center"/>
    </xf>
    <xf numFmtId="0" fontId="0" fillId="3" borderId="18" xfId="0" applyFill="1" applyBorder="1" applyAlignment="1">
      <alignment vertical="center" wrapText="1"/>
    </xf>
    <xf numFmtId="0" fontId="0" fillId="3" borderId="11" xfId="0" applyFill="1" applyBorder="1" applyAlignment="1">
      <alignment horizontal="center" vertical="center" wrapText="1"/>
    </xf>
    <xf numFmtId="0" fontId="0" fillId="3" borderId="11" xfId="0" applyFill="1" applyBorder="1" applyAlignment="1">
      <alignment vertical="center" wrapText="1"/>
    </xf>
    <xf numFmtId="0" fontId="0" fillId="3" borderId="15" xfId="0" applyFill="1" applyBorder="1" applyAlignment="1">
      <alignment vertical="center" wrapText="1"/>
    </xf>
    <xf numFmtId="0" fontId="0" fillId="3" borderId="12" xfId="0" applyFill="1" applyBorder="1" applyAlignment="1">
      <alignment horizontal="center" vertical="center" wrapText="1"/>
    </xf>
    <xf numFmtId="0" fontId="0" fillId="3" borderId="12" xfId="0" applyFill="1" applyBorder="1" applyAlignment="1">
      <alignment vertical="center" wrapText="1"/>
    </xf>
    <xf numFmtId="44" fontId="0" fillId="3" borderId="12" xfId="1" applyFont="1" applyFill="1" applyBorder="1" applyAlignment="1">
      <alignment horizontal="center" vertical="center" wrapText="1"/>
    </xf>
    <xf numFmtId="44" fontId="0" fillId="3" borderId="12" xfId="1" applyFont="1" applyFill="1" applyBorder="1" applyAlignment="1">
      <alignment vertical="center" wrapText="1"/>
    </xf>
    <xf numFmtId="0" fontId="0" fillId="3" borderId="12" xfId="0" applyFill="1" applyBorder="1" applyAlignment="1">
      <alignment horizontal="center" vertical="center"/>
    </xf>
    <xf numFmtId="44" fontId="0" fillId="3" borderId="12" xfId="0" applyNumberFormat="1" applyFill="1" applyBorder="1"/>
    <xf numFmtId="0" fontId="0" fillId="4" borderId="18" xfId="0" applyFill="1" applyBorder="1" applyAlignment="1">
      <alignment vertical="center" wrapText="1"/>
    </xf>
    <xf numFmtId="0" fontId="0" fillId="4" borderId="11" xfId="0" applyFill="1" applyBorder="1" applyAlignment="1">
      <alignment horizontal="center" vertical="center" wrapText="1"/>
    </xf>
    <xf numFmtId="1" fontId="0" fillId="4" borderId="11" xfId="0" applyNumberFormat="1" applyFill="1" applyBorder="1" applyAlignment="1">
      <alignment vertical="center" wrapText="1"/>
    </xf>
    <xf numFmtId="1" fontId="0" fillId="4" borderId="11" xfId="1" applyNumberFormat="1" applyFont="1" applyFill="1" applyBorder="1" applyAlignment="1">
      <alignment vertical="center" wrapText="1"/>
    </xf>
    <xf numFmtId="0" fontId="0" fillId="4" borderId="15" xfId="0" applyFill="1" applyBorder="1" applyAlignment="1">
      <alignment vertical="center" wrapText="1"/>
    </xf>
    <xf numFmtId="0" fontId="0" fillId="4" borderId="12" xfId="0" applyFill="1" applyBorder="1" applyAlignment="1">
      <alignment horizontal="center" vertical="center" wrapText="1"/>
    </xf>
    <xf numFmtId="1" fontId="0" fillId="4" borderId="12" xfId="0" applyNumberFormat="1" applyFill="1" applyBorder="1" applyAlignment="1">
      <alignment vertical="center" wrapText="1"/>
    </xf>
    <xf numFmtId="0" fontId="0" fillId="4" borderId="12" xfId="0" applyFill="1" applyBorder="1" applyAlignment="1">
      <alignment vertical="center" wrapText="1"/>
    </xf>
    <xf numFmtId="44" fontId="0" fillId="4" borderId="12" xfId="1" applyFont="1" applyFill="1" applyBorder="1" applyAlignment="1">
      <alignment vertical="center" wrapText="1"/>
    </xf>
    <xf numFmtId="0" fontId="0" fillId="4" borderId="16" xfId="0" applyFill="1" applyBorder="1" applyAlignment="1">
      <alignment vertical="center" wrapText="1"/>
    </xf>
    <xf numFmtId="0" fontId="0" fillId="4" borderId="13" xfId="0" applyFill="1" applyBorder="1" applyAlignment="1">
      <alignment horizontal="center"/>
    </xf>
    <xf numFmtId="44" fontId="0" fillId="4" borderId="13" xfId="0" applyNumberFormat="1" applyFill="1" applyBorder="1"/>
    <xf numFmtId="10" fontId="0" fillId="0" borderId="4" xfId="0" applyNumberFormat="1" applyBorder="1"/>
    <xf numFmtId="10" fontId="0" fillId="0" borderId="5" xfId="2" applyNumberFormat="1" applyFont="1" applyBorder="1"/>
    <xf numFmtId="10" fontId="0" fillId="0" borderId="7" xfId="2" applyNumberFormat="1" applyFont="1" applyBorder="1"/>
    <xf numFmtId="9" fontId="0" fillId="0" borderId="7" xfId="1" applyNumberFormat="1" applyFont="1" applyBorder="1"/>
    <xf numFmtId="0" fontId="0" fillId="3" borderId="1" xfId="0" applyFill="1" applyBorder="1"/>
    <xf numFmtId="9" fontId="0" fillId="3" borderId="1" xfId="0" applyNumberFormat="1" applyFill="1" applyBorder="1"/>
    <xf numFmtId="9" fontId="0" fillId="3" borderId="9" xfId="0" applyNumberFormat="1" applyFill="1" applyBorder="1"/>
    <xf numFmtId="0" fontId="0" fillId="4" borderId="6" xfId="0" applyFill="1" applyBorder="1"/>
    <xf numFmtId="0" fontId="0" fillId="4" borderId="1" xfId="0" applyFill="1" applyBorder="1"/>
    <xf numFmtId="9" fontId="0" fillId="4" borderId="1" xfId="0" applyNumberFormat="1" applyFill="1" applyBorder="1"/>
    <xf numFmtId="10" fontId="0" fillId="4" borderId="1" xfId="0" applyNumberFormat="1" applyFill="1" applyBorder="1"/>
    <xf numFmtId="0" fontId="0" fillId="0" borderId="2" xfId="0" applyFill="1" applyBorder="1" applyAlignment="1"/>
    <xf numFmtId="0" fontId="0" fillId="0" borderId="17" xfId="0" applyFill="1" applyBorder="1" applyAlignment="1"/>
    <xf numFmtId="0" fontId="0" fillId="4" borderId="22" xfId="0" applyFill="1" applyBorder="1" applyAlignment="1">
      <alignment vertical="center" wrapText="1"/>
    </xf>
    <xf numFmtId="0" fontId="0" fillId="3" borderId="22" xfId="0" applyFill="1" applyBorder="1" applyAlignment="1">
      <alignment vertical="center" wrapText="1"/>
    </xf>
    <xf numFmtId="0" fontId="0" fillId="3" borderId="23" xfId="0" applyFill="1" applyBorder="1" applyAlignment="1">
      <alignment vertical="center" wrapText="1"/>
    </xf>
    <xf numFmtId="0" fontId="0" fillId="3" borderId="17" xfId="0" applyFill="1" applyBorder="1" applyAlignment="1">
      <alignment vertical="center" wrapText="1"/>
    </xf>
    <xf numFmtId="0" fontId="0" fillId="3" borderId="25" xfId="0" applyFill="1" applyBorder="1" applyAlignment="1">
      <alignment horizontal="center" vertical="center"/>
    </xf>
    <xf numFmtId="44" fontId="0" fillId="3" borderId="25" xfId="0" applyNumberFormat="1" applyFill="1" applyBorder="1"/>
    <xf numFmtId="0" fontId="0" fillId="5" borderId="4" xfId="0" applyFill="1" applyBorder="1" applyAlignment="1">
      <alignment vertical="center" wrapText="1"/>
    </xf>
    <xf numFmtId="44" fontId="0" fillId="5" borderId="4" xfId="1" applyFont="1" applyFill="1" applyBorder="1"/>
    <xf numFmtId="44" fontId="0" fillId="5" borderId="4" xfId="0" applyNumberFormat="1" applyFill="1" applyBorder="1"/>
    <xf numFmtId="44" fontId="0" fillId="5" borderId="5" xfId="0" applyNumberFormat="1" applyFill="1" applyBorder="1"/>
    <xf numFmtId="0" fontId="0" fillId="5" borderId="9" xfId="0" applyFill="1" applyBorder="1" applyAlignment="1">
      <alignment vertical="center" wrapText="1"/>
    </xf>
    <xf numFmtId="44" fontId="0" fillId="5" borderId="9" xfId="1" applyFont="1" applyFill="1" applyBorder="1"/>
    <xf numFmtId="44" fontId="0" fillId="5" borderId="10" xfId="1" applyFont="1" applyFill="1" applyBorder="1"/>
    <xf numFmtId="0" fontId="0" fillId="0" borderId="14" xfId="0" applyBorder="1"/>
    <xf numFmtId="44" fontId="0" fillId="0" borderId="26" xfId="1" applyFont="1" applyBorder="1"/>
    <xf numFmtId="44" fontId="0" fillId="0" borderId="28" xfId="1" applyFont="1" applyBorder="1"/>
    <xf numFmtId="0" fontId="0" fillId="0" borderId="27" xfId="0" applyBorder="1"/>
    <xf numFmtId="44" fontId="0" fillId="0" borderId="27" xfId="1" applyFont="1" applyBorder="1"/>
    <xf numFmtId="44" fontId="0" fillId="0" borderId="29" xfId="1" applyFont="1" applyBorder="1"/>
    <xf numFmtId="44" fontId="0" fillId="0" borderId="27" xfId="0" applyNumberFormat="1" applyBorder="1"/>
    <xf numFmtId="44" fontId="0" fillId="2" borderId="28" xfId="1" applyFont="1" applyFill="1" applyBorder="1"/>
    <xf numFmtId="0" fontId="0" fillId="0" borderId="3" xfId="0" applyFont="1" applyFill="1" applyBorder="1" applyAlignment="1">
      <alignment horizontal="justify" vertical="center" wrapText="1"/>
    </xf>
    <xf numFmtId="44" fontId="0" fillId="0" borderId="5" xfId="0" applyNumberFormat="1" applyBorder="1"/>
    <xf numFmtId="0" fontId="0" fillId="0" borderId="6" xfId="0" applyFont="1" applyFill="1" applyBorder="1" applyAlignment="1">
      <alignment horizontal="justify" vertical="center" wrapText="1"/>
    </xf>
    <xf numFmtId="9" fontId="0" fillId="0" borderId="7" xfId="0" applyNumberFormat="1" applyBorder="1"/>
    <xf numFmtId="2" fontId="0" fillId="0" borderId="7" xfId="0" applyNumberFormat="1" applyBorder="1"/>
    <xf numFmtId="0" fontId="0" fillId="0" borderId="8" xfId="0" applyFont="1" applyFill="1" applyBorder="1" applyAlignment="1">
      <alignment horizontal="justify" vertical="center" wrapText="1"/>
    </xf>
    <xf numFmtId="2" fontId="0" fillId="0" borderId="10" xfId="2" applyNumberFormat="1" applyFont="1" applyBorder="1"/>
    <xf numFmtId="44" fontId="0" fillId="0" borderId="8" xfId="0" applyNumberFormat="1" applyBorder="1"/>
    <xf numFmtId="2" fontId="0" fillId="0" borderId="10" xfId="0" applyNumberFormat="1" applyBorder="1"/>
    <xf numFmtId="44" fontId="0" fillId="0" borderId="30" xfId="0" applyNumberFormat="1" applyBorder="1"/>
    <xf numFmtId="2" fontId="0" fillId="0" borderId="31" xfId="0" applyNumberFormat="1" applyBorder="1"/>
    <xf numFmtId="44" fontId="0" fillId="0" borderId="0" xfId="0" applyNumberFormat="1"/>
    <xf numFmtId="0" fontId="0" fillId="0" borderId="14" xfId="0" applyFont="1" applyFill="1" applyBorder="1" applyAlignment="1">
      <alignment horizontal="justify" vertical="center" wrapText="1"/>
    </xf>
    <xf numFmtId="0" fontId="0" fillId="0" borderId="28" xfId="0" applyFont="1" applyFill="1" applyBorder="1" applyAlignment="1">
      <alignment horizontal="justify" vertical="center" wrapText="1"/>
    </xf>
    <xf numFmtId="0" fontId="0" fillId="0" borderId="27" xfId="0" applyFont="1" applyFill="1" applyBorder="1" applyAlignment="1">
      <alignment horizontal="justify" vertical="center" wrapText="1"/>
    </xf>
    <xf numFmtId="0" fontId="0" fillId="0" borderId="26" xfId="0" applyFont="1" applyFill="1" applyBorder="1" applyAlignment="1">
      <alignment horizontal="justify" vertical="center" wrapText="1"/>
    </xf>
    <xf numFmtId="0" fontId="2" fillId="0" borderId="27" xfId="0" applyFont="1" applyFill="1" applyBorder="1" applyAlignment="1">
      <alignment horizontal="justify" vertical="center" wrapText="1"/>
    </xf>
    <xf numFmtId="0" fontId="2" fillId="0" borderId="29" xfId="0" applyFont="1" applyFill="1" applyBorder="1" applyAlignment="1">
      <alignment horizontal="justify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0" fillId="3" borderId="24" xfId="0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0" fontId="0" fillId="4" borderId="6" xfId="0" applyFill="1" applyBorder="1" applyAlignment="1">
      <alignment horizontal="center" vertical="center" wrapText="1"/>
    </xf>
    <xf numFmtId="0" fontId="0" fillId="4" borderId="8" xfId="0" applyFill="1" applyBorder="1" applyAlignment="1">
      <alignment horizontal="center" vertical="center" wrapText="1"/>
    </xf>
    <xf numFmtId="0" fontId="0" fillId="5" borderId="3" xfId="0" applyFill="1" applyBorder="1" applyAlignment="1">
      <alignment horizontal="center" vertical="center"/>
    </xf>
    <xf numFmtId="0" fontId="0" fillId="5" borderId="8" xfId="0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/>
    </xf>
    <xf numFmtId="0" fontId="3" fillId="2" borderId="20" xfId="0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</cellXfs>
  <cellStyles count="3">
    <cellStyle name="Moeda" xfId="1" builtinId="4"/>
    <cellStyle name="Normal" xfId="0" builtinId="0"/>
    <cellStyle name="Porcentagem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49976</xdr:colOff>
      <xdr:row>1</xdr:row>
      <xdr:rowOff>63229</xdr:rowOff>
    </xdr:from>
    <xdr:ext cx="7813008" cy="276948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CaixaDeTexto 1"/>
            <xdr:cNvSpPr txBox="1"/>
          </xdr:nvSpPr>
          <xdr:spPr>
            <a:xfrm>
              <a:off x="9545818" y="267336"/>
              <a:ext cx="7813008" cy="27694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600" b="1" i="1">
                        <a:latin typeface="Cambria Math" panose="02040503050406030204" pitchFamily="18" charset="0"/>
                      </a:rPr>
                      <m:t>𝑷𝒓𝒆</m:t>
                    </m:r>
                    <m:r>
                      <a:rPr lang="pt-BR" sz="1600" b="1" i="1">
                        <a:latin typeface="Cambria Math" panose="02040503050406030204" pitchFamily="18" charset="0"/>
                      </a:rPr>
                      <m:t>ç</m:t>
                    </m:r>
                    <m:sSub>
                      <m:sSubPr>
                        <m:ctrlPr>
                          <a:rPr lang="pt-BR" sz="16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pt-BR" sz="1600" b="1" i="1">
                            <a:latin typeface="Cambria Math" panose="02040503050406030204" pitchFamily="18" charset="0"/>
                          </a:rPr>
                          <m:t>𝒐</m:t>
                        </m:r>
                      </m:e>
                      <m:sub>
                        <m:r>
                          <a:rPr lang="pt-BR" sz="1600" b="1" i="1">
                            <a:latin typeface="Cambria Math" panose="02040503050406030204" pitchFamily="18" charset="0"/>
                          </a:rPr>
                          <m:t>𝒏</m:t>
                        </m:r>
                      </m:sub>
                    </m:sSub>
                    <m:r>
                      <a:rPr lang="pt-BR" sz="1600" b="1" i="1">
                        <a:latin typeface="Cambria Math" panose="02040503050406030204" pitchFamily="18" charset="0"/>
                      </a:rPr>
                      <m:t>=</m:t>
                    </m:r>
                    <m:r>
                      <a:rPr lang="pt-BR" sz="1600" b="1" i="1">
                        <a:latin typeface="Cambria Math" panose="02040503050406030204" pitchFamily="18" charset="0"/>
                      </a:rPr>
                      <m:t>𝑷𝒓𝒆</m:t>
                    </m:r>
                    <m:r>
                      <a:rPr lang="pt-BR" sz="1600" b="1" i="1">
                        <a:latin typeface="Cambria Math" panose="02040503050406030204" pitchFamily="18" charset="0"/>
                      </a:rPr>
                      <m:t>ç</m:t>
                    </m:r>
                    <m:sSub>
                      <m:sSubPr>
                        <m:ctrlPr>
                          <a:rPr lang="pt-BR" sz="16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pt-BR" sz="1600" b="1" i="1">
                            <a:latin typeface="Cambria Math" panose="02040503050406030204" pitchFamily="18" charset="0"/>
                          </a:rPr>
                          <m:t>𝒐</m:t>
                        </m:r>
                      </m:e>
                      <m:sub>
                        <m:r>
                          <a:rPr lang="pt-BR" sz="1600" b="1" i="1">
                            <a:latin typeface="Cambria Math" panose="02040503050406030204" pitchFamily="18" charset="0"/>
                          </a:rPr>
                          <m:t>𝒏</m:t>
                        </m:r>
                        <m:r>
                          <a:rPr lang="pt-BR" sz="1600" b="1" i="1">
                            <a:latin typeface="Cambria Math" panose="02040503050406030204" pitchFamily="18" charset="0"/>
                          </a:rPr>
                          <m:t>−</m:t>
                        </m:r>
                        <m:r>
                          <a:rPr lang="pt-BR" sz="1600" b="1" i="1">
                            <a:latin typeface="Cambria Math" panose="02040503050406030204" pitchFamily="18" charset="0"/>
                          </a:rPr>
                          <m:t>𝟏</m:t>
                        </m:r>
                      </m:sub>
                    </m:sSub>
                    <m:r>
                      <a:rPr lang="pt-BR" sz="1600" b="1" i="1">
                        <a:latin typeface="Cambria Math" panose="02040503050406030204" pitchFamily="18" charset="0"/>
                      </a:rPr>
                      <m:t>+</m:t>
                    </m:r>
                    <m:d>
                      <m:dPr>
                        <m:ctrlPr>
                          <a:rPr lang="pt-BR" sz="1600" b="1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r>
                          <a:rPr lang="pt-BR" sz="1600" b="1" i="1">
                            <a:latin typeface="Cambria Math" panose="02040503050406030204" pitchFamily="18" charset="0"/>
                          </a:rPr>
                          <m:t>𝑷𝒓𝒆</m:t>
                        </m:r>
                        <m:r>
                          <a:rPr lang="pt-BR" sz="1600" b="1" i="1">
                            <a:latin typeface="Cambria Math" panose="02040503050406030204" pitchFamily="18" charset="0"/>
                          </a:rPr>
                          <m:t>ç</m:t>
                        </m:r>
                        <m:sSub>
                          <m:sSubPr>
                            <m:ctrlPr>
                              <a:rPr lang="pt-BR" sz="1600" b="1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pt-BR" sz="1600" b="1" i="1">
                                <a:latin typeface="Cambria Math" panose="02040503050406030204" pitchFamily="18" charset="0"/>
                              </a:rPr>
                              <m:t>𝒐</m:t>
                            </m:r>
                          </m:e>
                          <m:sub>
                            <m:r>
                              <a:rPr lang="pt-BR" sz="1600" b="1" i="1">
                                <a:latin typeface="Cambria Math" panose="02040503050406030204" pitchFamily="18" charset="0"/>
                              </a:rPr>
                              <m:t>𝒏</m:t>
                            </m:r>
                            <m:r>
                              <a:rPr lang="pt-BR" sz="1600" b="1" i="1">
                                <a:latin typeface="Cambria Math" panose="02040503050406030204" pitchFamily="18" charset="0"/>
                              </a:rPr>
                              <m:t>−</m:t>
                            </m:r>
                            <m:r>
                              <a:rPr lang="pt-BR" sz="1600" b="1" i="1">
                                <a:latin typeface="Cambria Math" panose="02040503050406030204" pitchFamily="18" charset="0"/>
                              </a:rPr>
                              <m:t>𝟏</m:t>
                            </m:r>
                          </m:sub>
                        </m:sSub>
                        <m:r>
                          <a:rPr lang="pt-BR" sz="1600" b="1" i="1">
                            <a:latin typeface="Cambria Math" panose="02040503050406030204" pitchFamily="18" charset="0"/>
                          </a:rPr>
                          <m:t>∗</m:t>
                        </m:r>
                        <m:d>
                          <m:dPr>
                            <m:ctrlPr>
                              <a:rPr lang="pt-BR" sz="1600" b="1" i="1">
                                <a:latin typeface="Cambria Math" panose="02040503050406030204" pitchFamily="18" charset="0"/>
                              </a:rPr>
                            </m:ctrlPr>
                          </m:dPr>
                          <m:e>
                            <m:r>
                              <a:rPr lang="pt-BR" sz="1600" b="1" i="1">
                                <a:latin typeface="Cambria Math" panose="02040503050406030204" pitchFamily="18" charset="0"/>
                              </a:rPr>
                              <m:t>(</m:t>
                            </m:r>
                            <m:r>
                              <a:rPr lang="pt-BR" sz="1600" b="1" i="1">
                                <a:latin typeface="Cambria Math" panose="02040503050406030204" pitchFamily="18" charset="0"/>
                              </a:rPr>
                              <m:t>𝟏</m:t>
                            </m:r>
                            <m:r>
                              <a:rPr lang="pt-BR" sz="1600" b="1" i="1">
                                <a:latin typeface="Cambria Math" panose="02040503050406030204" pitchFamily="18" charset="0"/>
                              </a:rPr>
                              <m:t>+</m:t>
                            </m:r>
                            <m:r>
                              <a:rPr lang="pt-BR" sz="1600" b="1" i="1">
                                <a:latin typeface="Cambria Math" panose="02040503050406030204" pitchFamily="18" charset="0"/>
                              </a:rPr>
                              <m:t>𝑪𝒓𝒆𝒔𝒄𝒊𝒎</m:t>
                            </m:r>
                            <m:r>
                              <a:rPr lang="pt-BR" sz="1600" b="1" i="1">
                                <a:latin typeface="Cambria Math" panose="02040503050406030204" pitchFamily="18" charset="0"/>
                              </a:rPr>
                              <m:t>. </m:t>
                            </m:r>
                            <m:r>
                              <a:rPr lang="pt-BR" sz="1600" b="1" i="1">
                                <a:latin typeface="Cambria Math" panose="02040503050406030204" pitchFamily="18" charset="0"/>
                              </a:rPr>
                              <m:t>𝒅𝒐</m:t>
                            </m:r>
                            <m:r>
                              <a:rPr lang="pt-BR" sz="1600" b="1" i="1">
                                <a:latin typeface="Cambria Math" panose="02040503050406030204" pitchFamily="18" charset="0"/>
                              </a:rPr>
                              <m:t> </m:t>
                            </m:r>
                            <m:r>
                              <a:rPr lang="pt-BR" sz="1600" b="1" i="1">
                                <a:latin typeface="Cambria Math" panose="02040503050406030204" pitchFamily="18" charset="0"/>
                              </a:rPr>
                              <m:t>𝒑𝒓𝒆</m:t>
                            </m:r>
                            <m:r>
                              <a:rPr lang="pt-BR" sz="1600" b="1" i="1">
                                <a:latin typeface="Cambria Math" panose="02040503050406030204" pitchFamily="18" charset="0"/>
                              </a:rPr>
                              <m:t>ç</m:t>
                            </m:r>
                            <m:r>
                              <a:rPr lang="pt-BR" sz="1600" b="1" i="1">
                                <a:latin typeface="Cambria Math" panose="02040503050406030204" pitchFamily="18" charset="0"/>
                              </a:rPr>
                              <m:t>𝒐</m:t>
                            </m:r>
                          </m:e>
                        </m:d>
                        <m:r>
                          <a:rPr lang="pt-BR" sz="1600" b="1" i="1">
                            <a:latin typeface="Cambria Math" panose="02040503050406030204" pitchFamily="18" charset="0"/>
                          </a:rPr>
                          <m:t>∗</m:t>
                        </m:r>
                        <m:d>
                          <m:dPr>
                            <m:ctrlPr>
                              <a:rPr lang="pt-BR" sz="1600" b="1" i="1">
                                <a:latin typeface="Cambria Math" panose="02040503050406030204" pitchFamily="18" charset="0"/>
                              </a:rPr>
                            </m:ctrlPr>
                          </m:dPr>
                          <m:e>
                            <m:r>
                              <a:rPr lang="pt-BR" sz="1600" b="1" i="1">
                                <a:latin typeface="Cambria Math" panose="02040503050406030204" pitchFamily="18" charset="0"/>
                              </a:rPr>
                              <m:t>𝟏</m:t>
                            </m:r>
                            <m:r>
                              <a:rPr lang="pt-BR" sz="1600" b="1" i="1">
                                <a:latin typeface="Cambria Math" panose="02040503050406030204" pitchFamily="18" charset="0"/>
                              </a:rPr>
                              <m:t>+</m:t>
                            </m:r>
                            <m:r>
                              <a:rPr lang="pt-BR" sz="1600" b="1" i="1">
                                <a:latin typeface="Cambria Math" panose="02040503050406030204" pitchFamily="18" charset="0"/>
                              </a:rPr>
                              <m:t>𝑰𝒏𝒇𝒍𝒂</m:t>
                            </m:r>
                            <m:r>
                              <a:rPr lang="pt-BR" sz="1600" b="1" i="1">
                                <a:latin typeface="Cambria Math" panose="02040503050406030204" pitchFamily="18" charset="0"/>
                              </a:rPr>
                              <m:t>çã</m:t>
                            </m:r>
                            <m:r>
                              <a:rPr lang="pt-BR" sz="1600" b="1" i="1">
                                <a:latin typeface="Cambria Math" panose="02040503050406030204" pitchFamily="18" charset="0"/>
                              </a:rPr>
                              <m:t>𝒐</m:t>
                            </m:r>
                          </m:e>
                        </m:d>
                      </m:e>
                    </m:d>
                    <m:r>
                      <a:rPr lang="pt-BR" sz="1600" b="1" i="1">
                        <a:latin typeface="Cambria Math" panose="02040503050406030204" pitchFamily="18" charset="0"/>
                      </a:rPr>
                      <m:t>−</m:t>
                    </m:r>
                    <m:r>
                      <a:rPr lang="pt-BR" sz="1600" b="1" i="1">
                        <a:latin typeface="Cambria Math" panose="02040503050406030204" pitchFamily="18" charset="0"/>
                      </a:rPr>
                      <m:t>𝟏</m:t>
                    </m:r>
                    <m:r>
                      <a:rPr lang="pt-BR" sz="1600" b="1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pt-BR" sz="1600" b="1"/>
            </a:p>
            <a:p>
              <a:endParaRPr lang="pt-BR" sz="1200" b="1"/>
            </a:p>
          </xdr:txBody>
        </xdr:sp>
      </mc:Choice>
      <mc:Fallback xmlns="">
        <xdr:sp macro="" textlink="">
          <xdr:nvSpPr>
            <xdr:cNvPr id="2" name="CaixaDeTexto 1"/>
            <xdr:cNvSpPr txBox="1"/>
          </xdr:nvSpPr>
          <xdr:spPr>
            <a:xfrm>
              <a:off x="9545818" y="267336"/>
              <a:ext cx="7813008" cy="27694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noAutofit/>
            </a:bodyPr>
            <a:lstStyle/>
            <a:p>
              <a:pPr/>
              <a:r>
                <a:rPr lang="pt-BR" sz="1600" b="1" i="0">
                  <a:latin typeface="Cambria Math" panose="02040503050406030204" pitchFamily="18" charset="0"/>
                </a:rPr>
                <a:t>𝑷𝒓𝒆ç𝒐_𝒏=𝑷𝒓𝒆ç𝒐_(𝒏−𝟏)+(𝑷𝒓𝒆ç𝒐_(𝒏−𝟏)∗((𝟏+𝑪𝒓𝒆𝒔𝒄𝒊𝒎. 𝒅𝒐 𝒑𝒓𝒆ç𝒐)∗(𝟏+𝑰𝒏𝒇𝒍𝒂çã𝒐))−𝟏)</a:t>
              </a:r>
              <a:endParaRPr lang="pt-BR" sz="1600" b="1"/>
            </a:p>
            <a:p>
              <a:endParaRPr lang="pt-BR" sz="1200" b="1"/>
            </a:p>
          </xdr:txBody>
        </xdr:sp>
      </mc:Fallback>
    </mc:AlternateContent>
    <xdr:clientData/>
  </xdr:one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62"/>
  <sheetViews>
    <sheetView tabSelected="1" zoomScale="73" zoomScaleNormal="73" workbookViewId="0">
      <selection activeCell="J49" sqref="J49"/>
    </sheetView>
  </sheetViews>
  <sheetFormatPr defaultRowHeight="15" x14ac:dyDescent="0.25"/>
  <cols>
    <col min="2" max="2" width="37.140625" bestFit="1" customWidth="1"/>
    <col min="3" max="3" width="39.140625" customWidth="1"/>
    <col min="4" max="4" width="22.140625" bestFit="1" customWidth="1"/>
    <col min="5" max="5" width="34.7109375" bestFit="1" customWidth="1"/>
    <col min="6" max="6" width="33.7109375" bestFit="1" customWidth="1"/>
    <col min="7" max="7" width="20.140625" bestFit="1" customWidth="1"/>
    <col min="8" max="8" width="27" bestFit="1" customWidth="1"/>
    <col min="9" max="9" width="17.7109375" bestFit="1" customWidth="1"/>
    <col min="10" max="10" width="37.140625" bestFit="1" customWidth="1"/>
    <col min="11" max="11" width="16.85546875" bestFit="1" customWidth="1"/>
  </cols>
  <sheetData>
    <row r="1" spans="2:15" ht="15.75" thickBot="1" x14ac:dyDescent="0.3"/>
    <row r="2" spans="2:15" ht="19.5" thickBot="1" x14ac:dyDescent="0.35">
      <c r="B2" s="94" t="s">
        <v>58</v>
      </c>
      <c r="C2" s="95"/>
      <c r="D2" s="95"/>
      <c r="E2" s="96"/>
      <c r="H2" t="s">
        <v>59</v>
      </c>
    </row>
    <row r="3" spans="2:15" x14ac:dyDescent="0.25">
      <c r="B3" s="9" t="s">
        <v>7</v>
      </c>
      <c r="C3" s="34">
        <v>3.2500000000000001E-2</v>
      </c>
      <c r="D3" s="4" t="s">
        <v>43</v>
      </c>
      <c r="E3" s="35">
        <v>0.1429</v>
      </c>
      <c r="H3" s="1"/>
    </row>
    <row r="4" spans="2:15" x14ac:dyDescent="0.25">
      <c r="B4" s="10" t="s">
        <v>12</v>
      </c>
      <c r="C4" s="8">
        <v>0.13400000000000001</v>
      </c>
      <c r="D4" s="3" t="s">
        <v>44</v>
      </c>
      <c r="E4" s="36">
        <v>0.24490000000000001</v>
      </c>
      <c r="G4">
        <f>1.01*1.0325</f>
        <v>1.0428249999999999</v>
      </c>
      <c r="J4" s="2"/>
      <c r="K4" s="2"/>
      <c r="M4" t="s">
        <v>14</v>
      </c>
      <c r="O4" t="s">
        <v>15</v>
      </c>
    </row>
    <row r="5" spans="2:15" x14ac:dyDescent="0.25">
      <c r="B5" s="41" t="s">
        <v>13</v>
      </c>
      <c r="C5" s="42">
        <v>6200000</v>
      </c>
      <c r="D5" s="3" t="s">
        <v>45</v>
      </c>
      <c r="E5" s="36">
        <v>0.1749</v>
      </c>
      <c r="G5">
        <f>(1+1%)*(1+$C$3) -1</f>
        <v>4.2824999999999891E-2</v>
      </c>
      <c r="J5" s="2"/>
      <c r="K5" s="2"/>
    </row>
    <row r="6" spans="2:15" x14ac:dyDescent="0.25">
      <c r="B6" s="47" t="s">
        <v>18</v>
      </c>
      <c r="C6" s="43">
        <v>0.11</v>
      </c>
      <c r="D6" s="3" t="s">
        <v>46</v>
      </c>
      <c r="E6" s="36">
        <v>0.1249</v>
      </c>
      <c r="J6" s="2"/>
    </row>
    <row r="7" spans="2:15" x14ac:dyDescent="0.25">
      <c r="B7" s="41" t="s">
        <v>17</v>
      </c>
      <c r="C7" s="44">
        <v>2.5000000000000001E-2</v>
      </c>
      <c r="D7" s="3" t="s">
        <v>50</v>
      </c>
      <c r="E7" s="37">
        <v>0.34</v>
      </c>
      <c r="G7" s="2"/>
      <c r="J7" s="2"/>
    </row>
    <row r="8" spans="2:15" x14ac:dyDescent="0.25">
      <c r="B8" s="48" t="s">
        <v>21</v>
      </c>
      <c r="C8" s="38">
        <v>32000000</v>
      </c>
      <c r="D8" s="3" t="s">
        <v>47</v>
      </c>
      <c r="E8" s="5">
        <v>65000000</v>
      </c>
      <c r="J8" s="2"/>
    </row>
    <row r="9" spans="2:15" x14ac:dyDescent="0.25">
      <c r="B9" s="48" t="s">
        <v>22</v>
      </c>
      <c r="C9" s="39">
        <v>0.02</v>
      </c>
      <c r="D9" s="3" t="s">
        <v>0</v>
      </c>
      <c r="E9" s="5">
        <v>-5000000</v>
      </c>
      <c r="F9" s="2"/>
    </row>
    <row r="10" spans="2:15" ht="15.75" thickBot="1" x14ac:dyDescent="0.3">
      <c r="B10" s="49" t="s">
        <v>23</v>
      </c>
      <c r="C10" s="40">
        <v>0.08</v>
      </c>
      <c r="D10" s="6" t="s">
        <v>1</v>
      </c>
      <c r="E10" s="7">
        <v>-10000000</v>
      </c>
    </row>
    <row r="11" spans="2:15" ht="15" customHeight="1" x14ac:dyDescent="0.25"/>
    <row r="12" spans="2:15" ht="15.75" thickBot="1" x14ac:dyDescent="0.3"/>
    <row r="13" spans="2:15" ht="15.75" thickBot="1" x14ac:dyDescent="0.3">
      <c r="B13" s="45"/>
      <c r="C13" s="46"/>
      <c r="D13" s="11" t="s">
        <v>3</v>
      </c>
      <c r="E13" s="11" t="s">
        <v>8</v>
      </c>
      <c r="F13" s="11" t="s">
        <v>9</v>
      </c>
      <c r="G13" s="11" t="s">
        <v>10</v>
      </c>
      <c r="H13" s="11" t="s">
        <v>11</v>
      </c>
    </row>
    <row r="14" spans="2:15" x14ac:dyDescent="0.25">
      <c r="B14" s="89" t="s">
        <v>4</v>
      </c>
      <c r="C14" s="22" t="s">
        <v>16</v>
      </c>
      <c r="D14" s="23" t="s">
        <v>6</v>
      </c>
      <c r="E14" s="24">
        <f>C5</f>
        <v>6200000</v>
      </c>
      <c r="F14" s="25">
        <f>E14*(1+$C$7)</f>
        <v>6354999.9999999991</v>
      </c>
      <c r="G14" s="25">
        <f>F14*(1+$C$7)</f>
        <v>6513874.9999999981</v>
      </c>
      <c r="H14" s="25">
        <f>G14*(1+$C$7)</f>
        <v>6676721.8749999972</v>
      </c>
    </row>
    <row r="15" spans="2:15" x14ac:dyDescent="0.25">
      <c r="B15" s="90"/>
      <c r="C15" s="26" t="s">
        <v>19</v>
      </c>
      <c r="D15" s="27" t="s">
        <v>6</v>
      </c>
      <c r="E15" s="28">
        <f>E14*4</f>
        <v>24800000</v>
      </c>
      <c r="F15" s="28">
        <f t="shared" ref="F15:H15" si="0">F14*4</f>
        <v>25419999.999999996</v>
      </c>
      <c r="G15" s="28">
        <f t="shared" si="0"/>
        <v>26055499.999999993</v>
      </c>
      <c r="H15" s="28">
        <f t="shared" si="0"/>
        <v>26706887.499999989</v>
      </c>
    </row>
    <row r="16" spans="2:15" x14ac:dyDescent="0.25">
      <c r="B16" s="90"/>
      <c r="C16" s="26" t="s">
        <v>18</v>
      </c>
      <c r="D16" s="27" t="s">
        <v>6</v>
      </c>
      <c r="E16" s="29">
        <f>E15*$C$6</f>
        <v>2728000</v>
      </c>
      <c r="F16" s="29">
        <f>F15*$C$6</f>
        <v>2796199.9999999995</v>
      </c>
      <c r="G16" s="29">
        <f>G15*$C$6</f>
        <v>2866104.9999999991</v>
      </c>
      <c r="H16" s="28">
        <f>H15*$C$6</f>
        <v>2937757.6249999986</v>
      </c>
    </row>
    <row r="17" spans="2:8" x14ac:dyDescent="0.25">
      <c r="B17" s="90"/>
      <c r="C17" s="26" t="s">
        <v>2</v>
      </c>
      <c r="D17" s="27" t="s">
        <v>6</v>
      </c>
      <c r="E17" s="30">
        <v>41</v>
      </c>
      <c r="F17" s="30">
        <f>E17+(E17*((1+1%)*(1+$C$3)-1))</f>
        <v>42.755824999999994</v>
      </c>
      <c r="G17" s="30">
        <f>F17+(F17*((1+1%)*(1+$C$3)-1))</f>
        <v>44.586843205624987</v>
      </c>
      <c r="H17" s="30">
        <f t="shared" ref="G17:H18" si="1">G17+(G17*((1+1%)*(1+$C$3)-1))</f>
        <v>46.496274765905873</v>
      </c>
    </row>
    <row r="18" spans="2:8" x14ac:dyDescent="0.25">
      <c r="B18" s="90"/>
      <c r="C18" s="26" t="s">
        <v>5</v>
      </c>
      <c r="D18" s="27" t="s">
        <v>6</v>
      </c>
      <c r="E18" s="30">
        <v>29</v>
      </c>
      <c r="F18" s="30">
        <f>E18+(E18*((1+1%)*(1+$C$3)-1))</f>
        <v>30.241924999999998</v>
      </c>
      <c r="G18" s="30">
        <f t="shared" si="1"/>
        <v>31.537035438124995</v>
      </c>
      <c r="H18" s="30">
        <f t="shared" si="1"/>
        <v>32.887608980762693</v>
      </c>
    </row>
    <row r="19" spans="2:8" x14ac:dyDescent="0.25">
      <c r="B19" s="90"/>
      <c r="C19" s="26" t="s">
        <v>25</v>
      </c>
      <c r="D19" s="27" t="s">
        <v>6</v>
      </c>
      <c r="E19" s="30">
        <f>E16*E18</f>
        <v>79112000</v>
      </c>
      <c r="F19" s="30">
        <f t="shared" ref="F19:H19" si="2">F16*F18</f>
        <v>84562470.684999987</v>
      </c>
      <c r="G19" s="30">
        <f t="shared" si="2"/>
        <v>90388454.954387218</v>
      </c>
      <c r="H19" s="30">
        <f t="shared" si="2"/>
        <v>96615824.051254034</v>
      </c>
    </row>
    <row r="20" spans="2:8" ht="15.75" thickBot="1" x14ac:dyDescent="0.3">
      <c r="B20" s="91"/>
      <c r="C20" s="31" t="s">
        <v>26</v>
      </c>
      <c r="D20" s="32" t="s">
        <v>6</v>
      </c>
      <c r="E20" s="33">
        <f>E16*E17</f>
        <v>111848000</v>
      </c>
      <c r="F20" s="33">
        <f t="shared" ref="F20:H20" si="3">F16*F17</f>
        <v>119553837.86499996</v>
      </c>
      <c r="G20" s="33">
        <f t="shared" si="3"/>
        <v>127790574.24585776</v>
      </c>
      <c r="H20" s="33">
        <f t="shared" si="3"/>
        <v>136594785.727635</v>
      </c>
    </row>
    <row r="21" spans="2:8" x14ac:dyDescent="0.25">
      <c r="B21" s="86" t="s">
        <v>24</v>
      </c>
      <c r="C21" s="12" t="s">
        <v>20</v>
      </c>
      <c r="D21" s="13" t="s">
        <v>6</v>
      </c>
      <c r="E21" s="14">
        <v>32000000</v>
      </c>
      <c r="F21" s="14">
        <f>E21+E21*$C$9</f>
        <v>32640000</v>
      </c>
      <c r="G21" s="14">
        <f>F21+F21*$C$9</f>
        <v>33292800</v>
      </c>
      <c r="H21" s="14">
        <f>G21+G21*$C$9</f>
        <v>33958656</v>
      </c>
    </row>
    <row r="22" spans="2:8" x14ac:dyDescent="0.25">
      <c r="B22" s="87"/>
      <c r="C22" s="15" t="s">
        <v>23</v>
      </c>
      <c r="D22" s="16"/>
      <c r="E22" s="17">
        <f>E21*$C$10</f>
        <v>2560000</v>
      </c>
      <c r="F22" s="17">
        <f>F21*$C$10</f>
        <v>2611200</v>
      </c>
      <c r="G22" s="17">
        <f>G21*$C$10</f>
        <v>2663424</v>
      </c>
      <c r="H22" s="17">
        <f>H21*$C$10</f>
        <v>2716692.48</v>
      </c>
    </row>
    <row r="23" spans="2:8" x14ac:dyDescent="0.25">
      <c r="B23" s="87"/>
      <c r="C23" s="15" t="s">
        <v>2</v>
      </c>
      <c r="D23" s="18" t="s">
        <v>6</v>
      </c>
      <c r="E23" s="19">
        <v>62</v>
      </c>
      <c r="F23" s="19">
        <f t="shared" ref="F23:H24" si="4">E23+(E23*((1+1%)*(1+$C$3)-1))</f>
        <v>64.655149999999992</v>
      </c>
      <c r="G23" s="19">
        <f t="shared" si="4"/>
        <v>67.424006798749986</v>
      </c>
      <c r="H23" s="19">
        <f t="shared" si="4"/>
        <v>70.311439889906453</v>
      </c>
    </row>
    <row r="24" spans="2:8" x14ac:dyDescent="0.25">
      <c r="B24" s="87"/>
      <c r="C24" s="15" t="s">
        <v>5</v>
      </c>
      <c r="D24" s="18" t="s">
        <v>6</v>
      </c>
      <c r="E24" s="19">
        <f>E18</f>
        <v>29</v>
      </c>
      <c r="F24" s="19">
        <f t="shared" si="4"/>
        <v>30.241924999999998</v>
      </c>
      <c r="G24" s="19">
        <f t="shared" si="4"/>
        <v>31.537035438124995</v>
      </c>
      <c r="H24" s="19">
        <f t="shared" si="4"/>
        <v>32.887608980762693</v>
      </c>
    </row>
    <row r="25" spans="2:8" x14ac:dyDescent="0.25">
      <c r="B25" s="87"/>
      <c r="C25" s="15" t="s">
        <v>25</v>
      </c>
      <c r="D25" s="20" t="s">
        <v>6</v>
      </c>
      <c r="E25" s="21">
        <f>E24*E22</f>
        <v>74240000</v>
      </c>
      <c r="F25" s="21">
        <f t="shared" ref="F25:H25" si="5">F24*F22</f>
        <v>78967714.560000002</v>
      </c>
      <c r="G25" s="21">
        <f>G24*G22</f>
        <v>83996497.074752629</v>
      </c>
      <c r="H25" s="21">
        <f t="shared" si="5"/>
        <v>89345520.003218472</v>
      </c>
    </row>
    <row r="26" spans="2:8" ht="15.75" thickBot="1" x14ac:dyDescent="0.3">
      <c r="B26" s="88"/>
      <c r="C26" s="50" t="s">
        <v>26</v>
      </c>
      <c r="D26" s="51" t="s">
        <v>6</v>
      </c>
      <c r="E26" s="52">
        <f>E23*E22</f>
        <v>158720000</v>
      </c>
      <c r="F26" s="52">
        <f t="shared" ref="F26:H26" si="6">F23*F22</f>
        <v>168827527.67999998</v>
      </c>
      <c r="G26" s="52">
        <f t="shared" si="6"/>
        <v>179578717.88395387</v>
      </c>
      <c r="H26" s="52">
        <f t="shared" si="6"/>
        <v>191014560.00688088</v>
      </c>
    </row>
    <row r="27" spans="2:8" x14ac:dyDescent="0.25">
      <c r="B27" s="92" t="s">
        <v>57</v>
      </c>
      <c r="C27" s="53" t="s">
        <v>49</v>
      </c>
      <c r="D27" s="54">
        <v>160000000</v>
      </c>
      <c r="E27" s="55">
        <f>D27-D27*E3</f>
        <v>137136000</v>
      </c>
      <c r="F27" s="55">
        <f>E27-D27*E4</f>
        <v>97952000</v>
      </c>
      <c r="G27" s="55">
        <f>F27-D27*E5</f>
        <v>69968000</v>
      </c>
      <c r="H27" s="56">
        <f>G27-D27*E6</f>
        <v>49984000</v>
      </c>
    </row>
    <row r="28" spans="2:8" ht="15.75" thickBot="1" x14ac:dyDescent="0.3">
      <c r="B28" s="93"/>
      <c r="C28" s="57" t="s">
        <v>27</v>
      </c>
      <c r="D28" s="58">
        <v>9000000</v>
      </c>
      <c r="E28" s="58">
        <f>15%*(E20+E26)</f>
        <v>40585200</v>
      </c>
      <c r="F28" s="58">
        <f>15%*(F20+F26)</f>
        <v>43257204.831749991</v>
      </c>
      <c r="G28" s="58">
        <f>15%*(G20+G26)</f>
        <v>46105393.819471747</v>
      </c>
      <c r="H28" s="59">
        <v>0</v>
      </c>
    </row>
    <row r="30" spans="2:8" ht="15.75" thickBot="1" x14ac:dyDescent="0.3">
      <c r="E30" s="79"/>
      <c r="F30" s="79"/>
    </row>
    <row r="31" spans="2:8" ht="15.75" thickBot="1" x14ac:dyDescent="0.3">
      <c r="D31" s="60" t="s">
        <v>36</v>
      </c>
      <c r="E31" s="60" t="s">
        <v>32</v>
      </c>
      <c r="F31" s="60" t="s">
        <v>33</v>
      </c>
      <c r="G31" s="60" t="s">
        <v>34</v>
      </c>
      <c r="H31" s="60" t="s">
        <v>35</v>
      </c>
    </row>
    <row r="32" spans="2:8" x14ac:dyDescent="0.25">
      <c r="C32" s="80" t="s">
        <v>37</v>
      </c>
      <c r="D32" s="62">
        <v>-160000000</v>
      </c>
      <c r="E32" s="62"/>
      <c r="F32" s="62"/>
      <c r="G32" s="62"/>
      <c r="H32" s="62"/>
    </row>
    <row r="33" spans="3:10" x14ac:dyDescent="0.25">
      <c r="C33" s="81" t="s">
        <v>38</v>
      </c>
      <c r="D33" s="62"/>
      <c r="E33" s="62"/>
      <c r="F33" s="62"/>
      <c r="G33" s="62"/>
      <c r="H33" s="67">
        <f>E8+((H27-E8)*E7)</f>
        <v>59894560</v>
      </c>
    </row>
    <row r="34" spans="3:10" ht="15.75" thickBot="1" x14ac:dyDescent="0.3">
      <c r="C34" s="82" t="s">
        <v>51</v>
      </c>
      <c r="D34" s="64">
        <v>-9000000</v>
      </c>
      <c r="E34" s="66">
        <f>-E28+D28</f>
        <v>-31585200</v>
      </c>
      <c r="F34" s="66">
        <f>-F28+E28</f>
        <v>-2672004.8317499906</v>
      </c>
      <c r="G34" s="66">
        <f>-G28+F28</f>
        <v>-2848188.9877217561</v>
      </c>
      <c r="H34" s="66">
        <f>-H28+G28</f>
        <v>46105393.819471747</v>
      </c>
    </row>
    <row r="35" spans="3:10" ht="16.5" thickTop="1" thickBot="1" x14ac:dyDescent="0.3">
      <c r="C35" s="83" t="s">
        <v>39</v>
      </c>
      <c r="D35" s="61"/>
      <c r="E35" s="61">
        <f>E20+E26</f>
        <v>270568000</v>
      </c>
      <c r="F35" s="61">
        <f>F20+F26</f>
        <v>288381365.54499996</v>
      </c>
      <c r="G35" s="61">
        <f>G20+G26</f>
        <v>307369292.12981164</v>
      </c>
      <c r="H35" s="61">
        <f>H20+H26</f>
        <v>327609345.73451591</v>
      </c>
      <c r="J35" s="79">
        <f>E8-H27</f>
        <v>15016000</v>
      </c>
    </row>
    <row r="36" spans="3:10" ht="15.75" thickTop="1" x14ac:dyDescent="0.25">
      <c r="C36" s="81" t="s">
        <v>40</v>
      </c>
      <c r="D36" s="62"/>
      <c r="E36" s="62">
        <f>-(E19+E25)</f>
        <v>-153352000</v>
      </c>
      <c r="F36" s="62">
        <f>-(F19+F25)</f>
        <v>-163530185.245</v>
      </c>
      <c r="G36" s="62">
        <f>-(G19+G25)</f>
        <v>-174384952.02913985</v>
      </c>
      <c r="H36" s="62">
        <f>-(H19+H25)</f>
        <v>-185961344.05447251</v>
      </c>
      <c r="J36" s="79">
        <f>J35*E7</f>
        <v>5105440</v>
      </c>
    </row>
    <row r="37" spans="3:10" x14ac:dyDescent="0.25">
      <c r="C37" s="81" t="s">
        <v>48</v>
      </c>
      <c r="D37" s="62"/>
      <c r="E37" s="62">
        <v>-43000000</v>
      </c>
      <c r="F37" s="62">
        <f>E37*(1+$C$3)</f>
        <v>-44397500</v>
      </c>
      <c r="G37" s="62">
        <f>F37*(1+$C$3)</f>
        <v>-45840418.75</v>
      </c>
      <c r="H37" s="62">
        <f>G37*(1+$C$3)</f>
        <v>-47330232.359375</v>
      </c>
      <c r="J37" s="79">
        <f>E8-J36</f>
        <v>59894560</v>
      </c>
    </row>
    <row r="38" spans="3:10" ht="15.75" thickBot="1" x14ac:dyDescent="0.3">
      <c r="C38" s="82" t="s">
        <v>41</v>
      </c>
      <c r="D38" s="63"/>
      <c r="E38" s="64">
        <f>E27-D27</f>
        <v>-22864000</v>
      </c>
      <c r="F38" s="64">
        <f>F27-E27</f>
        <v>-39184000</v>
      </c>
      <c r="G38" s="64">
        <f>G27-F27</f>
        <v>-27984000</v>
      </c>
      <c r="H38" s="64">
        <f>H27-G27</f>
        <v>-19984000</v>
      </c>
    </row>
    <row r="39" spans="3:10" ht="16.5" thickTop="1" thickBot="1" x14ac:dyDescent="0.3">
      <c r="C39" s="82" t="s">
        <v>42</v>
      </c>
      <c r="D39" s="64"/>
      <c r="E39" s="64">
        <f>SUM(E35:E38)</f>
        <v>51352000</v>
      </c>
      <c r="F39" s="64">
        <f t="shared" ref="F39:H39" si="7">SUM(F35:F38)</f>
        <v>41269680.299999952</v>
      </c>
      <c r="G39" s="64">
        <f t="shared" si="7"/>
        <v>59159921.350671798</v>
      </c>
      <c r="H39" s="64">
        <f t="shared" si="7"/>
        <v>74333769.320668399</v>
      </c>
    </row>
    <row r="40" spans="3:10" ht="15.75" thickTop="1" x14ac:dyDescent="0.25">
      <c r="C40" s="81" t="s">
        <v>28</v>
      </c>
      <c r="D40" s="62"/>
      <c r="E40" s="62">
        <f>-E39*$E$7</f>
        <v>-17459680</v>
      </c>
      <c r="F40" s="62">
        <f>-F39*$E$7</f>
        <v>-14031691.301999984</v>
      </c>
      <c r="G40" s="62">
        <f>-G39*$E$7</f>
        <v>-20114373.259228412</v>
      </c>
      <c r="H40" s="62">
        <f>-H39*$E$7</f>
        <v>-25273481.569027256</v>
      </c>
    </row>
    <row r="41" spans="3:10" ht="15.75" thickBot="1" x14ac:dyDescent="0.3">
      <c r="C41" s="82" t="s">
        <v>29</v>
      </c>
      <c r="D41" s="64"/>
      <c r="E41" s="64">
        <f>-E38</f>
        <v>22864000</v>
      </c>
      <c r="F41" s="64">
        <f t="shared" ref="F41:H41" si="8">-F38</f>
        <v>39184000</v>
      </c>
      <c r="G41" s="64">
        <f t="shared" si="8"/>
        <v>27984000</v>
      </c>
      <c r="H41" s="64">
        <f t="shared" si="8"/>
        <v>19984000</v>
      </c>
    </row>
    <row r="42" spans="3:10" ht="16.5" thickTop="1" thickBot="1" x14ac:dyDescent="0.3">
      <c r="C42" s="84" t="s">
        <v>30</v>
      </c>
      <c r="D42" s="64"/>
      <c r="E42" s="64">
        <f>SUM(E39:E41)</f>
        <v>56756320</v>
      </c>
      <c r="F42" s="64">
        <f t="shared" ref="F42:H42" si="9">SUM(F39:F41)</f>
        <v>66421988.997999966</v>
      </c>
      <c r="G42" s="64">
        <f t="shared" si="9"/>
        <v>67029548.09144339</v>
      </c>
      <c r="H42" s="64">
        <f t="shared" si="9"/>
        <v>69044287.751641139</v>
      </c>
    </row>
    <row r="43" spans="3:10" ht="16.5" thickTop="1" thickBot="1" x14ac:dyDescent="0.3">
      <c r="C43" s="85" t="s">
        <v>31</v>
      </c>
      <c r="D43" s="65">
        <f>D34+D32</f>
        <v>-169000000</v>
      </c>
      <c r="E43" s="65">
        <f>E42+E34</f>
        <v>25171120</v>
      </c>
      <c r="F43" s="65">
        <f>F42+F34</f>
        <v>63749984.166249976</v>
      </c>
      <c r="G43" s="65">
        <f>G42+G34</f>
        <v>64181359.103721634</v>
      </c>
      <c r="H43" s="65">
        <f>H42+H33+H34</f>
        <v>175044241.57111287</v>
      </c>
    </row>
    <row r="44" spans="3:10" x14ac:dyDescent="0.25">
      <c r="E44" s="79"/>
    </row>
    <row r="45" spans="3:10" ht="15.75" thickBot="1" x14ac:dyDescent="0.3"/>
    <row r="46" spans="3:10" ht="15.75" thickBot="1" x14ac:dyDescent="0.3">
      <c r="C46" s="68" t="s">
        <v>52</v>
      </c>
      <c r="D46" s="69">
        <f>NPV(C4,E43:H43)+D43</f>
        <v>52633775.459562212</v>
      </c>
    </row>
    <row r="47" spans="3:10" ht="15.75" thickBot="1" x14ac:dyDescent="0.3">
      <c r="C47" s="70" t="s">
        <v>53</v>
      </c>
      <c r="D47" s="71">
        <f>IRR(D43:H43)</f>
        <v>0.24114572542157697</v>
      </c>
      <c r="F47" s="97" t="s">
        <v>56</v>
      </c>
      <c r="G47" s="98"/>
    </row>
    <row r="48" spans="3:10" x14ac:dyDescent="0.25">
      <c r="C48" s="70" t="s">
        <v>54</v>
      </c>
      <c r="D48" s="72">
        <f>3+G48</f>
        <v>3.090820106890348</v>
      </c>
      <c r="F48" s="77">
        <f>SUM(E43:G43)</f>
        <v>153102463.26997161</v>
      </c>
      <c r="G48" s="78">
        <f>-F49/H43</f>
        <v>9.0820106890348126E-2</v>
      </c>
      <c r="H48" s="79"/>
    </row>
    <row r="49" spans="3:9" ht="15.75" thickBot="1" x14ac:dyDescent="0.3">
      <c r="C49" s="73" t="s">
        <v>55</v>
      </c>
      <c r="D49" s="74">
        <f>NPV(C4,E43:H43)/-D43</f>
        <v>1.3114424583406048</v>
      </c>
      <c r="F49" s="75">
        <f>F48+D43</f>
        <v>-15897536.730028391</v>
      </c>
      <c r="G49" s="76">
        <f>3+G48</f>
        <v>3.090820106890348</v>
      </c>
      <c r="H49" s="79"/>
    </row>
    <row r="50" spans="3:9" x14ac:dyDescent="0.25">
      <c r="I50" s="79"/>
    </row>
    <row r="59" spans="3:9" x14ac:dyDescent="0.25">
      <c r="E59" s="1"/>
      <c r="F59" s="1"/>
    </row>
    <row r="60" spans="3:9" x14ac:dyDescent="0.25">
      <c r="E60" s="2"/>
    </row>
    <row r="61" spans="3:9" x14ac:dyDescent="0.25">
      <c r="E61" s="2"/>
    </row>
    <row r="62" spans="3:9" x14ac:dyDescent="0.25">
      <c r="E62" s="2"/>
    </row>
  </sheetData>
  <mergeCells count="5">
    <mergeCell ref="B21:B26"/>
    <mergeCell ref="B14:B20"/>
    <mergeCell ref="B27:B28"/>
    <mergeCell ref="B2:E2"/>
    <mergeCell ref="F47:G47"/>
  </mergeCell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</dc:creator>
  <cp:lastModifiedBy>Rafael</cp:lastModifiedBy>
  <dcterms:created xsi:type="dcterms:W3CDTF">2017-04-18T20:08:02Z</dcterms:created>
  <dcterms:modified xsi:type="dcterms:W3CDTF">2017-04-19T20:44:09Z</dcterms:modified>
</cp:coreProperties>
</file>