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felip\Dropbox\roni\USP\1o semestre 2017\CONTABILIDADE EMPRESARIAL\"/>
    </mc:Choice>
  </mc:AlternateContent>
  <bookViews>
    <workbookView xWindow="0" yWindow="0" windowWidth="20520" windowHeight="8070" firstSheet="6" activeTab="14"/>
  </bookViews>
  <sheets>
    <sheet name="ENUNCIADO II" sheetId="27" r:id="rId1"/>
    <sheet name="LANÇAMENTOS" sheetId="29" r:id="rId2"/>
    <sheet name="Jan" sheetId="1" r:id="rId3"/>
    <sheet name="Fev" sheetId="2" r:id="rId4"/>
    <sheet name="Mar" sheetId="4" r:id="rId5"/>
    <sheet name="Abr" sheetId="5" r:id="rId6"/>
    <sheet name="Mai" sheetId="14" r:id="rId7"/>
    <sheet name="Jun" sheetId="7" r:id="rId8"/>
    <sheet name="Jul" sheetId="15" r:id="rId9"/>
    <sheet name="Ago" sheetId="21" r:id="rId10"/>
    <sheet name="Set" sheetId="22" r:id="rId11"/>
    <sheet name="Out" sheetId="23" r:id="rId12"/>
    <sheet name="Nov" sheetId="25" r:id="rId13"/>
    <sheet name="Dez" sheetId="26" r:id="rId14"/>
    <sheet name="CIA EXEMPLAR - DEMONSTR CONTÁBE" sheetId="28" r:id="rId15"/>
  </sheets>
  <definedNames>
    <definedName name="_ftn1" localSheetId="0">'ENUNCIADO II'!$C$75</definedName>
    <definedName name="_ftn1" localSheetId="1">LANÇAMENTOS!#REF!</definedName>
    <definedName name="_ftnref1" localSheetId="0">'ENUNCIADO II'!$C$71</definedName>
    <definedName name="_ftnref1" localSheetId="1">LANÇAMENTOS!#REF!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4" i="28" l="1"/>
  <c r="M94" i="28"/>
  <c r="M88" i="28"/>
  <c r="M87" i="28"/>
  <c r="M86" i="28"/>
  <c r="N93" i="28"/>
  <c r="M93" i="28"/>
  <c r="N92" i="28"/>
  <c r="M92" i="28"/>
  <c r="L92" i="28"/>
  <c r="L93" i="28"/>
  <c r="L90" i="28"/>
  <c r="L89" i="28"/>
  <c r="L88" i="28"/>
  <c r="L87" i="28"/>
  <c r="L86" i="28"/>
  <c r="L85" i="28"/>
  <c r="L84" i="28"/>
  <c r="L83" i="28"/>
  <c r="L107" i="28" l="1"/>
  <c r="L105" i="28" l="1"/>
  <c r="L104" i="28"/>
  <c r="N107" i="28"/>
  <c r="M107" i="28"/>
  <c r="K107" i="28"/>
  <c r="J91" i="28"/>
  <c r="J90" i="28"/>
  <c r="J89" i="28"/>
  <c r="N88" i="28"/>
  <c r="K88" i="28"/>
  <c r="J88" i="28"/>
  <c r="J87" i="28"/>
  <c r="J86" i="28"/>
  <c r="I91" i="28"/>
  <c r="I90" i="28"/>
  <c r="I88" i="28"/>
  <c r="I87" i="28"/>
  <c r="I86" i="28"/>
  <c r="N112" i="28"/>
  <c r="M112" i="28"/>
  <c r="L112" i="28"/>
  <c r="K112" i="28"/>
  <c r="J112" i="28"/>
  <c r="I112" i="28"/>
  <c r="H112" i="28"/>
  <c r="G112" i="28"/>
  <c r="F112" i="28"/>
  <c r="E112" i="28"/>
  <c r="D112" i="28"/>
  <c r="C112" i="28"/>
  <c r="D111" i="28" s="1"/>
  <c r="D113" i="28" s="1"/>
  <c r="H100" i="28"/>
  <c r="N104" i="28"/>
  <c r="M104" i="28"/>
  <c r="K104" i="28"/>
  <c r="J104" i="28"/>
  <c r="I104" i="28"/>
  <c r="H104" i="28"/>
  <c r="G104" i="28"/>
  <c r="F104" i="28"/>
  <c r="E104" i="28"/>
  <c r="F85" i="28"/>
  <c r="E85" i="28"/>
  <c r="D85" i="28"/>
  <c r="N90" i="28"/>
  <c r="M90" i="28"/>
  <c r="K90" i="28"/>
  <c r="H90" i="28"/>
  <c r="G90" i="28"/>
  <c r="F90" i="28"/>
  <c r="E90" i="28"/>
  <c r="N86" i="28"/>
  <c r="K86" i="28"/>
  <c r="H86" i="28"/>
  <c r="G86" i="28"/>
  <c r="F86" i="28"/>
  <c r="E86" i="28"/>
  <c r="N106" i="28"/>
  <c r="M106" i="28"/>
  <c r="L106" i="28"/>
  <c r="K106" i="28"/>
  <c r="J106" i="28"/>
  <c r="I106" i="28"/>
  <c r="H106" i="28"/>
  <c r="G106" i="28"/>
  <c r="F106" i="28"/>
  <c r="E106" i="28"/>
  <c r="D106" i="28"/>
  <c r="D100" i="28"/>
  <c r="N89" i="28"/>
  <c r="M89" i="28"/>
  <c r="K89" i="28"/>
  <c r="I89" i="28"/>
  <c r="H89" i="28"/>
  <c r="G89" i="28"/>
  <c r="F89" i="28"/>
  <c r="E89" i="28"/>
  <c r="D89" i="28"/>
  <c r="D86" i="28"/>
  <c r="N87" i="28"/>
  <c r="K87" i="28"/>
  <c r="H87" i="28"/>
  <c r="G87" i="28"/>
  <c r="F87" i="28"/>
  <c r="E87" i="28"/>
  <c r="D87" i="28"/>
  <c r="C104" i="28"/>
  <c r="C89" i="28"/>
  <c r="C99" i="28"/>
  <c r="C87" i="28"/>
  <c r="C105" i="28"/>
  <c r="N85" i="28"/>
  <c r="M85" i="28"/>
  <c r="K85" i="28"/>
  <c r="J85" i="28"/>
  <c r="I85" i="28"/>
  <c r="H85" i="28"/>
  <c r="G85" i="28"/>
  <c r="C85" i="28"/>
  <c r="N84" i="28"/>
  <c r="M84" i="28"/>
  <c r="K84" i="28"/>
  <c r="J84" i="28"/>
  <c r="I84" i="28"/>
  <c r="H84" i="28"/>
  <c r="G84" i="28"/>
  <c r="F84" i="28"/>
  <c r="E84" i="28"/>
  <c r="D84" i="28"/>
  <c r="C84" i="28"/>
  <c r="N83" i="28"/>
  <c r="M83" i="28"/>
  <c r="K83" i="28"/>
  <c r="J83" i="28"/>
  <c r="I83" i="28"/>
  <c r="H83" i="28"/>
  <c r="G83" i="28"/>
  <c r="F83" i="28"/>
  <c r="E83" i="28"/>
  <c r="D83" i="28"/>
  <c r="C83" i="28"/>
  <c r="N81" i="28"/>
  <c r="M81" i="28"/>
  <c r="L81" i="28"/>
  <c r="K81" i="28"/>
  <c r="J81" i="28"/>
  <c r="I81" i="28"/>
  <c r="H81" i="28"/>
  <c r="G81" i="28"/>
  <c r="F81" i="28"/>
  <c r="E81" i="28"/>
  <c r="D81" i="28"/>
  <c r="C81" i="28"/>
  <c r="N111" i="28"/>
  <c r="M111" i="28"/>
  <c r="M113" i="28" s="1"/>
  <c r="L111" i="28"/>
  <c r="L113" i="28" s="1"/>
  <c r="K111" i="28"/>
  <c r="J111" i="28"/>
  <c r="I111" i="28"/>
  <c r="I113" i="28" s="1"/>
  <c r="H111" i="28"/>
  <c r="H113" i="28" s="1"/>
  <c r="G111" i="28"/>
  <c r="G113" i="28" s="1"/>
  <c r="F111" i="28"/>
  <c r="E111" i="28"/>
  <c r="E113" i="28" s="1"/>
  <c r="N56" i="28"/>
  <c r="N54" i="28"/>
  <c r="M54" i="28"/>
  <c r="L54" i="28"/>
  <c r="J54" i="28"/>
  <c r="I56" i="28"/>
  <c r="I54" i="28"/>
  <c r="I55" i="28"/>
  <c r="H55" i="28"/>
  <c r="H54" i="28"/>
  <c r="G55" i="28"/>
  <c r="G54" i="28"/>
  <c r="F55" i="28"/>
  <c r="F54" i="28"/>
  <c r="E55" i="28"/>
  <c r="E54" i="28"/>
  <c r="D55" i="28"/>
  <c r="N73" i="28"/>
  <c r="M73" i="28"/>
  <c r="L73" i="28"/>
  <c r="L75" i="28" s="1"/>
  <c r="K73" i="28"/>
  <c r="K75" i="28" s="1"/>
  <c r="J73" i="28"/>
  <c r="J75" i="28" s="1"/>
  <c r="I73" i="28"/>
  <c r="H73" i="28"/>
  <c r="G73" i="28"/>
  <c r="G75" i="28" s="1"/>
  <c r="F73" i="28"/>
  <c r="E73" i="28"/>
  <c r="D73" i="28"/>
  <c r="D75" i="28" s="1"/>
  <c r="N75" i="28"/>
  <c r="M75" i="28"/>
  <c r="I75" i="28"/>
  <c r="H75" i="28"/>
  <c r="F75" i="28"/>
  <c r="E75" i="28"/>
  <c r="C75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F113" i="28" l="1"/>
  <c r="J113" i="28"/>
  <c r="N113" i="28"/>
  <c r="K113" i="28"/>
  <c r="C113" i="28"/>
  <c r="N46" i="28" l="1"/>
  <c r="M46" i="28"/>
  <c r="L46" i="28"/>
  <c r="K46" i="28"/>
  <c r="J46" i="28"/>
  <c r="I46" i="28"/>
  <c r="H46" i="28"/>
  <c r="G46" i="28"/>
  <c r="F46" i="28"/>
  <c r="E46" i="28"/>
  <c r="D46" i="28"/>
  <c r="C46" i="28"/>
  <c r="C45" i="28"/>
  <c r="C44" i="28"/>
  <c r="M38" i="28" l="1"/>
  <c r="N38" i="28"/>
  <c r="N36" i="28"/>
  <c r="M36" i="28"/>
  <c r="L38" i="28"/>
  <c r="J29" i="28"/>
  <c r="J28" i="28"/>
  <c r="N30" i="28"/>
  <c r="M30" i="28"/>
  <c r="L30" i="28"/>
  <c r="K30" i="28"/>
  <c r="K39" i="28" s="1"/>
  <c r="I30" i="28"/>
  <c r="H30" i="28"/>
  <c r="H39" i="28" s="1"/>
  <c r="G30" i="28"/>
  <c r="G39" i="28" s="1"/>
  <c r="F30" i="28"/>
  <c r="E30" i="28"/>
  <c r="E39" i="28" s="1"/>
  <c r="I39" i="28"/>
  <c r="F39" i="28"/>
  <c r="D39" i="28"/>
  <c r="D30" i="28"/>
  <c r="N21" i="28"/>
  <c r="M21" i="28"/>
  <c r="L21" i="28"/>
  <c r="N10" i="28"/>
  <c r="M10" i="28"/>
  <c r="L10" i="28"/>
  <c r="K10" i="28"/>
  <c r="J10" i="28"/>
  <c r="I10" i="28"/>
  <c r="H10" i="28"/>
  <c r="G11" i="28"/>
  <c r="H11" i="28" s="1"/>
  <c r="I11" i="28" s="1"/>
  <c r="J11" i="28" s="1"/>
  <c r="K11" i="28" s="1"/>
  <c r="L11" i="28" s="1"/>
  <c r="M11" i="28" s="1"/>
  <c r="N11" i="28" s="1"/>
  <c r="F11" i="28"/>
  <c r="C23" i="28"/>
  <c r="C12" i="28"/>
  <c r="B88" i="26"/>
  <c r="C88" i="26"/>
  <c r="B87" i="26"/>
  <c r="C86" i="26"/>
  <c r="B86" i="26"/>
  <c r="G72" i="26"/>
  <c r="K73" i="26"/>
  <c r="J72" i="26"/>
  <c r="K72" i="26"/>
  <c r="K62" i="26"/>
  <c r="K63" i="26" s="1"/>
  <c r="J62" i="26"/>
  <c r="C62" i="26"/>
  <c r="C63" i="26" s="1"/>
  <c r="B62" i="26"/>
  <c r="K54" i="26"/>
  <c r="K53" i="26"/>
  <c r="J53" i="26"/>
  <c r="C53" i="26"/>
  <c r="C54" i="26" s="1"/>
  <c r="B53" i="26"/>
  <c r="K20" i="26"/>
  <c r="F39" i="26"/>
  <c r="B29" i="26"/>
  <c r="J8" i="26"/>
  <c r="J9" i="26" s="1"/>
  <c r="K8" i="26"/>
  <c r="F8" i="26"/>
  <c r="G7" i="26"/>
  <c r="F7" i="26"/>
  <c r="C13" i="26"/>
  <c r="B14" i="26" s="1"/>
  <c r="B13" i="26"/>
  <c r="K73" i="25"/>
  <c r="K63" i="25"/>
  <c r="K54" i="25"/>
  <c r="K53" i="25"/>
  <c r="J53" i="25"/>
  <c r="C54" i="25"/>
  <c r="C53" i="25"/>
  <c r="B53" i="25"/>
  <c r="C2" i="25"/>
  <c r="F41" i="25"/>
  <c r="G40" i="25"/>
  <c r="F40" i="25"/>
  <c r="B29" i="25"/>
  <c r="K20" i="25"/>
  <c r="J9" i="25"/>
  <c r="K8" i="25"/>
  <c r="J8" i="25"/>
  <c r="F8" i="25"/>
  <c r="F7" i="25"/>
  <c r="G7" i="25"/>
  <c r="B14" i="25"/>
  <c r="C13" i="25"/>
  <c r="B13" i="25"/>
  <c r="N39" i="28" l="1"/>
  <c r="M39" i="28"/>
  <c r="L39" i="28"/>
  <c r="J30" i="28"/>
  <c r="J39" i="28" s="1"/>
  <c r="F47" i="26"/>
  <c r="F47" i="23" l="1"/>
  <c r="G62" i="23"/>
  <c r="C61" i="23"/>
  <c r="K63" i="23"/>
  <c r="K62" i="23"/>
  <c r="K54" i="23"/>
  <c r="K53" i="23"/>
  <c r="J53" i="23"/>
  <c r="G53" i="23"/>
  <c r="C54" i="23"/>
  <c r="C53" i="23"/>
  <c r="B53" i="23"/>
  <c r="C2" i="26"/>
  <c r="C2" i="23"/>
  <c r="F41" i="23"/>
  <c r="B29" i="23"/>
  <c r="K20" i="23"/>
  <c r="J9" i="23"/>
  <c r="K8" i="23"/>
  <c r="J8" i="23"/>
  <c r="F8" i="23"/>
  <c r="G7" i="23"/>
  <c r="F7" i="23"/>
  <c r="B14" i="23"/>
  <c r="B13" i="23"/>
  <c r="C13" i="23"/>
  <c r="F47" i="22"/>
  <c r="K63" i="22"/>
  <c r="J62" i="22"/>
  <c r="K62" i="22"/>
  <c r="G53" i="22"/>
  <c r="C63" i="22"/>
  <c r="B62" i="22"/>
  <c r="C62" i="22"/>
  <c r="K54" i="22"/>
  <c r="J53" i="22"/>
  <c r="K53" i="22"/>
  <c r="C54" i="22"/>
  <c r="C53" i="22"/>
  <c r="B53" i="22"/>
  <c r="B29" i="22"/>
  <c r="K20" i="22"/>
  <c r="J9" i="22"/>
  <c r="J8" i="22"/>
  <c r="K8" i="22"/>
  <c r="F8" i="22"/>
  <c r="F7" i="22"/>
  <c r="B14" i="22"/>
  <c r="B13" i="22"/>
  <c r="C13" i="22"/>
  <c r="F47" i="25"/>
  <c r="F47" i="21"/>
  <c r="K63" i="21"/>
  <c r="J62" i="21"/>
  <c r="K62" i="21"/>
  <c r="G53" i="21"/>
  <c r="C74" i="21"/>
  <c r="K54" i="21"/>
  <c r="K53" i="21"/>
  <c r="J53" i="21"/>
  <c r="C54" i="21"/>
  <c r="B53" i="21"/>
  <c r="C53" i="21"/>
  <c r="B29" i="21"/>
  <c r="K20" i="21"/>
  <c r="J9" i="21"/>
  <c r="J8" i="21"/>
  <c r="K8" i="21"/>
  <c r="F8" i="21"/>
  <c r="F7" i="21"/>
  <c r="G7" i="21"/>
  <c r="B14" i="21" l="1"/>
  <c r="C13" i="21"/>
  <c r="B13" i="21"/>
  <c r="K63" i="15" l="1"/>
  <c r="J62" i="15"/>
  <c r="K62" i="15"/>
  <c r="G53" i="15"/>
  <c r="C72" i="15"/>
  <c r="K54" i="15"/>
  <c r="K53" i="15"/>
  <c r="J53" i="15"/>
  <c r="C54" i="15"/>
  <c r="B53" i="15"/>
  <c r="C53" i="15"/>
  <c r="K20" i="15"/>
  <c r="C2" i="22"/>
  <c r="B29" i="15"/>
  <c r="J8" i="15"/>
  <c r="K8" i="15"/>
  <c r="F8" i="15"/>
  <c r="G7" i="15"/>
  <c r="F7" i="15"/>
  <c r="B14" i="15"/>
  <c r="B13" i="15"/>
  <c r="C13" i="15"/>
  <c r="K63" i="7"/>
  <c r="G53" i="7"/>
  <c r="K54" i="7"/>
  <c r="J53" i="7"/>
  <c r="K53" i="7"/>
  <c r="C54" i="7"/>
  <c r="B53" i="7"/>
  <c r="C53" i="7"/>
  <c r="C2" i="7"/>
  <c r="F21" i="7"/>
  <c r="K20" i="7"/>
  <c r="J9" i="7"/>
  <c r="K8" i="7"/>
  <c r="J8" i="7"/>
  <c r="F8" i="7"/>
  <c r="G7" i="7"/>
  <c r="F7" i="7"/>
  <c r="B14" i="7"/>
  <c r="B13" i="7"/>
  <c r="C13" i="7"/>
  <c r="K63" i="14"/>
  <c r="K54" i="14"/>
  <c r="J53" i="14"/>
  <c r="K53" i="14"/>
  <c r="G53" i="14"/>
  <c r="C54" i="14"/>
  <c r="B53" i="14"/>
  <c r="C53" i="14"/>
  <c r="K20" i="14"/>
  <c r="J9" i="14"/>
  <c r="J8" i="14"/>
  <c r="K8" i="14"/>
  <c r="F8" i="14"/>
  <c r="G7" i="14"/>
  <c r="F7" i="14"/>
  <c r="B14" i="14"/>
  <c r="C13" i="14"/>
  <c r="B13" i="14"/>
  <c r="K63" i="5"/>
  <c r="G53" i="5"/>
  <c r="K54" i="5"/>
  <c r="K53" i="5"/>
  <c r="J53" i="5"/>
  <c r="C54" i="5"/>
  <c r="C53" i="5"/>
  <c r="B53" i="5"/>
  <c r="K20" i="5"/>
  <c r="J9" i="5"/>
  <c r="K8" i="5"/>
  <c r="J8" i="5"/>
  <c r="F8" i="5"/>
  <c r="F7" i="5"/>
  <c r="G7" i="5"/>
  <c r="B14" i="5"/>
  <c r="C13" i="5"/>
  <c r="B13" i="5"/>
  <c r="K63" i="4"/>
  <c r="C89" i="5"/>
  <c r="B89" i="5"/>
  <c r="C89" i="14"/>
  <c r="B89" i="14"/>
  <c r="C89" i="7"/>
  <c r="B89" i="7"/>
  <c r="C89" i="15"/>
  <c r="B89" i="15"/>
  <c r="C89" i="21"/>
  <c r="B89" i="21"/>
  <c r="C89" i="22"/>
  <c r="B89" i="22"/>
  <c r="C89" i="23"/>
  <c r="B89" i="23"/>
  <c r="C89" i="25"/>
  <c r="B89" i="25"/>
  <c r="C89" i="4"/>
  <c r="B89" i="4"/>
  <c r="B89" i="2"/>
  <c r="C89" i="2"/>
  <c r="C90" i="2"/>
  <c r="B90" i="2" s="1"/>
  <c r="K60" i="2" s="1"/>
  <c r="K63" i="2" s="1"/>
  <c r="K54" i="4"/>
  <c r="G53" i="4"/>
  <c r="B53" i="4"/>
  <c r="C54" i="4" s="1"/>
  <c r="C53" i="4"/>
  <c r="K20" i="4"/>
  <c r="K8" i="4"/>
  <c r="J8" i="4"/>
  <c r="C2" i="21"/>
  <c r="G7" i="4"/>
  <c r="F8" i="4" s="1"/>
  <c r="F7" i="4"/>
  <c r="B13" i="4"/>
  <c r="C13" i="4"/>
  <c r="G53" i="2"/>
  <c r="B53" i="2"/>
  <c r="C53" i="2"/>
  <c r="K8" i="2"/>
  <c r="J8" i="2"/>
  <c r="J9" i="2" s="1"/>
  <c r="F8" i="2"/>
  <c r="C13" i="2"/>
  <c r="B13" i="2"/>
  <c r="G53" i="1"/>
  <c r="C54" i="1"/>
  <c r="J9" i="1"/>
  <c r="C13" i="1"/>
  <c r="B13" i="1"/>
  <c r="B14" i="1" s="1"/>
  <c r="C90" i="25" l="1"/>
  <c r="B90" i="25" s="1"/>
  <c r="C90" i="23"/>
  <c r="B90" i="23" s="1"/>
  <c r="C90" i="22"/>
  <c r="B90" i="22" s="1"/>
  <c r="C90" i="21"/>
  <c r="B90" i="21" s="1"/>
  <c r="C90" i="15"/>
  <c r="B90" i="15" s="1"/>
  <c r="F47" i="15"/>
  <c r="J9" i="15"/>
  <c r="C2" i="15" s="1"/>
  <c r="C90" i="7"/>
  <c r="B90" i="7" s="1"/>
  <c r="C90" i="14"/>
  <c r="B90" i="14" s="1"/>
  <c r="C2" i="14"/>
  <c r="C90" i="5"/>
  <c r="B90" i="5" s="1"/>
  <c r="C2" i="5"/>
  <c r="C90" i="4"/>
  <c r="B90" i="4" s="1"/>
  <c r="J9" i="4"/>
  <c r="C54" i="2"/>
  <c r="B14" i="4"/>
  <c r="C2" i="4" s="1"/>
  <c r="B14" i="2"/>
  <c r="C2" i="2" s="1"/>
  <c r="P233" i="29" l="1"/>
  <c r="T230" i="29"/>
  <c r="L229" i="29"/>
  <c r="T228" i="29"/>
  <c r="L228" i="29" s="1"/>
  <c r="T227" i="29"/>
  <c r="J227" i="29"/>
  <c r="G226" i="29"/>
  <c r="E226" i="29"/>
  <c r="B226" i="29"/>
  <c r="B227" i="29" s="1"/>
  <c r="B228" i="29" s="1"/>
  <c r="B229" i="29" s="1"/>
  <c r="B230" i="29" s="1"/>
  <c r="B231" i="29" s="1"/>
  <c r="B232" i="29" s="1"/>
  <c r="B233" i="29" s="1"/>
  <c r="B234" i="29" s="1"/>
  <c r="B235" i="29" s="1"/>
  <c r="B236" i="29" s="1"/>
  <c r="B237" i="29" s="1"/>
  <c r="B225" i="29"/>
  <c r="T224" i="29"/>
  <c r="N224" i="29"/>
  <c r="B224" i="29"/>
  <c r="D223" i="29"/>
  <c r="T209" i="29"/>
  <c r="L208" i="29"/>
  <c r="T207" i="29"/>
  <c r="T206" i="29"/>
  <c r="J206" i="29"/>
  <c r="G205" i="29"/>
  <c r="E205" i="29"/>
  <c r="T203" i="29"/>
  <c r="B203" i="29"/>
  <c r="B204" i="29" s="1"/>
  <c r="B205" i="29" s="1"/>
  <c r="B206" i="29" s="1"/>
  <c r="B207" i="29" s="1"/>
  <c r="B208" i="29" s="1"/>
  <c r="B209" i="29" s="1"/>
  <c r="B210" i="29" s="1"/>
  <c r="B211" i="29" s="1"/>
  <c r="B212" i="29" s="1"/>
  <c r="D202" i="29"/>
  <c r="N201" i="29"/>
  <c r="N214" i="29" s="1"/>
  <c r="N222" i="29" s="1"/>
  <c r="N239" i="29" s="1"/>
  <c r="T188" i="29"/>
  <c r="S188" i="29" s="1"/>
  <c r="J192" i="29" s="1"/>
  <c r="R185" i="29"/>
  <c r="C184" i="29"/>
  <c r="T183" i="29"/>
  <c r="L182" i="29"/>
  <c r="T181" i="29"/>
  <c r="L181" i="29"/>
  <c r="T180" i="29"/>
  <c r="J180" i="29"/>
  <c r="G179" i="29"/>
  <c r="E179" i="29"/>
  <c r="C177" i="29"/>
  <c r="B177" i="29"/>
  <c r="B178" i="29" s="1"/>
  <c r="B179" i="29" s="1"/>
  <c r="B180" i="29" s="1"/>
  <c r="B181" i="29" s="1"/>
  <c r="B182" i="29" s="1"/>
  <c r="B183" i="29" s="1"/>
  <c r="B184" i="29" s="1"/>
  <c r="B185" i="29" s="1"/>
  <c r="B186" i="29" s="1"/>
  <c r="B187" i="29" s="1"/>
  <c r="T176" i="29"/>
  <c r="T187" i="29" s="1"/>
  <c r="O187" i="29" s="1"/>
  <c r="O175" i="29"/>
  <c r="O189" i="29" s="1"/>
  <c r="O201" i="29" s="1"/>
  <c r="G175" i="29"/>
  <c r="G189" i="29" s="1"/>
  <c r="G201" i="29" s="1"/>
  <c r="G214" i="29" s="1"/>
  <c r="G222" i="29" s="1"/>
  <c r="G239" i="29" s="1"/>
  <c r="P163" i="29"/>
  <c r="C162" i="29"/>
  <c r="T161" i="29"/>
  <c r="L160" i="29"/>
  <c r="T159" i="29"/>
  <c r="L159" i="29"/>
  <c r="T158" i="29"/>
  <c r="J158" i="29"/>
  <c r="B157" i="29"/>
  <c r="B158" i="29" s="1"/>
  <c r="B159" i="29" s="1"/>
  <c r="B160" i="29" s="1"/>
  <c r="B161" i="29" s="1"/>
  <c r="B162" i="29" s="1"/>
  <c r="B163" i="29" s="1"/>
  <c r="B164" i="29" s="1"/>
  <c r="B165" i="29" s="1"/>
  <c r="C156" i="29"/>
  <c r="B156" i="29"/>
  <c r="T155" i="29"/>
  <c r="S144" i="29"/>
  <c r="T143" i="29"/>
  <c r="L141" i="29"/>
  <c r="B141" i="29"/>
  <c r="B142" i="29" s="1"/>
  <c r="B143" i="29" s="1"/>
  <c r="B144" i="29" s="1"/>
  <c r="L140" i="29"/>
  <c r="T139" i="29"/>
  <c r="J139" i="29"/>
  <c r="C137" i="29"/>
  <c r="B136" i="29"/>
  <c r="B137" i="29" s="1"/>
  <c r="B138" i="29" s="1"/>
  <c r="B139" i="29" s="1"/>
  <c r="B140" i="29" s="1"/>
  <c r="B135" i="29"/>
  <c r="D134" i="29"/>
  <c r="P133" i="29"/>
  <c r="P146" i="29" s="1"/>
  <c r="P154" i="29" s="1"/>
  <c r="P167" i="29" s="1"/>
  <c r="P175" i="29" s="1"/>
  <c r="C122" i="29"/>
  <c r="Q121" i="29"/>
  <c r="F119" i="29"/>
  <c r="T118" i="29"/>
  <c r="L117" i="29"/>
  <c r="L116" i="29"/>
  <c r="T115" i="29"/>
  <c r="J115" i="29"/>
  <c r="B113" i="29"/>
  <c r="B114" i="29" s="1"/>
  <c r="B115" i="29" s="1"/>
  <c r="B116" i="29" s="1"/>
  <c r="B117" i="29" s="1"/>
  <c r="B118" i="29" s="1"/>
  <c r="B119" i="29" s="1"/>
  <c r="B120" i="29" s="1"/>
  <c r="B121" i="29" s="1"/>
  <c r="B122" i="29" s="1"/>
  <c r="B123" i="29" s="1"/>
  <c r="T112" i="29"/>
  <c r="T124" i="29" s="1"/>
  <c r="S124" i="29" s="1"/>
  <c r="J128" i="29" s="1"/>
  <c r="B112" i="29"/>
  <c r="P110" i="29"/>
  <c r="P125" i="29" s="1"/>
  <c r="F110" i="29"/>
  <c r="F125" i="29" s="1"/>
  <c r="F133" i="29" s="1"/>
  <c r="F146" i="29" s="1"/>
  <c r="F154" i="29" s="1"/>
  <c r="F167" i="29" s="1"/>
  <c r="F175" i="29" s="1"/>
  <c r="F189" i="29" s="1"/>
  <c r="F201" i="29" s="1"/>
  <c r="F214" i="29" s="1"/>
  <c r="F222" i="29" s="1"/>
  <c r="F239" i="29" s="1"/>
  <c r="I100" i="29"/>
  <c r="Q99" i="29"/>
  <c r="L98" i="29"/>
  <c r="T97" i="29"/>
  <c r="L97" i="29"/>
  <c r="T96" i="29"/>
  <c r="T94" i="29"/>
  <c r="B92" i="29"/>
  <c r="B93" i="29" s="1"/>
  <c r="B94" i="29" s="1"/>
  <c r="B95" i="29" s="1"/>
  <c r="B96" i="29" s="1"/>
  <c r="B97" i="29" s="1"/>
  <c r="B98" i="29" s="1"/>
  <c r="B99" i="29" s="1"/>
  <c r="B100" i="29" s="1"/>
  <c r="L80" i="29"/>
  <c r="L79" i="29"/>
  <c r="T78" i="29"/>
  <c r="T75" i="29"/>
  <c r="T73" i="29"/>
  <c r="T81" i="29" s="1"/>
  <c r="S81" i="29" s="1"/>
  <c r="J85" i="29" s="1"/>
  <c r="B73" i="29"/>
  <c r="B74" i="29" s="1"/>
  <c r="B75" i="29" s="1"/>
  <c r="B76" i="29" s="1"/>
  <c r="B77" i="29" s="1"/>
  <c r="B78" i="29" s="1"/>
  <c r="B79" i="29" s="1"/>
  <c r="B80" i="29" s="1"/>
  <c r="C72" i="29"/>
  <c r="L61" i="29"/>
  <c r="L60" i="29"/>
  <c r="T59" i="29"/>
  <c r="C57" i="29"/>
  <c r="C56" i="29"/>
  <c r="T55" i="29"/>
  <c r="T62" i="29" s="1"/>
  <c r="S62" i="29" s="1"/>
  <c r="J66" i="29" s="1"/>
  <c r="B55" i="29"/>
  <c r="B56" i="29" s="1"/>
  <c r="B57" i="29" s="1"/>
  <c r="B58" i="29" s="1"/>
  <c r="B59" i="29" s="1"/>
  <c r="B60" i="29" s="1"/>
  <c r="B61" i="29" s="1"/>
  <c r="C54" i="29"/>
  <c r="L43" i="29"/>
  <c r="L42" i="29"/>
  <c r="J41" i="29"/>
  <c r="T41" i="29" s="1"/>
  <c r="Q40" i="29"/>
  <c r="T38" i="29"/>
  <c r="K37" i="29"/>
  <c r="B37" i="29"/>
  <c r="B38" i="29" s="1"/>
  <c r="B39" i="29" s="1"/>
  <c r="B40" i="29" s="1"/>
  <c r="B41" i="29" s="1"/>
  <c r="B42" i="29" s="1"/>
  <c r="B43" i="29" s="1"/>
  <c r="T36" i="29"/>
  <c r="T44" i="29" s="1"/>
  <c r="S44" i="29" s="1"/>
  <c r="J48" i="29" s="1"/>
  <c r="B36" i="29"/>
  <c r="C35" i="29"/>
  <c r="D26" i="29"/>
  <c r="D34" i="29" s="1"/>
  <c r="D45" i="29" s="1"/>
  <c r="D53" i="29" s="1"/>
  <c r="D63" i="29" s="1"/>
  <c r="D71" i="29" s="1"/>
  <c r="D82" i="29" s="1"/>
  <c r="D90" i="29" s="1"/>
  <c r="I23" i="29"/>
  <c r="C21" i="29"/>
  <c r="B20" i="29"/>
  <c r="B21" i="29" s="1"/>
  <c r="B22" i="29" s="1"/>
  <c r="B23" i="29" s="1"/>
  <c r="B24" i="29" s="1"/>
  <c r="I18" i="29"/>
  <c r="I26" i="29" s="1"/>
  <c r="I34" i="29" s="1"/>
  <c r="I45" i="29" s="1"/>
  <c r="I53" i="29" s="1"/>
  <c r="I63" i="29" s="1"/>
  <c r="I71" i="29" s="1"/>
  <c r="I82" i="29" s="1"/>
  <c r="I90" i="29" s="1"/>
  <c r="I102" i="29" s="1"/>
  <c r="I110" i="29" s="1"/>
  <c r="I125" i="29" s="1"/>
  <c r="I133" i="29" s="1"/>
  <c r="I146" i="29" s="1"/>
  <c r="I154" i="29" s="1"/>
  <c r="I167" i="29" s="1"/>
  <c r="I175" i="29" s="1"/>
  <c r="I189" i="29" s="1"/>
  <c r="I201" i="29" s="1"/>
  <c r="I214" i="29" s="1"/>
  <c r="I222" i="29" s="1"/>
  <c r="I239" i="29" s="1"/>
  <c r="H18" i="29"/>
  <c r="H26" i="29" s="1"/>
  <c r="H34" i="29" s="1"/>
  <c r="H45" i="29" s="1"/>
  <c r="H53" i="29" s="1"/>
  <c r="H63" i="29" s="1"/>
  <c r="H71" i="29" s="1"/>
  <c r="H82" i="29" s="1"/>
  <c r="H90" i="29" s="1"/>
  <c r="H102" i="29" s="1"/>
  <c r="H110" i="29" s="1"/>
  <c r="H125" i="29" s="1"/>
  <c r="H133" i="29" s="1"/>
  <c r="H146" i="29" s="1"/>
  <c r="H154" i="29" s="1"/>
  <c r="H167" i="29" s="1"/>
  <c r="H175" i="29" s="1"/>
  <c r="H189" i="29" s="1"/>
  <c r="H201" i="29" s="1"/>
  <c r="H214" i="29" s="1"/>
  <c r="H222" i="29" s="1"/>
  <c r="H239" i="29" s="1"/>
  <c r="D18" i="29"/>
  <c r="T10" i="29"/>
  <c r="T18" i="29" s="1"/>
  <c r="S10" i="29"/>
  <c r="S18" i="29" s="1"/>
  <c r="R10" i="29"/>
  <c r="R18" i="29" s="1"/>
  <c r="R26" i="29" s="1"/>
  <c r="Q10" i="29"/>
  <c r="Q18" i="29" s="1"/>
  <c r="Q26" i="29" s="1"/>
  <c r="Q34" i="29" s="1"/>
  <c r="Q45" i="29" s="1"/>
  <c r="Q53" i="29" s="1"/>
  <c r="Q63" i="29" s="1"/>
  <c r="Q71" i="29" s="1"/>
  <c r="Q82" i="29" s="1"/>
  <c r="Q90" i="29" s="1"/>
  <c r="Q102" i="29" s="1"/>
  <c r="Q110" i="29" s="1"/>
  <c r="Q125" i="29" s="1"/>
  <c r="Q133" i="29" s="1"/>
  <c r="Q146" i="29" s="1"/>
  <c r="Q154" i="29" s="1"/>
  <c r="Q167" i="29" s="1"/>
  <c r="Q175" i="29" s="1"/>
  <c r="Q189" i="29" s="1"/>
  <c r="Q201" i="29" s="1"/>
  <c r="Q214" i="29" s="1"/>
  <c r="Q222" i="29" s="1"/>
  <c r="Q239" i="29" s="1"/>
  <c r="M10" i="29"/>
  <c r="M18" i="29" s="1"/>
  <c r="M26" i="29" s="1"/>
  <c r="M34" i="29" s="1"/>
  <c r="M45" i="29" s="1"/>
  <c r="M53" i="29" s="1"/>
  <c r="M63" i="29" s="1"/>
  <c r="M71" i="29" s="1"/>
  <c r="M82" i="29" s="1"/>
  <c r="M90" i="29" s="1"/>
  <c r="M102" i="29" s="1"/>
  <c r="M110" i="29" s="1"/>
  <c r="M125" i="29" s="1"/>
  <c r="M133" i="29" s="1"/>
  <c r="M146" i="29" s="1"/>
  <c r="M154" i="29" s="1"/>
  <c r="M167" i="29" s="1"/>
  <c r="M175" i="29" s="1"/>
  <c r="M189" i="29" s="1"/>
  <c r="M201" i="29" s="1"/>
  <c r="M214" i="29" s="1"/>
  <c r="M222" i="29" s="1"/>
  <c r="M239" i="29" s="1"/>
  <c r="L10" i="29"/>
  <c r="L18" i="29" s="1"/>
  <c r="L26" i="29" s="1"/>
  <c r="L34" i="29" s="1"/>
  <c r="L45" i="29" s="1"/>
  <c r="L53" i="29" s="1"/>
  <c r="L63" i="29" s="1"/>
  <c r="L71" i="29" s="1"/>
  <c r="K10" i="29"/>
  <c r="K18" i="29" s="1"/>
  <c r="J10" i="29"/>
  <c r="J18" i="29" s="1"/>
  <c r="J26" i="29" s="1"/>
  <c r="J34" i="29" s="1"/>
  <c r="J45" i="29" s="1"/>
  <c r="J53" i="29" s="1"/>
  <c r="J63" i="29" s="1"/>
  <c r="J71" i="29" s="1"/>
  <c r="J82" i="29" s="1"/>
  <c r="J90" i="29" s="1"/>
  <c r="J102" i="29" s="1"/>
  <c r="J110" i="29" s="1"/>
  <c r="J125" i="29" s="1"/>
  <c r="J133" i="29" s="1"/>
  <c r="J146" i="29" s="1"/>
  <c r="J154" i="29" s="1"/>
  <c r="J167" i="29" s="1"/>
  <c r="J175" i="29" s="1"/>
  <c r="J189" i="29" s="1"/>
  <c r="J201" i="29" s="1"/>
  <c r="J214" i="29" s="1"/>
  <c r="J222" i="29" s="1"/>
  <c r="J239" i="29" s="1"/>
  <c r="H10" i="29"/>
  <c r="E10" i="29"/>
  <c r="E18" i="29" s="1"/>
  <c r="D10" i="29"/>
  <c r="C10" i="29"/>
  <c r="D12" i="29" s="1"/>
  <c r="B8" i="29"/>
  <c r="B9" i="29" s="1"/>
  <c r="C7" i="29"/>
  <c r="B7" i="29"/>
  <c r="E19" i="29" l="1"/>
  <c r="T19" i="29" s="1"/>
  <c r="T25" i="29" s="1"/>
  <c r="S25" i="29" s="1"/>
  <c r="J29" i="29" s="1"/>
  <c r="E26" i="29"/>
  <c r="E34" i="29" s="1"/>
  <c r="E45" i="29" s="1"/>
  <c r="E53" i="29" s="1"/>
  <c r="E63" i="29" s="1"/>
  <c r="E71" i="29" s="1"/>
  <c r="E82" i="29" s="1"/>
  <c r="E90" i="29" s="1"/>
  <c r="D91" i="29"/>
  <c r="C91" i="29" s="1"/>
  <c r="T26" i="29"/>
  <c r="T34" i="29" s="1"/>
  <c r="T45" i="29" s="1"/>
  <c r="T53" i="29" s="1"/>
  <c r="T63" i="29" s="1"/>
  <c r="T71" i="29" s="1"/>
  <c r="T82" i="29" s="1"/>
  <c r="T90" i="29" s="1"/>
  <c r="L74" i="29"/>
  <c r="L82" i="29" s="1"/>
  <c r="L90" i="29" s="1"/>
  <c r="K22" i="29"/>
  <c r="C22" i="29" s="1"/>
  <c r="R34" i="29"/>
  <c r="R45" i="29" s="1"/>
  <c r="C18" i="29"/>
  <c r="C26" i="29" s="1"/>
  <c r="O204" i="29"/>
  <c r="O214" i="29" s="1"/>
  <c r="O222" i="29" s="1"/>
  <c r="T232" i="29"/>
  <c r="O232" i="29" s="1"/>
  <c r="P189" i="29"/>
  <c r="P201" i="29" s="1"/>
  <c r="P214" i="29" s="1"/>
  <c r="P222" i="29" s="1"/>
  <c r="P178" i="29"/>
  <c r="D13" i="29"/>
  <c r="E13" i="29" s="1"/>
  <c r="T166" i="29"/>
  <c r="S166" i="29" s="1"/>
  <c r="J170" i="29" s="1"/>
  <c r="T210" i="29"/>
  <c r="O210" i="29" s="1"/>
  <c r="B130" i="27"/>
  <c r="B131" i="27" s="1"/>
  <c r="B132" i="27" s="1"/>
  <c r="B133" i="27" s="1"/>
  <c r="B134" i="27" s="1"/>
  <c r="B135" i="27" s="1"/>
  <c r="B136" i="27" s="1"/>
  <c r="B137" i="27" s="1"/>
  <c r="B138" i="27" s="1"/>
  <c r="B139" i="27" s="1"/>
  <c r="B117" i="27"/>
  <c r="B118" i="27" s="1"/>
  <c r="B119" i="27" s="1"/>
  <c r="B120" i="27" s="1"/>
  <c r="B121" i="27" s="1"/>
  <c r="B122" i="27" s="1"/>
  <c r="B123" i="27" s="1"/>
  <c r="B124" i="27" s="1"/>
  <c r="B125" i="27" s="1"/>
  <c r="B126" i="27" s="1"/>
  <c r="B92" i="27"/>
  <c r="B93" i="27" s="1"/>
  <c r="B94" i="27" s="1"/>
  <c r="B95" i="27" s="1"/>
  <c r="B96" i="27" s="1"/>
  <c r="B97" i="27" s="1"/>
  <c r="B98" i="27" s="1"/>
  <c r="B99" i="27" s="1"/>
  <c r="B79" i="27"/>
  <c r="B80" i="27" s="1"/>
  <c r="B81" i="27" s="1"/>
  <c r="B82" i="27" s="1"/>
  <c r="B83" i="27" s="1"/>
  <c r="B84" i="27" s="1"/>
  <c r="B85" i="27" s="1"/>
  <c r="B86" i="27" s="1"/>
  <c r="B87" i="27" s="1"/>
  <c r="B88" i="27" s="1"/>
  <c r="B64" i="27"/>
  <c r="B65" i="27" s="1"/>
  <c r="B66" i="27" s="1"/>
  <c r="B67" i="27" s="1"/>
  <c r="B68" i="27" s="1"/>
  <c r="B69" i="27" s="1"/>
  <c r="B70" i="27" s="1"/>
  <c r="B71" i="27" s="1"/>
  <c r="B72" i="27" s="1"/>
  <c r="B73" i="27" s="1"/>
  <c r="B74" i="27" s="1"/>
  <c r="B52" i="27"/>
  <c r="B53" i="27" s="1"/>
  <c r="B54" i="27" s="1"/>
  <c r="B55" i="27" s="1"/>
  <c r="B56" i="27" s="1"/>
  <c r="B57" i="27" s="1"/>
  <c r="B58" i="27" s="1"/>
  <c r="B59" i="27" s="1"/>
  <c r="B60" i="27" s="1"/>
  <c r="B20" i="27"/>
  <c r="B21" i="27" s="1"/>
  <c r="B22" i="27" s="1"/>
  <c r="B23" i="27" s="1"/>
  <c r="B24" i="27" s="1"/>
  <c r="B25" i="27" s="1"/>
  <c r="B26" i="27" s="1"/>
  <c r="B27" i="27" s="1"/>
  <c r="B12" i="27"/>
  <c r="B13" i="27" s="1"/>
  <c r="B14" i="27" s="1"/>
  <c r="B15" i="27" s="1"/>
  <c r="B16" i="27" s="1"/>
  <c r="C2" i="1" l="1"/>
  <c r="O225" i="29"/>
  <c r="O239" i="29" s="1"/>
  <c r="L93" i="29"/>
  <c r="L102" i="29" s="1"/>
  <c r="L110" i="29" s="1"/>
  <c r="P225" i="29"/>
  <c r="P239" i="29" s="1"/>
  <c r="T102" i="29"/>
  <c r="T110" i="29" s="1"/>
  <c r="T125" i="29" s="1"/>
  <c r="T133" i="29" s="1"/>
  <c r="E92" i="29"/>
  <c r="T92" i="29" s="1"/>
  <c r="T101" i="29" s="1"/>
  <c r="S101" i="29" s="1"/>
  <c r="J105" i="29" s="1"/>
  <c r="E102" i="29"/>
  <c r="E110" i="29" s="1"/>
  <c r="E125" i="29" s="1"/>
  <c r="E133" i="29" s="1"/>
  <c r="R53" i="29"/>
  <c r="R63" i="29" s="1"/>
  <c r="T235" i="29"/>
  <c r="O235" i="29" s="1"/>
  <c r="D28" i="29"/>
  <c r="C34" i="29"/>
  <c r="C45" i="29" s="1"/>
  <c r="D102" i="29"/>
  <c r="D110" i="29" s="1"/>
  <c r="D125" i="29" s="1"/>
  <c r="D133" i="29" s="1"/>
  <c r="D146" i="29" s="1"/>
  <c r="D154" i="29" s="1"/>
  <c r="D167" i="29" s="1"/>
  <c r="D175" i="29" s="1"/>
  <c r="D189" i="29" s="1"/>
  <c r="D201" i="29" s="1"/>
  <c r="D214" i="29" s="1"/>
  <c r="D222" i="29" s="1"/>
  <c r="D239" i="29" s="1"/>
  <c r="T213" i="29"/>
  <c r="S213" i="29" s="1"/>
  <c r="J217" i="29" s="1"/>
  <c r="K26" i="29"/>
  <c r="S26" i="29"/>
  <c r="N71" i="28"/>
  <c r="M71" i="28"/>
  <c r="L71" i="28"/>
  <c r="K71" i="28"/>
  <c r="J71" i="28"/>
  <c r="I71" i="28"/>
  <c r="H71" i="28"/>
  <c r="G71" i="28"/>
  <c r="F71" i="28"/>
  <c r="E71" i="28"/>
  <c r="D71" i="28"/>
  <c r="C71" i="28"/>
  <c r="N64" i="28"/>
  <c r="M64" i="28"/>
  <c r="L64" i="28"/>
  <c r="K64" i="28"/>
  <c r="J64" i="28"/>
  <c r="I64" i="28"/>
  <c r="H64" i="28"/>
  <c r="G64" i="28"/>
  <c r="F64" i="28"/>
  <c r="E64" i="28"/>
  <c r="D64" i="28"/>
  <c r="C64" i="28"/>
  <c r="L113" i="29" l="1"/>
  <c r="L125" i="29"/>
  <c r="L133" i="29" s="1"/>
  <c r="L146" i="29" s="1"/>
  <c r="L154" i="29" s="1"/>
  <c r="L167" i="29" s="1"/>
  <c r="L175" i="29" s="1"/>
  <c r="D29" i="29"/>
  <c r="E29" i="29" s="1"/>
  <c r="K34" i="29"/>
  <c r="K45" i="29" s="1"/>
  <c r="T238" i="29"/>
  <c r="S238" i="29" s="1"/>
  <c r="J242" i="29" s="1"/>
  <c r="R71" i="29"/>
  <c r="R82" i="29" s="1"/>
  <c r="S34" i="29"/>
  <c r="S45" i="29" s="1"/>
  <c r="J28" i="29"/>
  <c r="K29" i="29" s="1"/>
  <c r="D47" i="29"/>
  <c r="C53" i="29"/>
  <c r="C63" i="29" s="1"/>
  <c r="E135" i="29"/>
  <c r="T135" i="29" s="1"/>
  <c r="E136" i="29"/>
  <c r="T136" i="29" s="1"/>
  <c r="C71" i="29" l="1"/>
  <c r="C82" i="29" s="1"/>
  <c r="D65" i="29"/>
  <c r="D48" i="29"/>
  <c r="E48" i="29" s="1"/>
  <c r="K53" i="29"/>
  <c r="K63" i="29" s="1"/>
  <c r="T145" i="29"/>
  <c r="S145" i="29" s="1"/>
  <c r="J149" i="29" s="1"/>
  <c r="L189" i="29"/>
  <c r="L201" i="29" s="1"/>
  <c r="L178" i="29"/>
  <c r="R90" i="29"/>
  <c r="R102" i="29" s="1"/>
  <c r="E146" i="29"/>
  <c r="E154" i="29" s="1"/>
  <c r="E167" i="29" s="1"/>
  <c r="E175" i="29" s="1"/>
  <c r="E189" i="29" s="1"/>
  <c r="E201" i="29" s="1"/>
  <c r="E214" i="29" s="1"/>
  <c r="E222" i="29" s="1"/>
  <c r="E239" i="29" s="1"/>
  <c r="S53" i="29"/>
  <c r="S63" i="29" s="1"/>
  <c r="J47" i="29"/>
  <c r="T146" i="29"/>
  <c r="T154" i="29" s="1"/>
  <c r="T167" i="29" s="1"/>
  <c r="T175" i="29" s="1"/>
  <c r="T189" i="29" s="1"/>
  <c r="T201" i="29" s="1"/>
  <c r="T214" i="29" s="1"/>
  <c r="T222" i="29" s="1"/>
  <c r="T239" i="29" s="1"/>
  <c r="K43" i="28"/>
  <c r="K52" i="28" s="1"/>
  <c r="K79" i="28" s="1"/>
  <c r="L43" i="28"/>
  <c r="L52" i="28" s="1"/>
  <c r="L79" i="28" s="1"/>
  <c r="M43" i="28"/>
  <c r="M52" i="28" s="1"/>
  <c r="M79" i="28" s="1"/>
  <c r="N43" i="28"/>
  <c r="N52" i="28" s="1"/>
  <c r="N79" i="28" s="1"/>
  <c r="S71" i="29" l="1"/>
  <c r="S82" i="29" s="1"/>
  <c r="J65" i="29"/>
  <c r="R110" i="29"/>
  <c r="R125" i="29" s="1"/>
  <c r="D66" i="29"/>
  <c r="E66" i="29" s="1"/>
  <c r="K71" i="29"/>
  <c r="L204" i="29"/>
  <c r="L214" i="29"/>
  <c r="L222" i="29" s="1"/>
  <c r="L47" i="29"/>
  <c r="K48" i="29"/>
  <c r="D84" i="29"/>
  <c r="C90" i="29"/>
  <c r="L225" i="29" l="1"/>
  <c r="L239" i="29"/>
  <c r="R133" i="29"/>
  <c r="R146" i="29" s="1"/>
  <c r="K74" i="29"/>
  <c r="K82" i="29" s="1"/>
  <c r="L65" i="29"/>
  <c r="K66" i="29"/>
  <c r="S90" i="29"/>
  <c r="S102" i="29" s="1"/>
  <c r="J84" i="29"/>
  <c r="C59" i="28"/>
  <c r="C72" i="28" s="1"/>
  <c r="C76" i="28" s="1"/>
  <c r="J43" i="28"/>
  <c r="J52" i="28" s="1"/>
  <c r="J79" i="28" s="1"/>
  <c r="I43" i="28"/>
  <c r="I52" i="28" s="1"/>
  <c r="I79" i="28" s="1"/>
  <c r="H43" i="28"/>
  <c r="H52" i="28" s="1"/>
  <c r="H79" i="28" s="1"/>
  <c r="G43" i="28"/>
  <c r="G52" i="28" s="1"/>
  <c r="G79" i="28" s="1"/>
  <c r="F43" i="28"/>
  <c r="F52" i="28" s="1"/>
  <c r="F79" i="28" s="1"/>
  <c r="E43" i="28"/>
  <c r="E52" i="28" s="1"/>
  <c r="E79" i="28" s="1"/>
  <c r="D43" i="28"/>
  <c r="D52" i="28" s="1"/>
  <c r="D79" i="28" s="1"/>
  <c r="C43" i="28"/>
  <c r="C52" i="28" s="1"/>
  <c r="C79" i="28" s="1"/>
  <c r="J13" i="28"/>
  <c r="I13" i="28"/>
  <c r="H13" i="28"/>
  <c r="C13" i="28"/>
  <c r="D3" i="28"/>
  <c r="D13" i="28" s="1"/>
  <c r="B104" i="27"/>
  <c r="B102" i="27" s="1"/>
  <c r="B105" i="27" s="1"/>
  <c r="B106" i="27" s="1"/>
  <c r="B107" i="27" s="1"/>
  <c r="B108" i="27" s="1"/>
  <c r="B109" i="27" s="1"/>
  <c r="B110" i="27" s="1"/>
  <c r="B111" i="27" s="1"/>
  <c r="B112" i="27" s="1"/>
  <c r="B113" i="27" s="1"/>
  <c r="D85" i="29" l="1"/>
  <c r="E85" i="29" s="1"/>
  <c r="K90" i="29"/>
  <c r="L84" i="29"/>
  <c r="K85" i="29"/>
  <c r="R154" i="29"/>
  <c r="R167" i="29" s="1"/>
  <c r="S110" i="29"/>
  <c r="S125" i="29" s="1"/>
  <c r="J104" i="29"/>
  <c r="P31" i="28"/>
  <c r="I59" i="28"/>
  <c r="I72" i="28" s="1"/>
  <c r="I76" i="28" s="1"/>
  <c r="C97" i="28"/>
  <c r="G59" i="28"/>
  <c r="G72" i="28" s="1"/>
  <c r="G76" i="28" s="1"/>
  <c r="H59" i="28"/>
  <c r="H72" i="28" s="1"/>
  <c r="H76" i="28" s="1"/>
  <c r="F59" i="28"/>
  <c r="F72" i="28" s="1"/>
  <c r="F76" i="28" s="1"/>
  <c r="D59" i="28"/>
  <c r="D72" i="28" s="1"/>
  <c r="D76" i="28" s="1"/>
  <c r="E59" i="28"/>
  <c r="E72" i="28" s="1"/>
  <c r="E76" i="28" s="1"/>
  <c r="D109" i="28"/>
  <c r="C102" i="28"/>
  <c r="F109" i="28"/>
  <c r="C109" i="28"/>
  <c r="E3" i="28"/>
  <c r="F12" i="28"/>
  <c r="E23" i="28"/>
  <c r="I23" i="28"/>
  <c r="F23" i="28"/>
  <c r="G12" i="28"/>
  <c r="G23" i="28"/>
  <c r="D12" i="28"/>
  <c r="H12" i="28"/>
  <c r="D23" i="28"/>
  <c r="H23" i="28"/>
  <c r="E12" i="28"/>
  <c r="I12" i="28"/>
  <c r="L104" i="29" l="1"/>
  <c r="K105" i="29"/>
  <c r="S133" i="29"/>
  <c r="S146" i="29" s="1"/>
  <c r="J127" i="29"/>
  <c r="K93" i="29"/>
  <c r="C93" i="29" s="1"/>
  <c r="C102" i="29" s="1"/>
  <c r="R175" i="29"/>
  <c r="R189" i="29" s="1"/>
  <c r="P39" i="28"/>
  <c r="G109" i="28"/>
  <c r="H97" i="28"/>
  <c r="E102" i="28"/>
  <c r="H109" i="28"/>
  <c r="G97" i="28"/>
  <c r="D97" i="28"/>
  <c r="I97" i="28"/>
  <c r="E97" i="28"/>
  <c r="H102" i="28"/>
  <c r="I109" i="28"/>
  <c r="D102" i="28"/>
  <c r="E109" i="28"/>
  <c r="F102" i="28"/>
  <c r="G102" i="28"/>
  <c r="I102" i="28"/>
  <c r="I24" i="28"/>
  <c r="C110" i="28"/>
  <c r="E24" i="28"/>
  <c r="F3" i="28"/>
  <c r="E13" i="28"/>
  <c r="H24" i="28"/>
  <c r="F24" i="28"/>
  <c r="D24" i="28"/>
  <c r="G24" i="28"/>
  <c r="C24" i="28"/>
  <c r="C114" i="28" l="1"/>
  <c r="C115" i="28"/>
  <c r="R201" i="29"/>
  <c r="R214" i="29" s="1"/>
  <c r="L127" i="29"/>
  <c r="K128" i="29"/>
  <c r="S154" i="29"/>
  <c r="S167" i="29" s="1"/>
  <c r="J148" i="29"/>
  <c r="C110" i="29"/>
  <c r="D104" i="29"/>
  <c r="K102" i="29"/>
  <c r="E110" i="28"/>
  <c r="H110" i="28"/>
  <c r="G110" i="28"/>
  <c r="F97" i="28"/>
  <c r="F110" i="28" s="1"/>
  <c r="D110" i="28"/>
  <c r="I110" i="28"/>
  <c r="F13" i="28"/>
  <c r="G3" i="28"/>
  <c r="G13" i="28" s="1"/>
  <c r="G114" i="28" l="1"/>
  <c r="G115" i="28"/>
  <c r="I114" i="28"/>
  <c r="I115" i="28"/>
  <c r="H114" i="28"/>
  <c r="H115" i="28"/>
  <c r="E114" i="28"/>
  <c r="E115" i="28"/>
  <c r="F114" i="28"/>
  <c r="F115" i="28"/>
  <c r="D114" i="28"/>
  <c r="D115" i="28"/>
  <c r="R222" i="29"/>
  <c r="R239" i="29" s="1"/>
  <c r="L148" i="29"/>
  <c r="K149" i="29"/>
  <c r="D105" i="29"/>
  <c r="E105" i="29" s="1"/>
  <c r="K110" i="29"/>
  <c r="S175" i="29"/>
  <c r="S189" i="29" s="1"/>
  <c r="J169" i="29"/>
  <c r="S201" i="29" l="1"/>
  <c r="S214" i="29" s="1"/>
  <c r="J191" i="29"/>
  <c r="K113" i="29"/>
  <c r="C113" i="29" s="1"/>
  <c r="C125" i="29" s="1"/>
  <c r="L169" i="29"/>
  <c r="K170" i="29"/>
  <c r="D127" i="29" l="1"/>
  <c r="C133" i="29"/>
  <c r="C146" i="29" s="1"/>
  <c r="K125" i="29"/>
  <c r="L191" i="29"/>
  <c r="K192" i="29"/>
  <c r="S222" i="29"/>
  <c r="S239" i="29" s="1"/>
  <c r="J241" i="29" s="1"/>
  <c r="J216" i="29"/>
  <c r="L216" i="29" l="1"/>
  <c r="K217" i="29"/>
  <c r="D128" i="29"/>
  <c r="E128" i="29" s="1"/>
  <c r="K133" i="29"/>
  <c r="K146" i="29" s="1"/>
  <c r="L241" i="29"/>
  <c r="K242" i="29"/>
  <c r="C154" i="29"/>
  <c r="C167" i="29" s="1"/>
  <c r="D148" i="29"/>
  <c r="D169" i="29" l="1"/>
  <c r="C175" i="29"/>
  <c r="D149" i="29"/>
  <c r="E149" i="29" s="1"/>
  <c r="K154" i="29"/>
  <c r="K167" i="29" s="1"/>
  <c r="K175" i="29" l="1"/>
  <c r="D170" i="29"/>
  <c r="E170" i="29" s="1"/>
  <c r="K178" i="29" l="1"/>
  <c r="C178" i="29" s="1"/>
  <c r="C189" i="29" s="1"/>
  <c r="M59" i="28"/>
  <c r="M72" i="28" s="1"/>
  <c r="M76" i="28" s="1"/>
  <c r="N59" i="28"/>
  <c r="N72" i="28" s="1"/>
  <c r="N76" i="28" s="1"/>
  <c r="D191" i="29" l="1"/>
  <c r="C201" i="29"/>
  <c r="K189" i="29"/>
  <c r="K201" i="29" l="1"/>
  <c r="D192" i="29"/>
  <c r="E192" i="29" s="1"/>
  <c r="K204" i="29" l="1"/>
  <c r="C204" i="29" s="1"/>
  <c r="C214" i="29" s="1"/>
  <c r="L59" i="28"/>
  <c r="L72" i="28" s="1"/>
  <c r="L76" i="28" s="1"/>
  <c r="N12" i="28"/>
  <c r="C222" i="29" l="1"/>
  <c r="D216" i="29"/>
  <c r="K214" i="29"/>
  <c r="N97" i="28"/>
  <c r="K222" i="29" l="1"/>
  <c r="D217" i="29"/>
  <c r="E217" i="29" s="1"/>
  <c r="K59" i="28"/>
  <c r="K72" i="28" s="1"/>
  <c r="K76" i="28" s="1"/>
  <c r="J59" i="28"/>
  <c r="J72" i="28" s="1"/>
  <c r="J76" i="28" s="1"/>
  <c r="M97" i="28"/>
  <c r="K225" i="29" l="1"/>
  <c r="C225" i="29" s="1"/>
  <c r="C239" i="29" s="1"/>
  <c r="D241" i="29" s="1"/>
  <c r="J97" i="28"/>
  <c r="L97" i="28"/>
  <c r="K97" i="28"/>
  <c r="K239" i="29" l="1"/>
  <c r="D242" i="29" s="1"/>
  <c r="E242" i="29" s="1"/>
  <c r="P48" i="28"/>
  <c r="N23" i="28" l="1"/>
  <c r="N24" i="28" s="1"/>
  <c r="J102" i="28"/>
  <c r="J12" i="28"/>
  <c r="K109" i="28"/>
  <c r="K23" i="28"/>
  <c r="L109" i="28"/>
  <c r="L23" i="28"/>
  <c r="M109" i="28"/>
  <c r="N109" i="28"/>
  <c r="M23" i="28"/>
  <c r="J109" i="28"/>
  <c r="J23" i="28"/>
  <c r="L102" i="28"/>
  <c r="L12" i="28"/>
  <c r="K102" i="28"/>
  <c r="K12" i="28"/>
  <c r="M102" i="28"/>
  <c r="N102" i="28"/>
  <c r="M12" i="28"/>
  <c r="J24" i="28" l="1"/>
  <c r="K110" i="28"/>
  <c r="L110" i="28"/>
  <c r="M110" i="28"/>
  <c r="K24" i="28"/>
  <c r="N110" i="28"/>
  <c r="M24" i="28"/>
  <c r="L24" i="28"/>
  <c r="J110" i="28"/>
  <c r="L114" i="28" l="1"/>
  <c r="L115" i="28"/>
  <c r="M114" i="28"/>
  <c r="M115" i="28"/>
  <c r="N114" i="28"/>
  <c r="N115" i="28"/>
  <c r="K114" i="28"/>
  <c r="K115" i="28"/>
  <c r="J114" i="28"/>
  <c r="J115" i="28"/>
  <c r="G47" i="25"/>
  <c r="G47" i="23"/>
  <c r="F47" i="14"/>
  <c r="G47" i="14" s="1"/>
  <c r="G47" i="26"/>
  <c r="F47" i="5"/>
  <c r="G47" i="5" s="1"/>
  <c r="G47" i="22"/>
  <c r="F47" i="4"/>
  <c r="G47" i="4" s="1"/>
  <c r="F47" i="7"/>
  <c r="G47" i="7" s="1"/>
  <c r="F47" i="2"/>
  <c r="G47" i="2" s="1"/>
  <c r="G47" i="21"/>
  <c r="G47" i="15"/>
  <c r="F47" i="1"/>
  <c r="G47" i="1" s="1"/>
  <c r="C87" i="26"/>
</calcChain>
</file>

<file path=xl/sharedStrings.xml><?xml version="1.0" encoding="utf-8"?>
<sst xmlns="http://schemas.openxmlformats.org/spreadsheetml/2006/main" count="888" uniqueCount="240">
  <si>
    <t>Ativo</t>
  </si>
  <si>
    <t>si</t>
  </si>
  <si>
    <t>Contas Patrimoniais</t>
  </si>
  <si>
    <t>Resultado</t>
  </si>
  <si>
    <t>Capital</t>
  </si>
  <si>
    <t>Terreno</t>
  </si>
  <si>
    <t>Estoque</t>
  </si>
  <si>
    <t>Fornecedores</t>
  </si>
  <si>
    <t>Empréstimos a pg</t>
  </si>
  <si>
    <t>Veículos</t>
  </si>
  <si>
    <t>Reserva</t>
  </si>
  <si>
    <t>(Depreciação Acum.)</t>
  </si>
  <si>
    <t>R</t>
  </si>
  <si>
    <t>F</t>
  </si>
  <si>
    <t>Despesa Antecipada</t>
  </si>
  <si>
    <t>Dividendos a pg</t>
  </si>
  <si>
    <t>Duplicata Descontada</t>
  </si>
  <si>
    <t>ICMS a recuperar</t>
  </si>
  <si>
    <t>IR a Pg</t>
  </si>
  <si>
    <t>ICMS a Pg</t>
  </si>
  <si>
    <t>Exercício Cia Exemplar</t>
  </si>
  <si>
    <t>Janeiro</t>
  </si>
  <si>
    <t>Fevereiro</t>
  </si>
  <si>
    <t>Março</t>
  </si>
  <si>
    <t>Recebimento do saldo inicial de contas a receber</t>
  </si>
  <si>
    <t>Pagamento de 1/3 do saldo de empréstimos</t>
  </si>
  <si>
    <t>Vida útil de veículos=5 anos</t>
  </si>
  <si>
    <t>Abril</t>
  </si>
  <si>
    <t>Vida útil de veículos =5 anos</t>
  </si>
  <si>
    <t>Maio</t>
  </si>
  <si>
    <t>Venda de todos os estoques iniciais por 250.000 sendo 50.000 a receber</t>
  </si>
  <si>
    <r>
      <t xml:space="preserve">Pagamento do saldo inicial de contas a pagar </t>
    </r>
    <r>
      <rPr>
        <b/>
        <u/>
        <sz val="11"/>
        <color theme="1"/>
        <rFont val="Calibri"/>
        <family val="2"/>
        <scheme val="minor"/>
      </rPr>
      <t>e fornecedores a pagar</t>
    </r>
  </si>
  <si>
    <t>Aquisição de estoques no valor de 200.000, sendo 150.000 a pagar</t>
  </si>
  <si>
    <t>Vida útil de veículos = 5 anos</t>
  </si>
  <si>
    <t>Junho</t>
  </si>
  <si>
    <t>Recebimento de 60 % do saldo inicial de contas a receber</t>
  </si>
  <si>
    <t>Pagamento do saldo inicial de contas a pagar e 70% do saldo de fornecedores a pagar</t>
  </si>
  <si>
    <t>Vida util de veículos = 5 anos</t>
  </si>
  <si>
    <t>Julho</t>
  </si>
  <si>
    <t>Recebimento de saldo inicial de contas a receber.</t>
  </si>
  <si>
    <t>Pagamento de saldo inicial de fornecedores e contas a pagar.</t>
  </si>
  <si>
    <t>Vida útil de veículos = 5 anos.</t>
  </si>
  <si>
    <t>Agosto</t>
  </si>
  <si>
    <t xml:space="preserve"> Recebimento de saldo inicial de contas a receber.</t>
  </si>
  <si>
    <t xml:space="preserve"> Pagamento de saldo inicial de contas e fornecedores a pagar.</t>
  </si>
  <si>
    <t xml:space="preserve"> Vida útil de veículos = 5 anos.</t>
  </si>
  <si>
    <t xml:space="preserve"> Despesa de seguro do mês, parcela 1/12</t>
  </si>
  <si>
    <t>Setembro</t>
  </si>
  <si>
    <t xml:space="preserve"> Despesa de seguro do mês, parcela 2/12</t>
  </si>
  <si>
    <t>Outubro</t>
  </si>
  <si>
    <t>Recebimento do saldo inicial de contas a receber.</t>
  </si>
  <si>
    <t xml:space="preserve"> Despesa de seguro do mês, parcela 3/12.</t>
  </si>
  <si>
    <t xml:space="preserve"> Juros de empréstimos incorridos no mês  e pagos, 8.000.</t>
  </si>
  <si>
    <t>Imposto de Renda - 20% do lucro - a pagar no mês seguinte</t>
  </si>
  <si>
    <t>Novembro</t>
  </si>
  <si>
    <t xml:space="preserve"> Despesa de seguro do mês, parcela 4/12.</t>
  </si>
  <si>
    <t>Confrontação ICMS a Pagar/ a Recuperar</t>
  </si>
  <si>
    <t>Dezembro</t>
  </si>
  <si>
    <t xml:space="preserve"> Despesa de seguro do mês, parcela 5/12.</t>
  </si>
  <si>
    <t>BALANÇOS PATRIMONIAIS</t>
  </si>
  <si>
    <t>ATIVO</t>
  </si>
  <si>
    <t>Disponibilidades</t>
  </si>
  <si>
    <t>Contas a receber</t>
  </si>
  <si>
    <t>Estoques</t>
  </si>
  <si>
    <t>Despesas antecipadas</t>
  </si>
  <si>
    <t>Terrenos</t>
  </si>
  <si>
    <t>(-) Deprec acumulada</t>
  </si>
  <si>
    <t>TOTAL</t>
  </si>
  <si>
    <t>PASSIVO + PL</t>
  </si>
  <si>
    <t>Fornecedores a pagar</t>
  </si>
  <si>
    <t>Contas a pagar</t>
  </si>
  <si>
    <t>Capital social</t>
  </si>
  <si>
    <t>Reservas</t>
  </si>
  <si>
    <t>DEMONSTRAÇÕES DOS RESULTADOS DOS EXERCÍCIOS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</si>
  <si>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</si>
  <si>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</si>
  <si>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</si>
  <si>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</si>
  <si>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</si>
  <si>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</si>
  <si>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</si>
  <si>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</si>
  <si>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</si>
  <si>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Receita de venda</t>
  </si>
  <si>
    <t>(-) CMV</t>
  </si>
  <si>
    <t>(=) Lucro bruto</t>
  </si>
  <si>
    <t>(-) Despesas comerciais</t>
  </si>
  <si>
    <t>(-) Despesas administrat</t>
  </si>
  <si>
    <t>(-) Despesa depreciação</t>
  </si>
  <si>
    <t>(-) Despesas com juros</t>
  </si>
  <si>
    <t>(+) Receitas financeiras</t>
  </si>
  <si>
    <t>(=) LUCRO LÍQUIDO</t>
  </si>
  <si>
    <t>DEMONSTRAÇÕES DAS MUTAÇÕES DO PL</t>
  </si>
  <si>
    <t>Saldo inicial do PL</t>
  </si>
  <si>
    <t>Aporte de capital</t>
  </si>
  <si>
    <t>Resultado do período</t>
  </si>
  <si>
    <t>Distribuição de lucros</t>
  </si>
  <si>
    <t>Saldo final do PL</t>
  </si>
  <si>
    <t>DEMONSTRAÇÕES DOS FLUXOS DE CAIXA (MÉTODO DIRETO)</t>
  </si>
  <si>
    <t>DAS OPERAÇÕES</t>
  </si>
  <si>
    <t>Recebimento de vendas</t>
  </si>
  <si>
    <t>Pgto compra mercadoras</t>
  </si>
  <si>
    <t>Pgto despesas operacionais</t>
  </si>
  <si>
    <t>DE INVESTIMENTOS</t>
  </si>
  <si>
    <t>DE FINANCIAMENTOS</t>
  </si>
  <si>
    <t>Empréstimos/amortizações</t>
  </si>
  <si>
    <t>Juros</t>
  </si>
  <si>
    <t>FLUXO DE CAIXA</t>
  </si>
  <si>
    <t>Saldo incial de disponibilid</t>
  </si>
  <si>
    <t>Saldo final de disponibilid</t>
  </si>
  <si>
    <t>DEMONSTRAÇÕES DOS FLUXOS DE CAIXA (MÉTODO INDIRETO)</t>
  </si>
  <si>
    <t>Investimentos permanentes</t>
  </si>
  <si>
    <t>Imobilizações</t>
  </si>
  <si>
    <t>Aporte dos sócios</t>
  </si>
  <si>
    <t>ICMS a Recuperar</t>
  </si>
  <si>
    <t>IR a pagar</t>
  </si>
  <si>
    <t>ICMS a pagar</t>
  </si>
  <si>
    <t>OUT</t>
  </si>
  <si>
    <t>NOV</t>
  </si>
  <si>
    <t>DEZ</t>
  </si>
  <si>
    <t>(-) Despesas seguros</t>
  </si>
  <si>
    <t>(-) Despesa IR</t>
  </si>
  <si>
    <t>(-) Despesas ICMS</t>
  </si>
  <si>
    <t>Variação em dividendos a pagar</t>
  </si>
  <si>
    <t>Pagamento do saldo inicial de contas a pagar e fornecedores a pagar</t>
  </si>
  <si>
    <t>JANEIRO</t>
  </si>
  <si>
    <t>ATIVOS</t>
  </si>
  <si>
    <t>PASSIVOS + PL</t>
  </si>
  <si>
    <t>Disponib</t>
  </si>
  <si>
    <t>P+PL</t>
  </si>
  <si>
    <t>Empr a pagar</t>
  </si>
  <si>
    <t>FEVEREIRO</t>
  </si>
  <si>
    <t>Si</t>
  </si>
  <si>
    <t>Sf</t>
  </si>
  <si>
    <t>Pagamento do saldo inicial de fornecedores a pagar</t>
  </si>
  <si>
    <t>MÉD PL</t>
  </si>
  <si>
    <t>LL</t>
  </si>
  <si>
    <t>MARÇO</t>
  </si>
  <si>
    <t>Gastos comerciais do período - $8.000 - à vista</t>
  </si>
  <si>
    <t>Gastos comerciais - a pagar - $23.000</t>
  </si>
  <si>
    <t>Gastos administrativos - a pagar - $20.000</t>
  </si>
  <si>
    <t>ABRIL</t>
  </si>
  <si>
    <t>Gastos comerciais de $30.000 a pagar no mês seguinte</t>
  </si>
  <si>
    <t>Gastos administrativos de $25.000 a pagar no mês seguinte</t>
  </si>
  <si>
    <t xml:space="preserve"> Integralização de capital em dinheiro: $100.000</t>
  </si>
  <si>
    <t>Aquisição de um terreno no valor de $20.000, à vista</t>
  </si>
  <si>
    <t>Aquisição de mercadorias para venda no valor de $50.000 sendo $30.000 a pagar</t>
  </si>
  <si>
    <t>Contratação de empréstimos no valor de $150.000</t>
  </si>
  <si>
    <t>Venda de 80% das mercadorias disponíveis por $60.000 sendo $10.000 a receber</t>
  </si>
  <si>
    <t>Aquisição de mercadorias para venda no valor de $80.000 sendo $70.000 a pagar</t>
  </si>
  <si>
    <t>Aquisição de um caminhão no valor de $180.000 a vista</t>
  </si>
  <si>
    <t>Venda de todos os estoques iniciais por $150.000, sendo $20.000 a receber</t>
  </si>
  <si>
    <t>Aquisição de estoques no valor de $100.000, sendo $90.000 a pagar</t>
  </si>
  <si>
    <t>Venda de todos os estoques iniciais por $180.000, sendo $50.000 a receber</t>
  </si>
  <si>
    <t>Aquisição de estoques no valor de $150.000, sendo $100.000 a pagar</t>
  </si>
  <si>
    <t>MAIO</t>
  </si>
  <si>
    <t>Pagamento de 40% do saldo de empréstimos a pagar</t>
  </si>
  <si>
    <t>Gastos comerciais de $50.000 a pagar no mês seguinte</t>
  </si>
  <si>
    <t>JUNHO</t>
  </si>
  <si>
    <t>Juros de empréstimos - incorridos e pagos no período - $1.200</t>
  </si>
  <si>
    <t>JULHO</t>
  </si>
  <si>
    <t>Desp antecipadas</t>
  </si>
  <si>
    <t>* Vigência a partir de agosto</t>
  </si>
  <si>
    <t>Venda de todos os estoques iniciais por $300.000, sendo $100.000 a receber</t>
  </si>
  <si>
    <t>Aquisição de estoques no valor de $300.000, sendo $250.000 a pagar</t>
  </si>
  <si>
    <t>Gastos comerciais de $45.800 a pagar no mês seguinte</t>
  </si>
  <si>
    <t>Contratação de empréstimos no valor de $400.000</t>
  </si>
  <si>
    <t>Aquisição de dois caminhões no valor de $360.000 a vista</t>
  </si>
  <si>
    <t>Venda de todos os estoques iniciais por $480.000, sendo $80.000 a receber.</t>
  </si>
  <si>
    <r>
      <t xml:space="preserve">Juros do empréstimo, </t>
    </r>
    <r>
      <rPr>
        <b/>
        <u/>
        <sz val="11"/>
        <color theme="1"/>
        <rFont val="Calibri"/>
        <family val="2"/>
        <scheme val="minor"/>
      </rPr>
      <t>incorridos</t>
    </r>
    <r>
      <rPr>
        <sz val="11"/>
        <color theme="1"/>
        <rFont val="Calibri"/>
        <family val="2"/>
        <scheme val="minor"/>
      </rPr>
      <t xml:space="preserve"> e </t>
    </r>
    <r>
      <rPr>
        <b/>
        <u/>
        <sz val="11"/>
        <color theme="1"/>
        <rFont val="Calibri"/>
        <family val="2"/>
        <scheme val="minor"/>
      </rPr>
      <t>pagos</t>
    </r>
    <r>
      <rPr>
        <sz val="11"/>
        <color theme="1"/>
        <rFont val="Calibri"/>
        <family val="2"/>
        <scheme val="minor"/>
      </rPr>
      <t xml:space="preserve"> no mês: $3.000</t>
    </r>
  </si>
  <si>
    <r>
      <t xml:space="preserve">Juros do empréstimo, </t>
    </r>
    <r>
      <rPr>
        <b/>
        <u/>
        <sz val="11"/>
        <color theme="1"/>
        <rFont val="Calibri"/>
        <family val="2"/>
        <scheme val="minor"/>
      </rPr>
      <t>incorridos</t>
    </r>
    <r>
      <rPr>
        <sz val="11"/>
        <color theme="1"/>
        <rFont val="Calibri"/>
        <family val="2"/>
        <scheme val="minor"/>
      </rPr>
      <t xml:space="preserve"> e </t>
    </r>
    <r>
      <rPr>
        <b/>
        <u/>
        <sz val="11"/>
        <color theme="1"/>
        <rFont val="Calibri"/>
        <family val="2"/>
        <scheme val="minor"/>
      </rPr>
      <t>pagos</t>
    </r>
    <r>
      <rPr>
        <sz val="11"/>
        <color theme="1"/>
        <rFont val="Calibri"/>
        <family val="2"/>
        <scheme val="minor"/>
      </rPr>
      <t xml:space="preserve"> no mês: $2.000</t>
    </r>
  </si>
  <si>
    <r>
      <t xml:space="preserve">Juros do empréstimo, </t>
    </r>
    <r>
      <rPr>
        <b/>
        <u/>
        <sz val="11"/>
        <color theme="1"/>
        <rFont val="Calibri"/>
        <family val="2"/>
        <scheme val="minor"/>
      </rPr>
      <t>incorridos</t>
    </r>
    <r>
      <rPr>
        <sz val="11"/>
        <color theme="1"/>
        <rFont val="Calibri"/>
        <family val="2"/>
        <scheme val="minor"/>
      </rPr>
      <t xml:space="preserve"> e </t>
    </r>
    <r>
      <rPr>
        <b/>
        <u/>
        <sz val="11"/>
        <color theme="1"/>
        <rFont val="Calibri"/>
        <family val="2"/>
        <scheme val="minor"/>
      </rPr>
      <t xml:space="preserve">pagos </t>
    </r>
    <r>
      <rPr>
        <sz val="11"/>
        <color theme="1"/>
        <rFont val="Calibri"/>
        <family val="2"/>
        <scheme val="minor"/>
      </rPr>
      <t>no mês: 2.000</t>
    </r>
  </si>
  <si>
    <r>
      <t xml:space="preserve"> Juros de empréstimos </t>
    </r>
    <r>
      <rPr>
        <b/>
        <u/>
        <sz val="11"/>
        <color rgb="FF000000"/>
        <rFont val="Calibri"/>
        <family val="2"/>
      </rPr>
      <t>incorridos</t>
    </r>
    <r>
      <rPr>
        <sz val="11"/>
        <color rgb="FF000000"/>
        <rFont val="Calibri"/>
        <family val="2"/>
      </rPr>
      <t xml:space="preserve"> e </t>
    </r>
    <r>
      <rPr>
        <b/>
        <u/>
        <sz val="11"/>
        <color rgb="FF000000"/>
        <rFont val="Calibri"/>
        <family val="2"/>
      </rPr>
      <t>pagos</t>
    </r>
    <r>
      <rPr>
        <sz val="11"/>
        <color rgb="FF000000"/>
        <rFont val="Calibri"/>
        <family val="2"/>
      </rPr>
      <t xml:space="preserve"> no mês: 4.000 </t>
    </r>
  </si>
  <si>
    <t>Aquisição de estoques no valor de $350.000, sendo $200.000 a pagar.</t>
  </si>
  <si>
    <t>Gastos comerciais de $110.000 a pagar no mês seguinte.</t>
  </si>
  <si>
    <t>Gastos administrativos de $35.000 a pagar no mês seguinte.</t>
  </si>
  <si>
    <t>Recebimento de adiantamento de clientes no valor de $80.000, para entrega futura de mercadoria</t>
  </si>
  <si>
    <t>Ad clientes</t>
  </si>
  <si>
    <t>Dividend a pagar</t>
  </si>
  <si>
    <t xml:space="preserve"> Distribuição de dividendos aos sócios no valor de $5.000 a vista</t>
  </si>
  <si>
    <t>Pagamento de $100.000 de empréstimos.</t>
  </si>
  <si>
    <t>Aquisição de seguros dos veículos com duração de 12 meses no valor de $12.000 à vista.*</t>
  </si>
  <si>
    <r>
      <t xml:space="preserve">Juros de empréstimos </t>
    </r>
    <r>
      <rPr>
        <b/>
        <u/>
        <sz val="11"/>
        <color rgb="FF000000"/>
        <rFont val="Calibri"/>
        <family val="2"/>
      </rPr>
      <t>incorridos</t>
    </r>
    <r>
      <rPr>
        <sz val="11"/>
        <color rgb="FF000000"/>
        <rFont val="Calibri"/>
        <family val="2"/>
      </rPr>
      <t xml:space="preserve"> e </t>
    </r>
    <r>
      <rPr>
        <b/>
        <u/>
        <sz val="11"/>
        <color rgb="FF000000"/>
        <rFont val="Calibri"/>
        <family val="2"/>
      </rPr>
      <t>pagos</t>
    </r>
    <r>
      <rPr>
        <sz val="11"/>
        <color rgb="FF000000"/>
        <rFont val="Calibri"/>
        <family val="2"/>
      </rPr>
      <t xml:space="preserve"> no mês: $8.000 .</t>
    </r>
  </si>
  <si>
    <t>Entrega de 20% dos estoques aos clientes que fizeram adiantamento em julho, cumprindo 100% da obrigação.</t>
  </si>
  <si>
    <t>AGOSTO</t>
  </si>
  <si>
    <t xml:space="preserve"> Venda dos estoques remanescentes por 350.000, sendo 50.000 a receber.</t>
  </si>
  <si>
    <t xml:space="preserve"> Aquisição de estoques no valor de 300.000 a pagar.</t>
  </si>
  <si>
    <t xml:space="preserve"> Distribuição de lucros aos sócios: $15.000, a pagar.</t>
  </si>
  <si>
    <t xml:space="preserve"> Gastos comerciais de $16.000 a pagar no mês seguinte.</t>
  </si>
  <si>
    <t xml:space="preserve"> Gastos administrativos de $25.000 a pagar no mês seguinte.</t>
  </si>
  <si>
    <t>SETEMBRO</t>
  </si>
  <si>
    <t xml:space="preserve"> Venda de todos os estoques iniciais por 450.000, sendo 100.000 a receber.</t>
  </si>
  <si>
    <t xml:space="preserve"> Pagamento de saldo inicial de fornecedores, contas a pagar e dividendos a pagar.</t>
  </si>
  <si>
    <t xml:space="preserve"> Aquisição de estoques no valor de 400.000, a pagar.</t>
  </si>
  <si>
    <t xml:space="preserve"> Juros de empréstimos incorridos e pagos no mês $4.000</t>
  </si>
  <si>
    <t>Distribuição de lucros aos sócios: $50.000 a pagar.</t>
  </si>
  <si>
    <t>OUTUBRO</t>
  </si>
  <si>
    <t xml:space="preserve"> Venda de todos os estoques iniciais por $650.000, sendo $200.000 a receber</t>
  </si>
  <si>
    <t>Pagamento de saldo inicial de fornecedores, contas a pagar e dividendos a pagar.</t>
  </si>
  <si>
    <r>
      <t xml:space="preserve"> Aquisição de estoques no valor de 500.000, a pagar. </t>
    </r>
    <r>
      <rPr>
        <b/>
        <u/>
        <sz val="11"/>
        <color rgb="FF000000"/>
        <rFont val="Calibri"/>
        <family val="2"/>
      </rPr>
      <t>ICMS de 10% recuperáveis.</t>
    </r>
  </si>
  <si>
    <t>Liquidação do saldo de empréstimos a pagar</t>
  </si>
  <si>
    <t xml:space="preserve"> Gastos administrativos de $30.000 a pagar no mês seguinte.</t>
  </si>
  <si>
    <t xml:space="preserve"> Gastos comerciais de $164.500 a pagar no mês seguinte.</t>
  </si>
  <si>
    <t xml:space="preserve"> Gastos comerciais de $86.000 a pagar no mês seguinte.</t>
  </si>
  <si>
    <t>NOVEMBRO</t>
  </si>
  <si>
    <t>Aporte de capital dos sócios, em dinheiro - $800.000</t>
  </si>
  <si>
    <r>
      <t xml:space="preserve"> Aquisição de estoques no valor de $500.000, sendo 200.000 a pagar com </t>
    </r>
    <r>
      <rPr>
        <b/>
        <u/>
        <sz val="11"/>
        <color rgb="FF000000"/>
        <rFont val="Calibri"/>
        <family val="2"/>
      </rPr>
      <t>ICMS de 20%</t>
    </r>
  </si>
  <si>
    <r>
      <t xml:space="preserve"> Venda de todos os estoques iniciais por $800.000, sendo $300.000 a receber com </t>
    </r>
    <r>
      <rPr>
        <b/>
        <u/>
        <sz val="11"/>
        <color rgb="FF000000"/>
        <rFont val="Calibri"/>
        <family val="2"/>
      </rPr>
      <t>ICMS de 20%</t>
    </r>
  </si>
  <si>
    <t xml:space="preserve"> Gastos comerciais de $150.000 a pagar no mês seguinte.</t>
  </si>
  <si>
    <t xml:space="preserve"> Distribuição de lucros aos sócios: $20.000 a pagar. </t>
  </si>
  <si>
    <t>DEZEMBRO</t>
  </si>
  <si>
    <t xml:space="preserve"> Recebimento do saldo inicial de contas a receber</t>
  </si>
  <si>
    <t xml:space="preserve"> Pagamento de saldo inicial de fornecedores, contas a pagar, IR a pagar e dividendos a pagar.</t>
  </si>
  <si>
    <t xml:space="preserve"> Aquisição estoques no valor de $600.000, sendo $500.000 a pagar com ICMS 20%.</t>
  </si>
  <si>
    <t xml:space="preserve"> Gastos comerciais de $48.750 a pagar no mês seguinte.</t>
  </si>
  <si>
    <t xml:space="preserve"> Distribuição de lucros aos sócios: $30.000 a pagar</t>
  </si>
  <si>
    <r>
      <t xml:space="preserve"> Venda de todos os estoques iniciais por $650.000, sendo $200.000 </t>
    </r>
    <r>
      <rPr>
        <u/>
        <sz val="11"/>
        <color rgb="FF000000"/>
        <rFont val="Calibri"/>
        <family val="2"/>
      </rPr>
      <t>a pagar</t>
    </r>
    <r>
      <rPr>
        <sz val="11"/>
        <color rgb="FF000000"/>
        <rFont val="Calibri"/>
        <family val="2"/>
      </rPr>
      <t xml:space="preserve"> com ICMS 20%</t>
    </r>
  </si>
  <si>
    <t>Contas a Receber</t>
  </si>
  <si>
    <t>Adiant. Clientes</t>
  </si>
  <si>
    <t>Adiantamento Clientes</t>
  </si>
  <si>
    <t>Dividendos a pagar</t>
  </si>
  <si>
    <t>Empréstimos a pagar</t>
  </si>
  <si>
    <t>Pagto IR</t>
  </si>
  <si>
    <t>Lucro Líquido</t>
  </si>
  <si>
    <t>Itens não Operacionais</t>
  </si>
  <si>
    <t>(-) Depreciação</t>
  </si>
  <si>
    <t>(-) Despesas Financeiras</t>
  </si>
  <si>
    <t>(=) Lucro c/ Efeito no caixa Op</t>
  </si>
  <si>
    <t>Variação em contas a receber</t>
  </si>
  <si>
    <t>Variação em estoques</t>
  </si>
  <si>
    <t>Variação em despesas antecipadas</t>
  </si>
  <si>
    <t>Variação em fornecedores a pagar</t>
  </si>
  <si>
    <t>Variação em contas a pagar</t>
  </si>
  <si>
    <t>Variação em adiantam clientes</t>
  </si>
  <si>
    <t>Variação em empréstimos</t>
  </si>
  <si>
    <t>Variação em capital social</t>
  </si>
  <si>
    <t>Despesas financeiras</t>
  </si>
  <si>
    <t>Variação IR a pagar</t>
  </si>
  <si>
    <t>Variação ICMS a recuperar</t>
  </si>
  <si>
    <t>Variação ICMS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</si>
</sst>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d/m;@"/>
    <numFmt numFmtId="166" formatCode="#,##0.0_ ;[Red]\-#,##0.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/>
      <diagonal/>
    </border>
    <border>
      <left/>
      <right style="thin">
        <color indexed="64"/>
      </right>
      <top/>
      <bottom style="dashDot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left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left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left" vertical="center" wrapText="1" indent="1"/>
    </xf>
    <xf numFmtId="164" fontId="11" fillId="2" borderId="0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center"/>
    </xf>
    <xf numFmtId="3" fontId="1" fillId="4" borderId="10" xfId="0" applyNumberFormat="1" applyFont="1" applyFill="1" applyBorder="1" applyAlignment="1">
      <alignment horizontal="center"/>
    </xf>
    <xf numFmtId="3" fontId="0" fillId="8" borderId="4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3" fontId="1" fillId="4" borderId="7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4" borderId="11" xfId="0" applyNumberFormat="1" applyFont="1" applyFill="1" applyBorder="1" applyAlignment="1">
      <alignment horizontal="center"/>
    </xf>
    <xf numFmtId="0" fontId="1" fillId="5" borderId="2" xfId="0" applyFont="1" applyFill="1" applyBorder="1"/>
    <xf numFmtId="3" fontId="1" fillId="5" borderId="3" xfId="0" applyNumberFormat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7" xfId="0" applyFont="1" applyFill="1" applyBorder="1"/>
    <xf numFmtId="3" fontId="1" fillId="5" borderId="1" xfId="0" applyNumberFormat="1" applyFont="1" applyFill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  <xf numFmtId="9" fontId="0" fillId="8" borderId="0" xfId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3" fontId="1" fillId="5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2" borderId="12" xfId="0" applyFont="1" applyFill="1" applyBorder="1"/>
    <xf numFmtId="0" fontId="0" fillId="2" borderId="12" xfId="0" applyFont="1" applyFill="1" applyBorder="1" applyAlignment="1">
      <alignment horizontal="left"/>
    </xf>
    <xf numFmtId="0" fontId="0" fillId="0" borderId="1" xfId="0" applyFont="1" applyBorder="1"/>
    <xf numFmtId="0" fontId="0" fillId="2" borderId="13" xfId="0" applyFont="1" applyFill="1" applyBorder="1"/>
    <xf numFmtId="0" fontId="15" fillId="0" borderId="12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applyFont="1" applyBorder="1"/>
    <xf numFmtId="3" fontId="0" fillId="8" borderId="0" xfId="0" applyNumberFormat="1" applyFill="1" applyBorder="1" applyAlignment="1">
      <alignment horizontal="center" wrapText="1"/>
    </xf>
    <xf numFmtId="43" fontId="0" fillId="0" borderId="0" xfId="2" applyFont="1"/>
    <xf numFmtId="43" fontId="1" fillId="0" borderId="0" xfId="2" applyFont="1"/>
    <xf numFmtId="43" fontId="0" fillId="3" borderId="0" xfId="2" applyFont="1" applyFill="1"/>
    <xf numFmtId="43" fontId="0" fillId="0" borderId="1" xfId="2" applyFont="1" applyBorder="1" applyAlignment="1">
      <alignment horizontal="left"/>
    </xf>
    <xf numFmtId="43" fontId="0" fillId="0" borderId="1" xfId="2" applyFont="1" applyBorder="1" applyAlignment="1">
      <alignment horizontal="center"/>
    </xf>
    <xf numFmtId="43" fontId="0" fillId="0" borderId="2" xfId="2" applyFont="1" applyBorder="1"/>
    <xf numFmtId="43" fontId="0" fillId="0" borderId="4" xfId="2" applyFont="1" applyBorder="1"/>
    <xf numFmtId="43" fontId="0" fillId="0" borderId="0" xfId="2" applyFont="1" applyBorder="1"/>
    <xf numFmtId="43" fontId="0" fillId="0" borderId="1" xfId="2" applyFont="1" applyBorder="1"/>
    <xf numFmtId="43" fontId="0" fillId="0" borderId="7" xfId="2" applyFont="1" applyBorder="1"/>
    <xf numFmtId="43" fontId="0" fillId="0" borderId="9" xfId="2" applyFont="1" applyBorder="1"/>
    <xf numFmtId="43" fontId="0" fillId="0" borderId="5" xfId="2" applyFont="1" applyBorder="1"/>
    <xf numFmtId="43" fontId="0" fillId="0" borderId="6" xfId="2" applyFont="1" applyBorder="1"/>
    <xf numFmtId="43" fontId="12" fillId="0" borderId="5" xfId="2" applyFont="1" applyFill="1" applyBorder="1"/>
    <xf numFmtId="43" fontId="0" fillId="0" borderId="0" xfId="2" applyFont="1" applyFill="1" applyBorder="1"/>
    <xf numFmtId="43" fontId="0" fillId="0" borderId="3" xfId="2" applyFont="1" applyBorder="1"/>
    <xf numFmtId="43" fontId="0" fillId="0" borderId="8" xfId="2" applyFont="1" applyBorder="1"/>
    <xf numFmtId="0" fontId="0" fillId="0" borderId="0" xfId="2" applyNumberFormat="1" applyFont="1"/>
    <xf numFmtId="0" fontId="0" fillId="0" borderId="0" xfId="2" applyNumberFormat="1" applyFont="1" applyFill="1" applyBorder="1"/>
    <xf numFmtId="0" fontId="0" fillId="0" borderId="0" xfId="0" applyNumberFormat="1"/>
    <xf numFmtId="0" fontId="0" fillId="0" borderId="0" xfId="0" applyNumberFormat="1" applyFill="1" applyBorder="1"/>
    <xf numFmtId="43" fontId="3" fillId="0" borderId="1" xfId="2" applyFont="1" applyBorder="1"/>
    <xf numFmtId="43" fontId="3" fillId="0" borderId="7" xfId="2" applyFont="1" applyBorder="1"/>
    <xf numFmtId="164" fontId="8" fillId="2" borderId="16" xfId="0" applyNumberFormat="1" applyFont="1" applyFill="1" applyBorder="1" applyAlignment="1">
      <alignment vertical="center" wrapText="1"/>
    </xf>
    <xf numFmtId="164" fontId="8" fillId="2" borderId="17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5" fillId="4" borderId="6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0" fillId="0" borderId="12" xfId="0" applyFont="1" applyFill="1" applyBorder="1" applyAlignment="1">
      <alignment horizontal="center"/>
    </xf>
    <xf numFmtId="0" fontId="0" fillId="0" borderId="7" xfId="0" applyFont="1" applyFill="1" applyBorder="1"/>
  </cellXfs>
  <cellStyles count="3">
    <cellStyle name="Normal" xfId="0" builtinId="0"/>
    <cellStyle name="Porcentagem" xfId="1" builtinId="5"/>
    <cellStyle name="Vírgula" xfId="2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9"/>
  <sheetViews>
    <sheetView showGridLines="0" topLeftCell="A54" zoomScaleNormal="100" workbookViewId="0">
      <selection activeCell="B54" sqref="B1:B1048576"/>
    </sheetView>
  </sheetViews>
  <sheetFormatPr defaultRowHeight="15" x14ac:dyDescent="0.25"/>
  <cols>
    <col min="1" max="1" width="1" style="86" customWidth="1"/>
    <col min="2" max="2" width="3" style="138" bestFit="1" customWidth="1"/>
    <col min="3" max="3" width="114.140625" style="86" bestFit="1" customWidth="1"/>
    <col min="4" max="16384" width="9.140625" style="86"/>
  </cols>
  <sheetData>
    <row r="2" spans="2:3" x14ac:dyDescent="0.25">
      <c r="B2" s="125" t="s">
        <v>20</v>
      </c>
      <c r="C2" s="126"/>
    </row>
    <row r="3" spans="2:3" x14ac:dyDescent="0.25">
      <c r="C3" s="9"/>
    </row>
    <row r="4" spans="2:3" x14ac:dyDescent="0.25">
      <c r="B4" s="122" t="s">
        <v>21</v>
      </c>
      <c r="C4" s="123"/>
    </row>
    <row r="5" spans="2:3" x14ac:dyDescent="0.25">
      <c r="B5" s="139">
        <v>1</v>
      </c>
      <c r="C5" s="87" t="s">
        <v>144</v>
      </c>
    </row>
    <row r="6" spans="2:3" x14ac:dyDescent="0.25">
      <c r="B6" s="139">
        <v>2</v>
      </c>
      <c r="C6" s="87" t="s">
        <v>145</v>
      </c>
    </row>
    <row r="7" spans="2:3" x14ac:dyDescent="0.25">
      <c r="B7" s="139">
        <v>3</v>
      </c>
      <c r="C7" s="88" t="s">
        <v>146</v>
      </c>
    </row>
    <row r="8" spans="2:3" x14ac:dyDescent="0.25">
      <c r="B8" s="139">
        <v>4</v>
      </c>
      <c r="C8" s="87" t="s">
        <v>147</v>
      </c>
    </row>
    <row r="9" spans="2:3" x14ac:dyDescent="0.25">
      <c r="B9" s="140"/>
      <c r="C9" s="89"/>
    </row>
    <row r="10" spans="2:3" x14ac:dyDescent="0.25">
      <c r="B10" s="122" t="s">
        <v>22</v>
      </c>
      <c r="C10" s="123"/>
    </row>
    <row r="11" spans="2:3" x14ac:dyDescent="0.25">
      <c r="B11" s="139">
        <v>1</v>
      </c>
      <c r="C11" s="87" t="s">
        <v>148</v>
      </c>
    </row>
    <row r="12" spans="2:3" x14ac:dyDescent="0.25">
      <c r="B12" s="139">
        <f>B11+1</f>
        <v>2</v>
      </c>
      <c r="C12" s="87" t="s">
        <v>149</v>
      </c>
    </row>
    <row r="13" spans="2:3" x14ac:dyDescent="0.25">
      <c r="B13" s="139">
        <f t="shared" ref="B13:B16" si="0">B12+1</f>
        <v>3</v>
      </c>
      <c r="C13" s="87" t="s">
        <v>138</v>
      </c>
    </row>
    <row r="14" spans="2:3" x14ac:dyDescent="0.25">
      <c r="B14" s="139">
        <f t="shared" si="0"/>
        <v>4</v>
      </c>
      <c r="C14" s="87" t="s">
        <v>134</v>
      </c>
    </row>
    <row r="15" spans="2:3" x14ac:dyDescent="0.25">
      <c r="B15" s="139">
        <f t="shared" si="0"/>
        <v>5</v>
      </c>
      <c r="C15" s="87" t="s">
        <v>150</v>
      </c>
    </row>
    <row r="16" spans="2:3" x14ac:dyDescent="0.25">
      <c r="B16" s="139">
        <f t="shared" si="0"/>
        <v>6</v>
      </c>
      <c r="C16" s="87" t="s">
        <v>169</v>
      </c>
    </row>
    <row r="18" spans="2:3" x14ac:dyDescent="0.25">
      <c r="B18" s="122" t="s">
        <v>23</v>
      </c>
      <c r="C18" s="123"/>
    </row>
    <row r="19" spans="2:3" x14ac:dyDescent="0.25">
      <c r="B19" s="139">
        <v>1</v>
      </c>
      <c r="C19" s="87" t="s">
        <v>24</v>
      </c>
    </row>
    <row r="20" spans="2:3" x14ac:dyDescent="0.25">
      <c r="B20" s="139">
        <f>B19+1</f>
        <v>2</v>
      </c>
      <c r="C20" s="87" t="s">
        <v>151</v>
      </c>
    </row>
    <row r="21" spans="2:3" x14ac:dyDescent="0.25">
      <c r="B21" s="139">
        <f t="shared" ref="B21:B27" si="1">B20+1</f>
        <v>3</v>
      </c>
      <c r="C21" s="87" t="s">
        <v>134</v>
      </c>
    </row>
    <row r="22" spans="2:3" x14ac:dyDescent="0.25">
      <c r="B22" s="139">
        <f t="shared" si="1"/>
        <v>4</v>
      </c>
      <c r="C22" s="87" t="s">
        <v>170</v>
      </c>
    </row>
    <row r="23" spans="2:3" x14ac:dyDescent="0.25">
      <c r="B23" s="139">
        <f t="shared" si="1"/>
        <v>5</v>
      </c>
      <c r="C23" s="87" t="s">
        <v>152</v>
      </c>
    </row>
    <row r="24" spans="2:3" x14ac:dyDescent="0.25">
      <c r="B24" s="139">
        <f t="shared" si="1"/>
        <v>6</v>
      </c>
      <c r="C24" s="87" t="s">
        <v>25</v>
      </c>
    </row>
    <row r="25" spans="2:3" x14ac:dyDescent="0.25">
      <c r="B25" s="139">
        <f t="shared" si="1"/>
        <v>7</v>
      </c>
      <c r="C25" s="87" t="s">
        <v>26</v>
      </c>
    </row>
    <row r="26" spans="2:3" x14ac:dyDescent="0.25">
      <c r="B26" s="139">
        <f t="shared" si="1"/>
        <v>8</v>
      </c>
      <c r="C26" s="87" t="s">
        <v>139</v>
      </c>
    </row>
    <row r="27" spans="2:3" x14ac:dyDescent="0.25">
      <c r="B27" s="139">
        <f t="shared" si="1"/>
        <v>9</v>
      </c>
      <c r="C27" s="87" t="s">
        <v>140</v>
      </c>
    </row>
    <row r="29" spans="2:3" x14ac:dyDescent="0.25">
      <c r="B29" s="122" t="s">
        <v>27</v>
      </c>
      <c r="C29" s="123"/>
    </row>
    <row r="30" spans="2:3" x14ac:dyDescent="0.25">
      <c r="B30" s="139">
        <v>1</v>
      </c>
      <c r="C30" s="87" t="s">
        <v>24</v>
      </c>
    </row>
    <row r="31" spans="2:3" x14ac:dyDescent="0.25">
      <c r="B31" s="139">
        <v>2</v>
      </c>
      <c r="C31" s="87" t="s">
        <v>153</v>
      </c>
    </row>
    <row r="32" spans="2:3" x14ac:dyDescent="0.25">
      <c r="B32" s="139">
        <v>3</v>
      </c>
      <c r="C32" s="87" t="s">
        <v>124</v>
      </c>
    </row>
    <row r="33" spans="2:3" x14ac:dyDescent="0.25">
      <c r="B33" s="139">
        <v>4</v>
      </c>
      <c r="C33" s="87" t="s">
        <v>170</v>
      </c>
    </row>
    <row r="34" spans="2:3" x14ac:dyDescent="0.25">
      <c r="B34" s="139">
        <v>5</v>
      </c>
      <c r="C34" s="87" t="s">
        <v>154</v>
      </c>
    </row>
    <row r="35" spans="2:3" x14ac:dyDescent="0.25">
      <c r="B35" s="139">
        <v>6</v>
      </c>
      <c r="C35" s="87" t="s">
        <v>28</v>
      </c>
    </row>
    <row r="36" spans="2:3" x14ac:dyDescent="0.25">
      <c r="B36" s="139">
        <v>7</v>
      </c>
      <c r="C36" s="87" t="s">
        <v>142</v>
      </c>
    </row>
    <row r="37" spans="2:3" x14ac:dyDescent="0.25">
      <c r="B37" s="139">
        <v>8</v>
      </c>
      <c r="C37" s="87" t="s">
        <v>143</v>
      </c>
    </row>
    <row r="39" spans="2:3" x14ac:dyDescent="0.25">
      <c r="B39" s="122" t="s">
        <v>29</v>
      </c>
      <c r="C39" s="123"/>
    </row>
    <row r="40" spans="2:3" x14ac:dyDescent="0.25">
      <c r="B40" s="139">
        <v>1</v>
      </c>
      <c r="C40" s="90" t="s">
        <v>24</v>
      </c>
    </row>
    <row r="41" spans="2:3" x14ac:dyDescent="0.25">
      <c r="B41" s="139">
        <v>2</v>
      </c>
      <c r="C41" s="90" t="s">
        <v>30</v>
      </c>
    </row>
    <row r="42" spans="2:3" x14ac:dyDescent="0.25">
      <c r="B42" s="139">
        <v>3</v>
      </c>
      <c r="C42" s="90" t="s">
        <v>31</v>
      </c>
    </row>
    <row r="43" spans="2:3" x14ac:dyDescent="0.25">
      <c r="B43" s="139">
        <v>4</v>
      </c>
      <c r="C43" s="90" t="s">
        <v>171</v>
      </c>
    </row>
    <row r="44" spans="2:3" x14ac:dyDescent="0.25">
      <c r="B44" s="139">
        <v>5</v>
      </c>
      <c r="C44" s="90" t="s">
        <v>32</v>
      </c>
    </row>
    <row r="45" spans="2:3" x14ac:dyDescent="0.25">
      <c r="B45" s="139">
        <v>6</v>
      </c>
      <c r="C45" s="90" t="s">
        <v>156</v>
      </c>
    </row>
    <row r="46" spans="2:3" x14ac:dyDescent="0.25">
      <c r="B46" s="139">
        <v>7</v>
      </c>
      <c r="C46" s="90" t="s">
        <v>33</v>
      </c>
    </row>
    <row r="47" spans="2:3" x14ac:dyDescent="0.25">
      <c r="B47" s="139">
        <v>8</v>
      </c>
      <c r="C47" s="90" t="s">
        <v>157</v>
      </c>
    </row>
    <row r="48" spans="2:3" x14ac:dyDescent="0.25">
      <c r="B48" s="139">
        <v>9</v>
      </c>
      <c r="C48" s="87" t="s">
        <v>143</v>
      </c>
    </row>
    <row r="50" spans="2:3" x14ac:dyDescent="0.25">
      <c r="B50" s="122" t="s">
        <v>34</v>
      </c>
      <c r="C50" s="123"/>
    </row>
    <row r="51" spans="2:3" x14ac:dyDescent="0.25">
      <c r="B51" s="139">
        <v>1</v>
      </c>
      <c r="C51" s="87" t="s">
        <v>35</v>
      </c>
    </row>
    <row r="52" spans="2:3" x14ac:dyDescent="0.25">
      <c r="B52" s="139">
        <f>B51+1</f>
        <v>2</v>
      </c>
      <c r="C52" s="87" t="s">
        <v>163</v>
      </c>
    </row>
    <row r="53" spans="2:3" x14ac:dyDescent="0.25">
      <c r="B53" s="139">
        <f t="shared" ref="B53:B60" si="2">B52+1</f>
        <v>3</v>
      </c>
      <c r="C53" s="87" t="s">
        <v>36</v>
      </c>
    </row>
    <row r="54" spans="2:3" x14ac:dyDescent="0.25">
      <c r="B54" s="139">
        <f t="shared" si="2"/>
        <v>4</v>
      </c>
      <c r="C54" s="87" t="s">
        <v>159</v>
      </c>
    </row>
    <row r="55" spans="2:3" x14ac:dyDescent="0.25">
      <c r="B55" s="139">
        <f t="shared" si="2"/>
        <v>5</v>
      </c>
      <c r="C55" s="87" t="s">
        <v>164</v>
      </c>
    </row>
    <row r="56" spans="2:3" x14ac:dyDescent="0.25">
      <c r="B56" s="139">
        <f t="shared" si="2"/>
        <v>6</v>
      </c>
      <c r="C56" s="87" t="s">
        <v>37</v>
      </c>
    </row>
    <row r="57" spans="2:3" x14ac:dyDescent="0.25">
      <c r="B57" s="139">
        <f t="shared" si="2"/>
        <v>7</v>
      </c>
      <c r="C57" s="87" t="s">
        <v>165</v>
      </c>
    </row>
    <row r="58" spans="2:3" x14ac:dyDescent="0.25">
      <c r="B58" s="139">
        <f t="shared" si="2"/>
        <v>8</v>
      </c>
      <c r="C58" s="87" t="s">
        <v>143</v>
      </c>
    </row>
    <row r="59" spans="2:3" ht="14.25" customHeight="1" x14ac:dyDescent="0.25">
      <c r="B59" s="139">
        <f t="shared" si="2"/>
        <v>9</v>
      </c>
      <c r="C59" s="87" t="s">
        <v>166</v>
      </c>
    </row>
    <row r="60" spans="2:3" ht="14.25" customHeight="1" x14ac:dyDescent="0.25">
      <c r="B60" s="139">
        <f t="shared" si="2"/>
        <v>10</v>
      </c>
      <c r="C60" s="87" t="s">
        <v>167</v>
      </c>
    </row>
    <row r="62" spans="2:3" x14ac:dyDescent="0.25">
      <c r="B62" s="124" t="s">
        <v>38</v>
      </c>
      <c r="C62" s="124"/>
    </row>
    <row r="63" spans="2:3" x14ac:dyDescent="0.25">
      <c r="B63" s="139">
        <v>1</v>
      </c>
      <c r="C63" s="91" t="s">
        <v>39</v>
      </c>
    </row>
    <row r="64" spans="2:3" x14ac:dyDescent="0.25">
      <c r="B64" s="139">
        <f>B63+1</f>
        <v>2</v>
      </c>
      <c r="C64" s="87" t="s">
        <v>168</v>
      </c>
    </row>
    <row r="65" spans="2:3" x14ac:dyDescent="0.25">
      <c r="B65" s="139">
        <f t="shared" ref="B65:B74" si="3">B64+1</f>
        <v>3</v>
      </c>
      <c r="C65" s="91" t="s">
        <v>40</v>
      </c>
    </row>
    <row r="66" spans="2:3" x14ac:dyDescent="0.25">
      <c r="B66" s="139">
        <f t="shared" si="3"/>
        <v>4</v>
      </c>
      <c r="C66" s="91" t="s">
        <v>173</v>
      </c>
    </row>
    <row r="67" spans="2:3" x14ac:dyDescent="0.25">
      <c r="B67" s="139">
        <f t="shared" si="3"/>
        <v>5</v>
      </c>
      <c r="C67" s="91" t="s">
        <v>41</v>
      </c>
    </row>
    <row r="68" spans="2:3" x14ac:dyDescent="0.25">
      <c r="B68" s="139">
        <f t="shared" si="3"/>
        <v>6</v>
      </c>
      <c r="C68" s="91" t="s">
        <v>174</v>
      </c>
    </row>
    <row r="69" spans="2:3" x14ac:dyDescent="0.25">
      <c r="B69" s="139">
        <f t="shared" si="3"/>
        <v>7</v>
      </c>
      <c r="C69" s="91" t="s">
        <v>175</v>
      </c>
    </row>
    <row r="70" spans="2:3" x14ac:dyDescent="0.25">
      <c r="B70" s="139">
        <f t="shared" si="3"/>
        <v>8</v>
      </c>
      <c r="C70" s="91" t="s">
        <v>182</v>
      </c>
    </row>
    <row r="71" spans="2:3" x14ac:dyDescent="0.25">
      <c r="B71" s="139">
        <f t="shared" si="3"/>
        <v>9</v>
      </c>
      <c r="C71" s="91" t="s">
        <v>181</v>
      </c>
    </row>
    <row r="72" spans="2:3" x14ac:dyDescent="0.25">
      <c r="B72" s="139">
        <f t="shared" si="3"/>
        <v>10</v>
      </c>
      <c r="C72" s="91" t="s">
        <v>176</v>
      </c>
    </row>
    <row r="73" spans="2:3" x14ac:dyDescent="0.25">
      <c r="B73" s="139">
        <f t="shared" si="3"/>
        <v>11</v>
      </c>
      <c r="C73" s="91" t="s">
        <v>180</v>
      </c>
    </row>
    <row r="74" spans="2:3" x14ac:dyDescent="0.25">
      <c r="B74" s="139">
        <f t="shared" si="3"/>
        <v>12</v>
      </c>
      <c r="C74" s="91" t="s">
        <v>179</v>
      </c>
    </row>
    <row r="75" spans="2:3" x14ac:dyDescent="0.25">
      <c r="C75" s="92" t="s">
        <v>162</v>
      </c>
    </row>
    <row r="77" spans="2:3" x14ac:dyDescent="0.25">
      <c r="B77" s="122" t="s">
        <v>42</v>
      </c>
      <c r="C77" s="123"/>
    </row>
    <row r="78" spans="2:3" x14ac:dyDescent="0.25">
      <c r="B78" s="139">
        <v>1</v>
      </c>
      <c r="C78" s="91" t="s">
        <v>43</v>
      </c>
    </row>
    <row r="79" spans="2:3" x14ac:dyDescent="0.25">
      <c r="B79" s="139">
        <f t="shared" ref="B79:B88" si="4">B78+1</f>
        <v>2</v>
      </c>
      <c r="C79" s="91" t="s">
        <v>183</v>
      </c>
    </row>
    <row r="80" spans="2:3" x14ac:dyDescent="0.25">
      <c r="B80" s="139">
        <f t="shared" si="4"/>
        <v>3</v>
      </c>
      <c r="C80" s="91" t="s">
        <v>185</v>
      </c>
    </row>
    <row r="81" spans="2:3" x14ac:dyDescent="0.25">
      <c r="B81" s="139">
        <f t="shared" si="4"/>
        <v>4</v>
      </c>
      <c r="C81" s="91" t="s">
        <v>44</v>
      </c>
    </row>
    <row r="82" spans="2:3" x14ac:dyDescent="0.25">
      <c r="B82" s="139">
        <f t="shared" si="4"/>
        <v>5</v>
      </c>
      <c r="C82" s="91" t="s">
        <v>186</v>
      </c>
    </row>
    <row r="83" spans="2:3" x14ac:dyDescent="0.25">
      <c r="B83" s="139">
        <f t="shared" si="4"/>
        <v>6</v>
      </c>
      <c r="C83" s="91" t="s">
        <v>45</v>
      </c>
    </row>
    <row r="84" spans="2:3" x14ac:dyDescent="0.25">
      <c r="B84" s="139">
        <f t="shared" si="4"/>
        <v>7</v>
      </c>
      <c r="C84" s="91" t="s">
        <v>188</v>
      </c>
    </row>
    <row r="85" spans="2:3" x14ac:dyDescent="0.25">
      <c r="B85" s="139">
        <f t="shared" si="4"/>
        <v>8</v>
      </c>
      <c r="C85" s="91" t="s">
        <v>189</v>
      </c>
    </row>
    <row r="86" spans="2:3" x14ac:dyDescent="0.25">
      <c r="B86" s="139">
        <f t="shared" si="4"/>
        <v>9</v>
      </c>
      <c r="C86" s="91" t="s">
        <v>172</v>
      </c>
    </row>
    <row r="87" spans="2:3" x14ac:dyDescent="0.25">
      <c r="B87" s="139">
        <f t="shared" si="4"/>
        <v>10</v>
      </c>
      <c r="C87" s="91" t="s">
        <v>46</v>
      </c>
    </row>
    <row r="88" spans="2:3" x14ac:dyDescent="0.25">
      <c r="B88" s="139">
        <f t="shared" si="4"/>
        <v>11</v>
      </c>
      <c r="C88" s="91" t="s">
        <v>187</v>
      </c>
    </row>
    <row r="90" spans="2:3" x14ac:dyDescent="0.25">
      <c r="B90" s="122" t="s">
        <v>47</v>
      </c>
      <c r="C90" s="123"/>
    </row>
    <row r="91" spans="2:3" x14ac:dyDescent="0.25">
      <c r="B91" s="139">
        <v>1</v>
      </c>
      <c r="C91" s="91" t="s">
        <v>191</v>
      </c>
    </row>
    <row r="92" spans="2:3" x14ac:dyDescent="0.25">
      <c r="B92" s="139">
        <f>B91+1</f>
        <v>2</v>
      </c>
      <c r="C92" s="91" t="s">
        <v>192</v>
      </c>
    </row>
    <row r="93" spans="2:3" x14ac:dyDescent="0.25">
      <c r="B93" s="139">
        <f t="shared" ref="B93:B99" si="5">B92+1</f>
        <v>3</v>
      </c>
      <c r="C93" s="91" t="s">
        <v>193</v>
      </c>
    </row>
    <row r="94" spans="2:3" x14ac:dyDescent="0.25">
      <c r="B94" s="139">
        <f t="shared" si="5"/>
        <v>4</v>
      </c>
      <c r="C94" s="91" t="s">
        <v>45</v>
      </c>
    </row>
    <row r="95" spans="2:3" x14ac:dyDescent="0.25">
      <c r="B95" s="139">
        <f t="shared" si="5"/>
        <v>5</v>
      </c>
      <c r="C95" s="91" t="s">
        <v>203</v>
      </c>
    </row>
    <row r="96" spans="2:3" x14ac:dyDescent="0.25">
      <c r="B96" s="139">
        <f t="shared" si="5"/>
        <v>6</v>
      </c>
      <c r="C96" s="91" t="s">
        <v>189</v>
      </c>
    </row>
    <row r="97" spans="2:3" x14ac:dyDescent="0.25">
      <c r="B97" s="139">
        <f t="shared" si="5"/>
        <v>7</v>
      </c>
      <c r="C97" s="91" t="s">
        <v>48</v>
      </c>
    </row>
    <row r="98" spans="2:3" x14ac:dyDescent="0.25">
      <c r="B98" s="139">
        <f t="shared" si="5"/>
        <v>8</v>
      </c>
      <c r="C98" s="91" t="s">
        <v>194</v>
      </c>
    </row>
    <row r="99" spans="2:3" x14ac:dyDescent="0.25">
      <c r="B99" s="139">
        <f t="shared" si="5"/>
        <v>9</v>
      </c>
      <c r="C99" s="91" t="s">
        <v>195</v>
      </c>
    </row>
    <row r="101" spans="2:3" x14ac:dyDescent="0.25">
      <c r="B101" s="122" t="s">
        <v>49</v>
      </c>
      <c r="C101" s="123"/>
    </row>
    <row r="102" spans="2:3" x14ac:dyDescent="0.25">
      <c r="B102" s="139">
        <f>+B104+1</f>
        <v>3</v>
      </c>
      <c r="C102" s="91" t="s">
        <v>197</v>
      </c>
    </row>
    <row r="103" spans="2:3" x14ac:dyDescent="0.25">
      <c r="B103" s="139">
        <v>1</v>
      </c>
      <c r="C103" s="91" t="s">
        <v>50</v>
      </c>
    </row>
    <row r="104" spans="2:3" x14ac:dyDescent="0.25">
      <c r="B104" s="139">
        <f>+B103+1</f>
        <v>2</v>
      </c>
      <c r="C104" s="91" t="s">
        <v>198</v>
      </c>
    </row>
    <row r="105" spans="2:3" x14ac:dyDescent="0.25">
      <c r="B105" s="139">
        <f>+B102+1</f>
        <v>4</v>
      </c>
      <c r="C105" s="91" t="s">
        <v>199</v>
      </c>
    </row>
    <row r="106" spans="2:3" x14ac:dyDescent="0.25">
      <c r="B106" s="139">
        <f t="shared" ref="B106:B113" si="6">+B105+1</f>
        <v>5</v>
      </c>
      <c r="C106" s="91" t="s">
        <v>45</v>
      </c>
    </row>
    <row r="107" spans="2:3" x14ac:dyDescent="0.25">
      <c r="B107" s="139">
        <f t="shared" si="6"/>
        <v>6</v>
      </c>
      <c r="C107" s="91" t="s">
        <v>202</v>
      </c>
    </row>
    <row r="108" spans="2:3" x14ac:dyDescent="0.25">
      <c r="B108" s="139">
        <f t="shared" si="6"/>
        <v>7</v>
      </c>
      <c r="C108" s="91" t="s">
        <v>201</v>
      </c>
    </row>
    <row r="109" spans="2:3" x14ac:dyDescent="0.25">
      <c r="B109" s="139">
        <f t="shared" si="6"/>
        <v>8</v>
      </c>
      <c r="C109" s="91" t="s">
        <v>51</v>
      </c>
    </row>
    <row r="110" spans="2:3" x14ac:dyDescent="0.25">
      <c r="B110" s="139">
        <f t="shared" si="6"/>
        <v>9</v>
      </c>
      <c r="C110" s="91" t="s">
        <v>52</v>
      </c>
    </row>
    <row r="111" spans="2:3" x14ac:dyDescent="0.25">
      <c r="B111" s="139">
        <f t="shared" si="6"/>
        <v>10</v>
      </c>
      <c r="C111" s="91" t="s">
        <v>205</v>
      </c>
    </row>
    <row r="112" spans="2:3" s="93" customFormat="1" x14ac:dyDescent="0.25">
      <c r="B112" s="139">
        <f t="shared" si="6"/>
        <v>11</v>
      </c>
      <c r="C112" s="91" t="s">
        <v>200</v>
      </c>
    </row>
    <row r="113" spans="2:3" x14ac:dyDescent="0.25">
      <c r="B113" s="139">
        <f t="shared" si="6"/>
        <v>12</v>
      </c>
      <c r="C113" s="91" t="s">
        <v>53</v>
      </c>
    </row>
    <row r="115" spans="2:3" x14ac:dyDescent="0.25">
      <c r="B115" s="120" t="s">
        <v>54</v>
      </c>
      <c r="C115" s="121"/>
    </row>
    <row r="116" spans="2:3" x14ac:dyDescent="0.25">
      <c r="B116" s="139">
        <v>1</v>
      </c>
      <c r="C116" s="91" t="s">
        <v>50</v>
      </c>
    </row>
    <row r="117" spans="2:3" x14ac:dyDescent="0.25">
      <c r="B117" s="139">
        <f t="shared" ref="B117:B126" si="7">B116+1</f>
        <v>2</v>
      </c>
      <c r="C117" s="91" t="s">
        <v>207</v>
      </c>
    </row>
    <row r="118" spans="2:3" x14ac:dyDescent="0.25">
      <c r="B118" s="139">
        <f t="shared" si="7"/>
        <v>3</v>
      </c>
      <c r="C118" s="91" t="s">
        <v>192</v>
      </c>
    </row>
    <row r="119" spans="2:3" x14ac:dyDescent="0.25">
      <c r="B119" s="139">
        <f t="shared" si="7"/>
        <v>4</v>
      </c>
      <c r="C119" s="91" t="s">
        <v>206</v>
      </c>
    </row>
    <row r="120" spans="2:3" x14ac:dyDescent="0.25">
      <c r="B120" s="139">
        <f t="shared" si="7"/>
        <v>5</v>
      </c>
      <c r="C120" s="91" t="s">
        <v>45</v>
      </c>
    </row>
    <row r="121" spans="2:3" x14ac:dyDescent="0.25">
      <c r="B121" s="139">
        <f t="shared" si="7"/>
        <v>6</v>
      </c>
      <c r="C121" s="91" t="s">
        <v>208</v>
      </c>
    </row>
    <row r="122" spans="2:3" x14ac:dyDescent="0.25">
      <c r="B122" s="139">
        <f t="shared" si="7"/>
        <v>7</v>
      </c>
      <c r="C122" s="91" t="s">
        <v>201</v>
      </c>
    </row>
    <row r="123" spans="2:3" x14ac:dyDescent="0.25">
      <c r="B123" s="139">
        <f t="shared" si="7"/>
        <v>8</v>
      </c>
      <c r="C123" s="91" t="s">
        <v>55</v>
      </c>
    </row>
    <row r="124" spans="2:3" x14ac:dyDescent="0.25">
      <c r="B124" s="139">
        <f t="shared" si="7"/>
        <v>9</v>
      </c>
      <c r="C124" s="91" t="s">
        <v>53</v>
      </c>
    </row>
    <row r="125" spans="2:3" x14ac:dyDescent="0.25">
      <c r="B125" s="139">
        <f t="shared" si="7"/>
        <v>10</v>
      </c>
      <c r="C125" s="91" t="s">
        <v>56</v>
      </c>
    </row>
    <row r="126" spans="2:3" x14ac:dyDescent="0.25">
      <c r="B126" s="139">
        <f t="shared" si="7"/>
        <v>11</v>
      </c>
      <c r="C126" s="91" t="s">
        <v>209</v>
      </c>
    </row>
    <row r="128" spans="2:3" x14ac:dyDescent="0.25">
      <c r="B128" s="122" t="s">
        <v>57</v>
      </c>
      <c r="C128" s="123"/>
    </row>
    <row r="129" spans="2:3" x14ac:dyDescent="0.25">
      <c r="B129" s="139">
        <v>1</v>
      </c>
      <c r="C129" s="91" t="s">
        <v>211</v>
      </c>
    </row>
    <row r="130" spans="2:3" x14ac:dyDescent="0.25">
      <c r="B130" s="139">
        <f>B129+1</f>
        <v>2</v>
      </c>
      <c r="C130" s="91" t="s">
        <v>216</v>
      </c>
    </row>
    <row r="131" spans="2:3" x14ac:dyDescent="0.25">
      <c r="B131" s="139">
        <f t="shared" ref="B131:B139" si="8">B130+1</f>
        <v>3</v>
      </c>
      <c r="C131" s="91" t="s">
        <v>212</v>
      </c>
    </row>
    <row r="132" spans="2:3" x14ac:dyDescent="0.25">
      <c r="B132" s="139">
        <f t="shared" si="8"/>
        <v>4</v>
      </c>
      <c r="C132" s="91" t="s">
        <v>213</v>
      </c>
    </row>
    <row r="133" spans="2:3" x14ac:dyDescent="0.25">
      <c r="B133" s="139">
        <f t="shared" si="8"/>
        <v>5</v>
      </c>
      <c r="C133" s="91" t="s">
        <v>45</v>
      </c>
    </row>
    <row r="134" spans="2:3" x14ac:dyDescent="0.25">
      <c r="B134" s="139">
        <f t="shared" si="8"/>
        <v>6</v>
      </c>
      <c r="C134" s="91" t="s">
        <v>214</v>
      </c>
    </row>
    <row r="135" spans="2:3" x14ac:dyDescent="0.25">
      <c r="B135" s="139">
        <f t="shared" si="8"/>
        <v>7</v>
      </c>
      <c r="C135" s="91" t="s">
        <v>201</v>
      </c>
    </row>
    <row r="136" spans="2:3" x14ac:dyDescent="0.25">
      <c r="B136" s="139">
        <f t="shared" si="8"/>
        <v>8</v>
      </c>
      <c r="C136" s="91" t="s">
        <v>58</v>
      </c>
    </row>
    <row r="137" spans="2:3" x14ac:dyDescent="0.25">
      <c r="B137" s="139">
        <f t="shared" si="8"/>
        <v>9</v>
      </c>
      <c r="C137" s="91" t="s">
        <v>56</v>
      </c>
    </row>
    <row r="138" spans="2:3" x14ac:dyDescent="0.25">
      <c r="B138" s="139">
        <f t="shared" si="8"/>
        <v>10</v>
      </c>
      <c r="C138" s="91" t="s">
        <v>53</v>
      </c>
    </row>
    <row r="139" spans="2:3" x14ac:dyDescent="0.25">
      <c r="B139" s="139">
        <f t="shared" si="8"/>
        <v>11</v>
      </c>
      <c r="C139" s="91" t="s">
        <v>215</v>
      </c>
    </row>
  </sheetData>
  <mergeCells count="13">
    <mergeCell ref="B39:C39"/>
    <mergeCell ref="B50:C50"/>
    <mergeCell ref="B62:C62"/>
    <mergeCell ref="B2:C2"/>
    <mergeCell ref="B4:C4"/>
    <mergeCell ref="B10:C10"/>
    <mergeCell ref="B18:C18"/>
    <mergeCell ref="B29:C29"/>
    <mergeCell ref="B115:C115"/>
    <mergeCell ref="B128:C128"/>
    <mergeCell ref="B77:C77"/>
    <mergeCell ref="B90:C90"/>
    <mergeCell ref="B101:C10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39" zoomScale="98" zoomScaleNormal="98" workbookViewId="0">
      <selection activeCell="F47" sqref="F47"/>
    </sheetView>
  </sheetViews>
  <sheetFormatPr defaultRowHeight="15" x14ac:dyDescent="0.25"/>
  <cols>
    <col min="1" max="1" width="3.140625" bestFit="1" customWidth="1"/>
    <col min="2" max="2" width="12" style="95" customWidth="1"/>
    <col min="3" max="3" width="11.42578125" style="95" customWidth="1"/>
    <col min="4" max="5" width="4.140625" bestFit="1" customWidth="1"/>
    <col min="6" max="6" width="13.5703125" style="95" customWidth="1"/>
    <col min="7" max="7" width="11.7109375" style="95" customWidth="1"/>
    <col min="8" max="8" width="2.5703125" style="114" bestFit="1" customWidth="1"/>
    <col min="9" max="9" width="3.140625" style="114" bestFit="1" customWidth="1"/>
    <col min="10" max="11" width="11.5703125" style="95" bestFit="1" customWidth="1"/>
    <col min="12" max="12" width="6" style="114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B14+F8+J9+B18+F18-K20+B29+F30-C39</f>
        <v>925000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3000</v>
      </c>
      <c r="C5" s="100">
        <v>345000</v>
      </c>
      <c r="D5">
        <v>4</v>
      </c>
      <c r="E5" t="s">
        <v>132</v>
      </c>
      <c r="F5" s="95">
        <v>80000</v>
      </c>
      <c r="G5" s="101">
        <v>80000</v>
      </c>
      <c r="H5" s="113">
        <v>1</v>
      </c>
      <c r="I5" s="114" t="s">
        <v>132</v>
      </c>
      <c r="J5" s="102">
        <v>350000</v>
      </c>
      <c r="K5" s="100">
        <v>70000</v>
      </c>
      <c r="L5" s="109">
        <v>2</v>
      </c>
    </row>
    <row r="6" spans="1:12" x14ac:dyDescent="0.25">
      <c r="A6">
        <v>1</v>
      </c>
      <c r="B6" s="95">
        <v>80000</v>
      </c>
      <c r="C6" s="101">
        <v>4000</v>
      </c>
      <c r="D6">
        <v>9</v>
      </c>
      <c r="E6">
        <v>3</v>
      </c>
      <c r="F6" s="103">
        <v>50000</v>
      </c>
      <c r="G6" s="104"/>
      <c r="I6" s="115">
        <v>5</v>
      </c>
      <c r="J6" s="102">
        <v>300000</v>
      </c>
      <c r="K6" s="101">
        <v>280000</v>
      </c>
      <c r="L6" s="114">
        <v>3</v>
      </c>
    </row>
    <row r="7" spans="1:12" x14ac:dyDescent="0.25">
      <c r="A7">
        <v>3</v>
      </c>
      <c r="B7" s="95">
        <v>300000</v>
      </c>
      <c r="C7" s="101"/>
      <c r="F7" s="105">
        <f>SUM(F5:F6)</f>
        <v>130000</v>
      </c>
      <c r="G7" s="104">
        <f>SUM(G5:G6)</f>
        <v>80000</v>
      </c>
      <c r="J7" s="103"/>
      <c r="K7" s="104"/>
    </row>
    <row r="8" spans="1:12" x14ac:dyDescent="0.25">
      <c r="C8" s="101"/>
      <c r="F8" s="95">
        <f>F7-G7</f>
        <v>50000</v>
      </c>
      <c r="G8" s="101"/>
      <c r="J8" s="106">
        <f>SUM(J5:J7)</f>
        <v>650000</v>
      </c>
      <c r="K8" s="107">
        <f>SUM(K5:K7)</f>
        <v>350000</v>
      </c>
    </row>
    <row r="9" spans="1:12" x14ac:dyDescent="0.25">
      <c r="B9" s="102"/>
      <c r="C9" s="101"/>
      <c r="F9" s="102"/>
      <c r="G9" s="101"/>
      <c r="J9" s="102">
        <f>J8-K8</f>
        <v>300000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383000</v>
      </c>
      <c r="C13" s="107">
        <f>SUM(C5:C12)</f>
        <v>349000</v>
      </c>
      <c r="F13" s="102"/>
      <c r="G13" s="101"/>
      <c r="J13" s="102"/>
      <c r="K13" s="101"/>
    </row>
    <row r="14" spans="1:12" x14ac:dyDescent="0.25">
      <c r="B14" s="102">
        <f>B13-C13</f>
        <v>34000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5">
        <v>540000</v>
      </c>
      <c r="G18" s="104"/>
      <c r="K18" s="100">
        <v>21000</v>
      </c>
      <c r="L18" s="114" t="s">
        <v>132</v>
      </c>
    </row>
    <row r="19" spans="1:12" x14ac:dyDescent="0.25">
      <c r="B19" s="102"/>
      <c r="C19" s="101"/>
      <c r="F19" s="102"/>
      <c r="G19" s="101"/>
      <c r="J19" s="103"/>
      <c r="K19" s="104">
        <v>9000</v>
      </c>
      <c r="L19" s="114">
        <v>6</v>
      </c>
    </row>
    <row r="20" spans="1:12" x14ac:dyDescent="0.25">
      <c r="B20" s="102"/>
      <c r="C20" s="101"/>
      <c r="F20" s="102"/>
      <c r="G20" s="101"/>
      <c r="J20" s="102"/>
      <c r="K20" s="101">
        <f>SUM(K18:K19)</f>
        <v>30000</v>
      </c>
    </row>
    <row r="21" spans="1:12" x14ac:dyDescent="0.25">
      <c r="B21" s="102"/>
      <c r="C21" s="101"/>
      <c r="F21" s="102"/>
      <c r="G21" s="101"/>
      <c r="K21" s="101"/>
    </row>
    <row r="22" spans="1:12" x14ac:dyDescent="0.25">
      <c r="B22" s="102"/>
      <c r="C22" s="101"/>
      <c r="F22" s="102"/>
      <c r="G22" s="101"/>
      <c r="J22" s="102"/>
      <c r="K22" s="101"/>
    </row>
    <row r="23" spans="1:12" x14ac:dyDescent="0.25">
      <c r="B23" s="102"/>
      <c r="C23" s="101"/>
      <c r="F23" s="102"/>
      <c r="G23" s="101"/>
      <c r="J23" s="102"/>
      <c r="K23" s="101"/>
    </row>
    <row r="24" spans="1:12" x14ac:dyDescent="0.25">
      <c r="B24" s="102"/>
      <c r="C24" s="101"/>
      <c r="F24" s="102"/>
      <c r="G24" s="101"/>
      <c r="J24" s="102"/>
      <c r="K24" s="101"/>
    </row>
    <row r="25" spans="1:12" x14ac:dyDescent="0.25">
      <c r="B25" s="102"/>
      <c r="C25" s="101"/>
      <c r="F25" s="102"/>
      <c r="G25" s="101"/>
      <c r="J25" s="102"/>
      <c r="K25" s="101"/>
    </row>
    <row r="26" spans="1:12" x14ac:dyDescent="0.25">
      <c r="B26" s="102"/>
      <c r="C26" s="102"/>
      <c r="F26" s="102"/>
      <c r="G26" s="102"/>
      <c r="J26" s="102"/>
      <c r="K26" s="102"/>
    </row>
    <row r="27" spans="1:12" x14ac:dyDescent="0.25">
      <c r="B27" s="99" t="s">
        <v>14</v>
      </c>
      <c r="C27" s="99"/>
      <c r="F27" s="99"/>
      <c r="G27" s="99"/>
      <c r="J27" s="99"/>
      <c r="K27" s="99"/>
    </row>
    <row r="28" spans="1:12" x14ac:dyDescent="0.25">
      <c r="A28" t="s">
        <v>132</v>
      </c>
      <c r="B28" s="106">
        <v>12000</v>
      </c>
      <c r="C28" s="107">
        <v>1000</v>
      </c>
      <c r="D28">
        <v>10</v>
      </c>
      <c r="F28" s="102"/>
      <c r="G28" s="101"/>
      <c r="K28" s="101"/>
    </row>
    <row r="29" spans="1:12" x14ac:dyDescent="0.25">
      <c r="B29" s="102">
        <f>B28-C28</f>
        <v>11000</v>
      </c>
      <c r="C29" s="101"/>
      <c r="F29" s="103"/>
      <c r="G29" s="104"/>
      <c r="J29" s="102"/>
      <c r="K29" s="101"/>
    </row>
    <row r="30" spans="1:12" x14ac:dyDescent="0.25">
      <c r="B30" s="102"/>
      <c r="C30" s="101"/>
      <c r="F30" s="102"/>
      <c r="G30" s="101"/>
      <c r="K30" s="101"/>
    </row>
    <row r="31" spans="1:12" x14ac:dyDescent="0.25">
      <c r="B31" s="102"/>
      <c r="C31" s="101"/>
      <c r="F31" s="102"/>
      <c r="G31" s="101"/>
      <c r="J31" s="102"/>
      <c r="K31" s="101"/>
    </row>
    <row r="32" spans="1:12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F38" s="102"/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5"/>
    </row>
    <row r="47" spans="2:11" x14ac:dyDescent="0.25">
      <c r="B47" s="96" t="s">
        <v>2</v>
      </c>
      <c r="F47" s="97">
        <f>C54+G53+K54+G60+K63+G72+K73+C74+C60</f>
        <v>925000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4</v>
      </c>
      <c r="B50" s="95">
        <v>200000</v>
      </c>
      <c r="C50" s="100">
        <v>200000</v>
      </c>
      <c r="D50" t="s">
        <v>132</v>
      </c>
      <c r="G50" s="100">
        <v>360000</v>
      </c>
      <c r="H50" s="114" t="s">
        <v>132</v>
      </c>
      <c r="I50" s="114">
        <v>4</v>
      </c>
      <c r="J50" s="95">
        <v>145000</v>
      </c>
      <c r="K50" s="100">
        <v>145000</v>
      </c>
      <c r="L50" s="114" t="s">
        <v>132</v>
      </c>
    </row>
    <row r="51" spans="1:19" x14ac:dyDescent="0.25">
      <c r="B51" s="102"/>
      <c r="C51" s="101">
        <v>300000</v>
      </c>
      <c r="D51">
        <v>5</v>
      </c>
      <c r="F51" s="103"/>
      <c r="G51" s="104"/>
      <c r="H51" s="115"/>
      <c r="J51" s="102"/>
      <c r="K51" s="101">
        <v>16000</v>
      </c>
      <c r="L51" s="114">
        <v>7</v>
      </c>
    </row>
    <row r="52" spans="1:19" x14ac:dyDescent="0.25">
      <c r="B52" s="103"/>
      <c r="C52" s="104"/>
      <c r="F52" s="106"/>
      <c r="G52" s="107"/>
      <c r="J52" s="103"/>
      <c r="K52" s="104">
        <v>25000</v>
      </c>
      <c r="L52" s="114">
        <v>8</v>
      </c>
    </row>
    <row r="53" spans="1:19" x14ac:dyDescent="0.25">
      <c r="B53" s="106">
        <f>SUM(B50:B52)</f>
        <v>200000</v>
      </c>
      <c r="C53" s="107">
        <f>SUM(C50:C52)</f>
        <v>500000</v>
      </c>
      <c r="F53" s="102"/>
      <c r="G53" s="101">
        <f>G50</f>
        <v>360000</v>
      </c>
      <c r="J53" s="106">
        <f>SUM(J50:J52)</f>
        <v>145000</v>
      </c>
      <c r="K53" s="107">
        <f>SUM(K50:K52)</f>
        <v>186000</v>
      </c>
    </row>
    <row r="54" spans="1:19" x14ac:dyDescent="0.25">
      <c r="B54" s="102"/>
      <c r="C54" s="101">
        <f>C53-B53</f>
        <v>300000</v>
      </c>
      <c r="F54" s="102"/>
      <c r="G54" s="101"/>
      <c r="K54" s="101">
        <f>K53-J53</f>
        <v>41000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B60" s="106"/>
      <c r="C60" s="107">
        <v>15000</v>
      </c>
      <c r="D60">
        <v>11</v>
      </c>
      <c r="F60" s="103"/>
      <c r="G60" s="104">
        <v>100000</v>
      </c>
      <c r="H60" s="114" t="s">
        <v>132</v>
      </c>
      <c r="I60" s="114">
        <v>11</v>
      </c>
      <c r="J60" s="95">
        <v>15000</v>
      </c>
      <c r="K60" s="100">
        <v>99000</v>
      </c>
      <c r="L60" s="114" t="s">
        <v>132</v>
      </c>
      <c r="N60" s="3"/>
      <c r="O60" s="3"/>
      <c r="S60" s="3"/>
    </row>
    <row r="61" spans="1:19" x14ac:dyDescent="0.25">
      <c r="B61" s="102"/>
      <c r="C61" s="100"/>
      <c r="F61" s="102"/>
      <c r="G61" s="101"/>
      <c r="J61" s="103"/>
      <c r="K61" s="104">
        <v>25000</v>
      </c>
      <c r="L61" s="114" t="s">
        <v>12</v>
      </c>
      <c r="N61" s="3"/>
      <c r="O61" s="3"/>
      <c r="S61" s="3"/>
    </row>
    <row r="62" spans="1:19" x14ac:dyDescent="0.25">
      <c r="B62" s="102"/>
      <c r="C62" s="101"/>
      <c r="F62" s="102"/>
      <c r="G62" s="101"/>
      <c r="J62" s="106">
        <f>SUM(J60:J61)</f>
        <v>15000</v>
      </c>
      <c r="K62" s="107">
        <f>SUM(K60:K61)</f>
        <v>124000</v>
      </c>
      <c r="N62" s="3"/>
      <c r="O62" s="3"/>
      <c r="S62" s="3"/>
    </row>
    <row r="63" spans="1:19" x14ac:dyDescent="0.25">
      <c r="C63" s="101"/>
      <c r="F63" s="102"/>
      <c r="G63" s="101"/>
      <c r="K63" s="101">
        <f>K62-J62</f>
        <v>109000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1:19" x14ac:dyDescent="0.25">
      <c r="B65" s="102"/>
      <c r="C65" s="101"/>
      <c r="F65" s="102"/>
      <c r="G65" s="101"/>
      <c r="K65" s="101"/>
      <c r="N65" s="3"/>
      <c r="O65" s="3"/>
      <c r="S65" s="3"/>
    </row>
    <row r="66" spans="1:19" x14ac:dyDescent="0.25">
      <c r="B66" s="102"/>
      <c r="C66" s="101"/>
      <c r="F66" s="102"/>
      <c r="G66" s="101"/>
      <c r="K66" s="101"/>
      <c r="N66" s="3"/>
      <c r="O66" s="3"/>
      <c r="S66" s="3"/>
    </row>
    <row r="67" spans="1:19" x14ac:dyDescent="0.25">
      <c r="B67" s="102"/>
      <c r="C67" s="101"/>
      <c r="F67" s="102"/>
      <c r="G67" s="101"/>
      <c r="K67" s="101"/>
      <c r="N67" s="3"/>
      <c r="O67" s="3"/>
      <c r="S67" s="3"/>
    </row>
    <row r="68" spans="1:19" x14ac:dyDescent="0.25">
      <c r="B68" s="102"/>
      <c r="C68" s="102"/>
      <c r="F68" s="102"/>
      <c r="G68" s="102"/>
      <c r="K68" s="102"/>
      <c r="N68" s="3"/>
      <c r="O68" s="3"/>
      <c r="S68" s="3"/>
    </row>
    <row r="69" spans="1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1:19" x14ac:dyDescent="0.25">
      <c r="F70" s="102"/>
      <c r="G70" s="100"/>
      <c r="J70" s="110"/>
      <c r="K70" s="100"/>
      <c r="N70" s="3"/>
      <c r="O70" s="3"/>
      <c r="S70" s="3"/>
    </row>
    <row r="71" spans="1:19" x14ac:dyDescent="0.25">
      <c r="B71" s="99" t="s">
        <v>218</v>
      </c>
      <c r="C71" s="99"/>
      <c r="F71" s="103"/>
      <c r="G71" s="104"/>
      <c r="J71" s="103"/>
      <c r="K71" s="104"/>
      <c r="N71" s="3"/>
      <c r="O71" s="3"/>
      <c r="S71" s="3"/>
    </row>
    <row r="72" spans="1:19" x14ac:dyDescent="0.25">
      <c r="A72">
        <v>2</v>
      </c>
      <c r="B72" s="95">
        <v>80000</v>
      </c>
      <c r="C72" s="101">
        <v>80000</v>
      </c>
      <c r="D72" t="s">
        <v>132</v>
      </c>
      <c r="F72" s="102"/>
      <c r="G72" s="101"/>
      <c r="J72" s="106"/>
      <c r="K72" s="107"/>
      <c r="N72" s="3"/>
      <c r="O72" s="3"/>
      <c r="S72" s="3"/>
    </row>
    <row r="73" spans="1:19" x14ac:dyDescent="0.25">
      <c r="B73" s="103"/>
      <c r="C73" s="104"/>
      <c r="G73" s="101"/>
      <c r="K73" s="101"/>
      <c r="N73" s="3"/>
      <c r="O73" s="3"/>
      <c r="S73" s="3"/>
    </row>
    <row r="74" spans="1:19" x14ac:dyDescent="0.25">
      <c r="B74" s="102"/>
      <c r="C74" s="101">
        <f>C72-B72</f>
        <v>0</v>
      </c>
      <c r="F74" s="102"/>
      <c r="G74" s="101"/>
      <c r="J74" s="102"/>
      <c r="K74" s="101"/>
      <c r="N74" s="3"/>
      <c r="O74" s="3"/>
      <c r="S74" s="3"/>
    </row>
    <row r="75" spans="1:19" x14ac:dyDescent="0.25">
      <c r="B75" s="102"/>
      <c r="C75" s="101"/>
      <c r="F75" s="102"/>
      <c r="G75" s="101"/>
      <c r="J75" s="102"/>
      <c r="K75" s="101"/>
      <c r="N75" s="3"/>
      <c r="O75" s="3"/>
      <c r="S75" s="3"/>
    </row>
    <row r="76" spans="1:19" x14ac:dyDescent="0.25">
      <c r="B76" s="102"/>
      <c r="C76" s="101"/>
      <c r="F76" s="102"/>
      <c r="G76" s="101"/>
      <c r="J76" s="102"/>
      <c r="K76" s="101"/>
      <c r="N76" s="3"/>
      <c r="O76" s="3"/>
      <c r="S76" s="3"/>
    </row>
    <row r="77" spans="1:19" x14ac:dyDescent="0.25">
      <c r="B77" s="102"/>
      <c r="C77" s="101"/>
      <c r="F77" s="102"/>
      <c r="G77" s="101"/>
      <c r="J77" s="102"/>
      <c r="K77" s="101"/>
      <c r="N77" s="3"/>
      <c r="O77" s="3"/>
      <c r="S77" s="3"/>
    </row>
    <row r="78" spans="1:19" x14ac:dyDescent="0.25">
      <c r="B78" s="102"/>
      <c r="C78" s="101"/>
      <c r="F78" s="102"/>
      <c r="G78" s="101"/>
      <c r="J78" s="102"/>
      <c r="K78" s="102"/>
      <c r="N78" s="3"/>
      <c r="O78" s="3"/>
      <c r="S78" s="3"/>
    </row>
    <row r="79" spans="1:19" x14ac:dyDescent="0.25">
      <c r="B79" s="102"/>
      <c r="C79" s="101"/>
    </row>
    <row r="81" spans="1:4" x14ac:dyDescent="0.25">
      <c r="B81" s="131" t="s">
        <v>3</v>
      </c>
      <c r="C81" s="131"/>
    </row>
    <row r="82" spans="1:4" x14ac:dyDescent="0.25">
      <c r="A82">
        <v>6</v>
      </c>
      <c r="B82" s="111">
        <v>9000</v>
      </c>
      <c r="C82" s="100">
        <v>10000</v>
      </c>
      <c r="D82">
        <v>2</v>
      </c>
    </row>
    <row r="83" spans="1:4" x14ac:dyDescent="0.25">
      <c r="A83">
        <v>7</v>
      </c>
      <c r="B83" s="102">
        <v>16000</v>
      </c>
      <c r="C83" s="101">
        <v>70000</v>
      </c>
      <c r="D83">
        <v>3</v>
      </c>
    </row>
    <row r="84" spans="1:4" x14ac:dyDescent="0.25">
      <c r="A84">
        <v>8</v>
      </c>
      <c r="B84" s="102">
        <v>25000</v>
      </c>
      <c r="C84" s="101"/>
    </row>
    <row r="85" spans="1:4" x14ac:dyDescent="0.25">
      <c r="A85">
        <v>9</v>
      </c>
      <c r="B85" s="102">
        <v>4000</v>
      </c>
      <c r="C85" s="101"/>
    </row>
    <row r="86" spans="1:4" x14ac:dyDescent="0.25">
      <c r="A86">
        <v>10</v>
      </c>
      <c r="B86" s="95">
        <v>1000</v>
      </c>
      <c r="C86" s="101"/>
    </row>
    <row r="87" spans="1:4" x14ac:dyDescent="0.25">
      <c r="B87" s="102"/>
      <c r="C87" s="101"/>
    </row>
    <row r="88" spans="1:4" x14ac:dyDescent="0.25">
      <c r="B88" s="103"/>
      <c r="C88" s="104"/>
    </row>
    <row r="89" spans="1:4" x14ac:dyDescent="0.25">
      <c r="B89" s="106">
        <f>SUM(B82:B88)</f>
        <v>55000</v>
      </c>
      <c r="C89" s="107">
        <f>SUM(C82:C88)</f>
        <v>80000</v>
      </c>
    </row>
    <row r="90" spans="1:4" x14ac:dyDescent="0.25">
      <c r="A90" t="s">
        <v>12</v>
      </c>
      <c r="B90" s="106">
        <f>C90</f>
        <v>25000</v>
      </c>
      <c r="C90" s="107">
        <f>C89-B89</f>
        <v>25000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76" zoomScale="98" zoomScaleNormal="98" workbookViewId="0">
      <selection activeCell="B87" sqref="B87"/>
    </sheetView>
  </sheetViews>
  <sheetFormatPr defaultRowHeight="15" x14ac:dyDescent="0.25"/>
  <cols>
    <col min="1" max="1" width="3.140625" bestFit="1" customWidth="1"/>
    <col min="2" max="2" width="11.42578125" style="95" customWidth="1"/>
    <col min="3" max="3" width="13" style="95" customWidth="1"/>
    <col min="4" max="5" width="4.140625" bestFit="1" customWidth="1"/>
    <col min="6" max="6" width="13.5703125" style="95" customWidth="1"/>
    <col min="7" max="7" width="12" style="95" customWidth="1"/>
    <col min="8" max="8" width="2.5703125" style="114" customWidth="1"/>
    <col min="9" max="9" width="3.140625" style="114" bestFit="1" customWidth="1"/>
    <col min="10" max="11" width="11.5703125" style="95" bestFit="1" customWidth="1"/>
    <col min="12" max="12" width="3.140625" style="114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B14+F8+J9+B18+F18-K20+B29+F30-C39</f>
        <v>1105000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34000</v>
      </c>
      <c r="C5" s="100">
        <v>356000</v>
      </c>
      <c r="D5">
        <v>2</v>
      </c>
      <c r="E5" t="s">
        <v>132</v>
      </c>
      <c r="F5" s="95">
        <v>50000</v>
      </c>
      <c r="G5" s="101"/>
      <c r="I5" s="114" t="s">
        <v>132</v>
      </c>
      <c r="J5" s="102">
        <v>300000</v>
      </c>
      <c r="K5" s="100">
        <v>300000</v>
      </c>
      <c r="L5" s="114">
        <v>1</v>
      </c>
    </row>
    <row r="6" spans="1:12" x14ac:dyDescent="0.25">
      <c r="A6">
        <v>1</v>
      </c>
      <c r="B6" s="95">
        <v>350000</v>
      </c>
      <c r="C6" s="101">
        <v>4000</v>
      </c>
      <c r="D6">
        <v>8</v>
      </c>
      <c r="E6">
        <v>1</v>
      </c>
      <c r="F6" s="103">
        <v>100000</v>
      </c>
      <c r="G6" s="104"/>
      <c r="I6" s="115">
        <v>3</v>
      </c>
      <c r="J6" s="102">
        <v>400000</v>
      </c>
      <c r="K6" s="101"/>
    </row>
    <row r="7" spans="1:12" x14ac:dyDescent="0.25">
      <c r="C7" s="101"/>
      <c r="F7" s="105">
        <f>SUM(F5:F6)</f>
        <v>150000</v>
      </c>
      <c r="G7" s="104"/>
      <c r="J7" s="103"/>
      <c r="K7" s="104"/>
    </row>
    <row r="8" spans="1:12" x14ac:dyDescent="0.25">
      <c r="C8" s="101"/>
      <c r="F8" s="95">
        <f>SUM(F7)</f>
        <v>150000</v>
      </c>
      <c r="G8" s="101"/>
      <c r="J8" s="106">
        <f>SUM(J5:J7)</f>
        <v>700000</v>
      </c>
      <c r="K8" s="107">
        <f>SUM(K5:K7)</f>
        <v>300000</v>
      </c>
    </row>
    <row r="9" spans="1:12" x14ac:dyDescent="0.25">
      <c r="B9" s="102"/>
      <c r="C9" s="101"/>
      <c r="F9" s="102"/>
      <c r="G9" s="101"/>
      <c r="J9" s="102">
        <f>J8-K8</f>
        <v>400000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384000</v>
      </c>
      <c r="C13" s="107">
        <f>SUM(C5:C12)</f>
        <v>360000</v>
      </c>
      <c r="F13" s="102"/>
      <c r="G13" s="101"/>
      <c r="J13" s="102"/>
      <c r="K13" s="101"/>
    </row>
    <row r="14" spans="1:12" x14ac:dyDescent="0.25">
      <c r="B14" s="102">
        <f>B13-C13</f>
        <v>24000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5">
        <v>540000</v>
      </c>
      <c r="G18" s="104"/>
      <c r="K18" s="100">
        <v>30000</v>
      </c>
      <c r="L18" s="114" t="s">
        <v>132</v>
      </c>
    </row>
    <row r="19" spans="1:12" x14ac:dyDescent="0.25">
      <c r="B19" s="102"/>
      <c r="C19" s="101"/>
      <c r="F19" s="102"/>
      <c r="G19" s="101"/>
      <c r="J19" s="103"/>
      <c r="K19" s="104">
        <v>9000</v>
      </c>
      <c r="L19" s="114">
        <v>4</v>
      </c>
    </row>
    <row r="20" spans="1:12" x14ac:dyDescent="0.25">
      <c r="B20" s="102"/>
      <c r="C20" s="101"/>
      <c r="F20" s="102"/>
      <c r="G20" s="101"/>
      <c r="J20" s="102"/>
      <c r="K20" s="101">
        <f>SUM(K18:K19)</f>
        <v>39000</v>
      </c>
    </row>
    <row r="21" spans="1:12" x14ac:dyDescent="0.25">
      <c r="B21" s="102"/>
      <c r="C21" s="101"/>
      <c r="F21" s="102"/>
      <c r="G21" s="101"/>
      <c r="K21" s="101"/>
    </row>
    <row r="22" spans="1:12" x14ac:dyDescent="0.25">
      <c r="B22" s="102"/>
      <c r="C22" s="101"/>
      <c r="F22" s="102"/>
      <c r="G22" s="101"/>
      <c r="J22" s="102"/>
      <c r="K22" s="101"/>
    </row>
    <row r="23" spans="1:12" x14ac:dyDescent="0.25">
      <c r="B23" s="102"/>
      <c r="C23" s="101"/>
      <c r="F23" s="102"/>
      <c r="G23" s="101"/>
      <c r="J23" s="102"/>
      <c r="K23" s="101"/>
    </row>
    <row r="24" spans="1:12" x14ac:dyDescent="0.25">
      <c r="B24" s="102"/>
      <c r="C24" s="101"/>
      <c r="F24" s="102"/>
      <c r="G24" s="101"/>
      <c r="J24" s="102"/>
      <c r="K24" s="101"/>
    </row>
    <row r="25" spans="1:12" x14ac:dyDescent="0.25">
      <c r="B25" s="102"/>
      <c r="C25" s="101"/>
      <c r="F25" s="102"/>
      <c r="G25" s="101"/>
      <c r="J25" s="102"/>
      <c r="K25" s="101"/>
    </row>
    <row r="26" spans="1:12" x14ac:dyDescent="0.25">
      <c r="B26" s="102"/>
      <c r="C26" s="102"/>
      <c r="F26" s="102"/>
      <c r="G26" s="102"/>
      <c r="J26" s="102"/>
      <c r="K26" s="102"/>
    </row>
    <row r="27" spans="1:12" x14ac:dyDescent="0.25">
      <c r="B27" s="99" t="s">
        <v>14</v>
      </c>
      <c r="C27" s="99"/>
      <c r="F27" s="99"/>
      <c r="G27" s="99"/>
      <c r="J27" s="99"/>
      <c r="K27" s="99"/>
    </row>
    <row r="28" spans="1:12" x14ac:dyDescent="0.25">
      <c r="A28" t="s">
        <v>132</v>
      </c>
      <c r="B28" s="106">
        <v>11000</v>
      </c>
      <c r="C28" s="107">
        <v>1000</v>
      </c>
      <c r="F28" s="102"/>
      <c r="G28" s="101"/>
      <c r="K28" s="101"/>
    </row>
    <row r="29" spans="1:12" x14ac:dyDescent="0.25">
      <c r="B29" s="102">
        <f>B28-C28</f>
        <v>10000</v>
      </c>
      <c r="C29" s="101"/>
      <c r="F29" s="103"/>
      <c r="G29" s="104"/>
      <c r="J29" s="102"/>
      <c r="K29" s="101"/>
    </row>
    <row r="30" spans="1:12" x14ac:dyDescent="0.25">
      <c r="B30" s="102"/>
      <c r="C30" s="101"/>
      <c r="F30" s="102"/>
      <c r="G30" s="101"/>
      <c r="K30" s="101"/>
    </row>
    <row r="31" spans="1:12" x14ac:dyDescent="0.25">
      <c r="B31" s="102"/>
      <c r="C31" s="101"/>
      <c r="F31" s="102"/>
      <c r="G31" s="101"/>
      <c r="J31" s="102"/>
      <c r="K31" s="101"/>
    </row>
    <row r="32" spans="1:12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F38" s="102"/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5"/>
    </row>
    <row r="47" spans="2:11" x14ac:dyDescent="0.25">
      <c r="B47" s="96" t="s">
        <v>2</v>
      </c>
      <c r="F47" s="97">
        <f>C54+G53+K54+G60+K63+G72+K73+C74+C63</f>
        <v>1105000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2</v>
      </c>
      <c r="B50" s="95">
        <v>300000</v>
      </c>
      <c r="C50" s="100">
        <v>300000</v>
      </c>
      <c r="D50" t="s">
        <v>132</v>
      </c>
      <c r="G50" s="100">
        <v>360000</v>
      </c>
      <c r="H50" s="114" t="s">
        <v>132</v>
      </c>
      <c r="I50" s="114">
        <v>2</v>
      </c>
      <c r="J50" s="95">
        <v>41000</v>
      </c>
      <c r="K50" s="100">
        <v>41000</v>
      </c>
      <c r="L50" s="114" t="s">
        <v>132</v>
      </c>
    </row>
    <row r="51" spans="1:19" x14ac:dyDescent="0.25">
      <c r="B51" s="102"/>
      <c r="C51" s="101">
        <v>400000</v>
      </c>
      <c r="D51">
        <v>3</v>
      </c>
      <c r="F51" s="103"/>
      <c r="G51" s="104"/>
      <c r="H51" s="115"/>
      <c r="J51" s="102"/>
      <c r="K51" s="101">
        <v>86000</v>
      </c>
      <c r="L51" s="114">
        <v>5</v>
      </c>
    </row>
    <row r="52" spans="1:19" x14ac:dyDescent="0.25">
      <c r="B52" s="103"/>
      <c r="C52" s="104"/>
      <c r="F52" s="106"/>
      <c r="G52" s="107"/>
      <c r="J52" s="103"/>
      <c r="K52" s="104">
        <v>25000</v>
      </c>
      <c r="L52" s="114">
        <v>6</v>
      </c>
    </row>
    <row r="53" spans="1:19" x14ac:dyDescent="0.25">
      <c r="B53" s="106">
        <f>SUM(B50:B52)</f>
        <v>300000</v>
      </c>
      <c r="C53" s="107">
        <f>SUM(C50:C52)</f>
        <v>700000</v>
      </c>
      <c r="F53" s="102"/>
      <c r="G53" s="101">
        <f>G50</f>
        <v>360000</v>
      </c>
      <c r="J53" s="106">
        <f>SUM(J50:J52)</f>
        <v>41000</v>
      </c>
      <c r="K53" s="107">
        <f>SUM(K50:K52)</f>
        <v>152000</v>
      </c>
    </row>
    <row r="54" spans="1:19" x14ac:dyDescent="0.25">
      <c r="B54" s="102"/>
      <c r="C54" s="101">
        <f>C53-B53</f>
        <v>400000</v>
      </c>
      <c r="F54" s="102"/>
      <c r="G54" s="101"/>
      <c r="K54" s="101">
        <f>K53-J53</f>
        <v>111000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A60">
        <v>2</v>
      </c>
      <c r="B60" s="102">
        <v>15000</v>
      </c>
      <c r="C60" s="101">
        <v>15000</v>
      </c>
      <c r="D60" t="s">
        <v>132</v>
      </c>
      <c r="F60" s="103"/>
      <c r="G60" s="104">
        <v>100000</v>
      </c>
      <c r="H60" s="114" t="s">
        <v>132</v>
      </c>
      <c r="I60" s="114">
        <v>9</v>
      </c>
      <c r="J60" s="95">
        <v>50000</v>
      </c>
      <c r="K60" s="100">
        <v>109000</v>
      </c>
      <c r="L60" s="114" t="s">
        <v>132</v>
      </c>
      <c r="N60" s="3"/>
      <c r="O60" s="3"/>
      <c r="S60" s="3"/>
    </row>
    <row r="61" spans="1:19" x14ac:dyDescent="0.25">
      <c r="B61" s="103"/>
      <c r="C61" s="104">
        <v>50000</v>
      </c>
      <c r="D61">
        <v>9</v>
      </c>
      <c r="F61" s="102"/>
      <c r="G61" s="101"/>
      <c r="J61" s="103"/>
      <c r="K61" s="104">
        <v>25000</v>
      </c>
      <c r="L61" s="114" t="s">
        <v>12</v>
      </c>
      <c r="N61" s="3"/>
      <c r="O61" s="3"/>
      <c r="S61" s="3"/>
    </row>
    <row r="62" spans="1:19" x14ac:dyDescent="0.25">
      <c r="B62" s="106">
        <f>SUM(B60:B61)</f>
        <v>15000</v>
      </c>
      <c r="C62" s="107">
        <f>SUM(C60:C61)</f>
        <v>65000</v>
      </c>
      <c r="F62" s="102"/>
      <c r="G62" s="101"/>
      <c r="J62" s="106">
        <f>SUM(J60:J61)</f>
        <v>50000</v>
      </c>
      <c r="K62" s="107">
        <f>SUM(K60:K61)</f>
        <v>134000</v>
      </c>
      <c r="N62" s="3"/>
      <c r="O62" s="3"/>
      <c r="S62" s="3"/>
    </row>
    <row r="63" spans="1:19" x14ac:dyDescent="0.25">
      <c r="C63" s="101">
        <f>C62-B62</f>
        <v>50000</v>
      </c>
      <c r="F63" s="102"/>
      <c r="G63" s="101"/>
      <c r="K63" s="101">
        <f>K62-J62</f>
        <v>84000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/>
      <c r="J70" s="110"/>
      <c r="K70" s="100"/>
      <c r="N70" s="3"/>
      <c r="O70" s="3"/>
      <c r="S70" s="3"/>
    </row>
    <row r="71" spans="2:19" x14ac:dyDescent="0.25">
      <c r="B71" s="99" t="s">
        <v>218</v>
      </c>
      <c r="C71" s="99"/>
      <c r="F71" s="103"/>
      <c r="G71" s="104"/>
      <c r="J71" s="103"/>
      <c r="K71" s="104"/>
      <c r="N71" s="3"/>
      <c r="O71" s="3"/>
      <c r="S71" s="3"/>
    </row>
    <row r="72" spans="2:19" x14ac:dyDescent="0.25">
      <c r="C72" s="101"/>
      <c r="F72" s="102"/>
      <c r="G72" s="101"/>
      <c r="J72" s="106"/>
      <c r="K72" s="107"/>
      <c r="N72" s="3"/>
      <c r="O72" s="3"/>
      <c r="S72" s="3"/>
    </row>
    <row r="73" spans="2:19" x14ac:dyDescent="0.25">
      <c r="B73" s="103"/>
      <c r="C73" s="104"/>
      <c r="G73" s="101"/>
      <c r="K73" s="101"/>
      <c r="N73" s="3"/>
      <c r="O73" s="3"/>
      <c r="S73" s="3"/>
    </row>
    <row r="74" spans="2:19" x14ac:dyDescent="0.25">
      <c r="B74" s="102"/>
      <c r="C74" s="101"/>
      <c r="F74" s="102"/>
      <c r="G74" s="101"/>
      <c r="J74" s="102"/>
      <c r="K74" s="101"/>
      <c r="N74" s="3"/>
      <c r="O74" s="3"/>
      <c r="S74" s="3"/>
    </row>
    <row r="75" spans="2:19" x14ac:dyDescent="0.25">
      <c r="B75" s="102"/>
      <c r="C75" s="101"/>
      <c r="F75" s="102"/>
      <c r="G75" s="101"/>
      <c r="J75" s="102"/>
      <c r="K75" s="101"/>
      <c r="N75" s="3"/>
      <c r="O75" s="3"/>
      <c r="S75" s="3"/>
    </row>
    <row r="76" spans="2:19" x14ac:dyDescent="0.25">
      <c r="B76" s="102"/>
      <c r="C76" s="101"/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C77" s="101"/>
      <c r="F77" s="102"/>
      <c r="G77" s="101"/>
      <c r="J77" s="102"/>
      <c r="K77" s="101"/>
      <c r="N77" s="3"/>
      <c r="O77" s="3"/>
      <c r="S77" s="3"/>
    </row>
    <row r="78" spans="2:19" x14ac:dyDescent="0.25">
      <c r="B78" s="102"/>
      <c r="C78" s="101"/>
      <c r="F78" s="102"/>
      <c r="G78" s="101"/>
      <c r="J78" s="102"/>
      <c r="K78" s="102"/>
      <c r="N78" s="3"/>
      <c r="O78" s="3"/>
      <c r="S78" s="3"/>
    </row>
    <row r="79" spans="2:19" x14ac:dyDescent="0.25">
      <c r="B79" s="102"/>
      <c r="C79" s="101"/>
    </row>
    <row r="81" spans="1:4" x14ac:dyDescent="0.25">
      <c r="B81" s="131" t="s">
        <v>3</v>
      </c>
      <c r="C81" s="131"/>
    </row>
    <row r="82" spans="1:4" x14ac:dyDescent="0.25">
      <c r="A82">
        <v>4</v>
      </c>
      <c r="B82" s="111">
        <v>9000</v>
      </c>
      <c r="C82" s="100">
        <v>150000</v>
      </c>
      <c r="D82">
        <v>1</v>
      </c>
    </row>
    <row r="83" spans="1:4" x14ac:dyDescent="0.25">
      <c r="A83">
        <v>5</v>
      </c>
      <c r="B83" s="102">
        <v>86000</v>
      </c>
      <c r="C83" s="101"/>
    </row>
    <row r="84" spans="1:4" x14ac:dyDescent="0.25">
      <c r="A84">
        <v>6</v>
      </c>
      <c r="B84" s="102">
        <v>25000</v>
      </c>
      <c r="C84" s="101"/>
    </row>
    <row r="85" spans="1:4" x14ac:dyDescent="0.25">
      <c r="A85">
        <v>7</v>
      </c>
      <c r="B85" s="102">
        <v>1000</v>
      </c>
      <c r="C85" s="101"/>
    </row>
    <row r="86" spans="1:4" x14ac:dyDescent="0.25">
      <c r="A86">
        <v>8</v>
      </c>
      <c r="B86" s="95">
        <v>4000</v>
      </c>
      <c r="C86" s="101"/>
    </row>
    <row r="87" spans="1:4" x14ac:dyDescent="0.25">
      <c r="B87" s="102"/>
      <c r="C87" s="101"/>
    </row>
    <row r="88" spans="1:4" x14ac:dyDescent="0.25">
      <c r="B88" s="103"/>
      <c r="C88" s="104"/>
    </row>
    <row r="89" spans="1:4" x14ac:dyDescent="0.25">
      <c r="B89" s="106">
        <f>SUM(B82:B88)</f>
        <v>125000</v>
      </c>
      <c r="C89" s="107">
        <f>SUM(C82:C88)</f>
        <v>150000</v>
      </c>
    </row>
    <row r="90" spans="1:4" x14ac:dyDescent="0.25">
      <c r="A90" t="s">
        <v>12</v>
      </c>
      <c r="B90" s="106">
        <f>C90</f>
        <v>25000</v>
      </c>
      <c r="C90" s="107">
        <f>C89-B89</f>
        <v>25000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zoomScale="98" zoomScaleNormal="98" workbookViewId="0">
      <selection activeCell="B88" sqref="B88"/>
    </sheetView>
  </sheetViews>
  <sheetFormatPr defaultRowHeight="15" x14ac:dyDescent="0.25"/>
  <cols>
    <col min="1" max="1" width="3.140625" bestFit="1" customWidth="1"/>
    <col min="2" max="2" width="13.28515625" style="95" bestFit="1" customWidth="1"/>
    <col min="3" max="3" width="13.5703125" style="95" customWidth="1"/>
    <col min="4" max="5" width="4.140625" bestFit="1" customWidth="1"/>
    <col min="6" max="6" width="13.5703125" style="95" customWidth="1"/>
    <col min="7" max="7" width="13.42578125" style="95" customWidth="1"/>
    <col min="8" max="8" width="3" style="114" bestFit="1" customWidth="1"/>
    <col min="9" max="9" width="3.140625" style="114" bestFit="1" customWidth="1"/>
    <col min="10" max="11" width="11.5703125" style="95" bestFit="1" customWidth="1"/>
    <col min="12" max="12" width="6" style="114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B14+F8+J9+B18+F18-K20+B29+F41-C39</f>
        <v>1716000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24000</v>
      </c>
      <c r="C5" s="100">
        <v>561000</v>
      </c>
      <c r="D5">
        <v>3</v>
      </c>
      <c r="E5" t="s">
        <v>132</v>
      </c>
      <c r="F5" s="95">
        <v>150000</v>
      </c>
      <c r="G5" s="101">
        <v>150000</v>
      </c>
      <c r="H5" s="113">
        <v>2</v>
      </c>
      <c r="I5" s="114" t="s">
        <v>132</v>
      </c>
      <c r="J5" s="102">
        <v>400000</v>
      </c>
      <c r="K5" s="100">
        <v>400000</v>
      </c>
      <c r="L5" s="109">
        <v>1</v>
      </c>
    </row>
    <row r="6" spans="1:12" x14ac:dyDescent="0.25">
      <c r="A6">
        <v>1</v>
      </c>
      <c r="B6" s="95">
        <v>450000</v>
      </c>
      <c r="C6" s="101">
        <v>8000</v>
      </c>
      <c r="D6">
        <v>9</v>
      </c>
      <c r="E6">
        <v>1</v>
      </c>
      <c r="F6" s="103">
        <v>200000</v>
      </c>
      <c r="G6" s="104"/>
      <c r="I6" s="115">
        <v>4</v>
      </c>
      <c r="J6" s="102">
        <v>450000</v>
      </c>
      <c r="K6" s="101"/>
    </row>
    <row r="7" spans="1:12" x14ac:dyDescent="0.25">
      <c r="A7">
        <v>2</v>
      </c>
      <c r="B7" s="95">
        <v>150000</v>
      </c>
      <c r="C7" s="101">
        <v>360000</v>
      </c>
      <c r="D7">
        <v>11</v>
      </c>
      <c r="F7" s="105">
        <f>SUM(F5:F6)</f>
        <v>350000</v>
      </c>
      <c r="G7" s="104">
        <f>SUM(G5:G6)</f>
        <v>150000</v>
      </c>
      <c r="J7" s="103"/>
      <c r="K7" s="104"/>
    </row>
    <row r="8" spans="1:12" x14ac:dyDescent="0.25">
      <c r="A8">
        <v>10</v>
      </c>
      <c r="B8" s="95">
        <v>800000</v>
      </c>
      <c r="C8" s="101"/>
      <c r="F8" s="95">
        <f>F7-G7</f>
        <v>200000</v>
      </c>
      <c r="G8" s="101"/>
      <c r="J8" s="106">
        <f>SUM(J5:J7)</f>
        <v>850000</v>
      </c>
      <c r="K8" s="107">
        <f>SUM(K5:K7)</f>
        <v>400000</v>
      </c>
    </row>
    <row r="9" spans="1:12" x14ac:dyDescent="0.25">
      <c r="B9" s="102"/>
      <c r="C9" s="101"/>
      <c r="F9" s="102"/>
      <c r="G9" s="101"/>
      <c r="J9" s="102">
        <f>J8-K8</f>
        <v>450000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1424000</v>
      </c>
      <c r="C13" s="107">
        <f>SUM(C5:C12)</f>
        <v>929000</v>
      </c>
      <c r="F13" s="102"/>
      <c r="G13" s="101"/>
      <c r="J13" s="102"/>
      <c r="K13" s="101"/>
    </row>
    <row r="14" spans="1:12" x14ac:dyDescent="0.25">
      <c r="B14" s="102">
        <f>B13-C13</f>
        <v>495000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5">
        <v>540000</v>
      </c>
      <c r="G18" s="104"/>
      <c r="K18" s="100">
        <v>39000</v>
      </c>
      <c r="L18" s="114" t="s">
        <v>132</v>
      </c>
    </row>
    <row r="19" spans="1:12" x14ac:dyDescent="0.25">
      <c r="B19" s="102"/>
      <c r="C19" s="101"/>
      <c r="F19" s="102"/>
      <c r="G19" s="101"/>
      <c r="J19" s="103"/>
      <c r="K19" s="104">
        <v>9000</v>
      </c>
      <c r="L19" s="114">
        <v>5</v>
      </c>
    </row>
    <row r="20" spans="1:12" x14ac:dyDescent="0.25">
      <c r="B20" s="102"/>
      <c r="C20" s="101"/>
      <c r="F20" s="102"/>
      <c r="G20" s="101"/>
      <c r="J20" s="102"/>
      <c r="K20" s="101">
        <f>SUM(K18:K19)</f>
        <v>48000</v>
      </c>
    </row>
    <row r="21" spans="1:12" x14ac:dyDescent="0.25">
      <c r="B21" s="102"/>
      <c r="C21" s="101"/>
      <c r="F21" s="102"/>
      <c r="G21" s="101"/>
      <c r="K21" s="101"/>
    </row>
    <row r="22" spans="1:12" x14ac:dyDescent="0.25">
      <c r="B22" s="102"/>
      <c r="C22" s="101"/>
      <c r="F22" s="102"/>
      <c r="G22" s="101"/>
      <c r="J22" s="102"/>
      <c r="K22" s="101"/>
    </row>
    <row r="23" spans="1:12" x14ac:dyDescent="0.25">
      <c r="B23" s="102"/>
      <c r="C23" s="101"/>
      <c r="F23" s="102"/>
      <c r="G23" s="101"/>
      <c r="J23" s="102"/>
      <c r="K23" s="101"/>
    </row>
    <row r="24" spans="1:12" x14ac:dyDescent="0.25">
      <c r="B24" s="102"/>
      <c r="C24" s="101"/>
      <c r="F24" s="102"/>
      <c r="G24" s="101"/>
      <c r="J24" s="102"/>
      <c r="K24" s="101"/>
    </row>
    <row r="25" spans="1:12" x14ac:dyDescent="0.25">
      <c r="B25" s="102"/>
      <c r="C25" s="101"/>
      <c r="F25" s="102"/>
      <c r="G25" s="101"/>
      <c r="J25" s="102"/>
      <c r="K25" s="101"/>
    </row>
    <row r="26" spans="1:12" x14ac:dyDescent="0.25">
      <c r="B26" s="102"/>
      <c r="C26" s="102"/>
      <c r="F26" s="102"/>
      <c r="G26" s="102"/>
      <c r="J26" s="102"/>
      <c r="K26" s="102"/>
    </row>
    <row r="27" spans="1:12" x14ac:dyDescent="0.25">
      <c r="B27" s="99" t="s">
        <v>14</v>
      </c>
      <c r="C27" s="99"/>
      <c r="F27" s="99"/>
      <c r="G27" s="99"/>
      <c r="J27" s="99"/>
      <c r="K27" s="99"/>
    </row>
    <row r="28" spans="1:12" x14ac:dyDescent="0.25">
      <c r="A28" t="s">
        <v>132</v>
      </c>
      <c r="B28" s="106">
        <v>10000</v>
      </c>
      <c r="C28" s="107">
        <v>1000</v>
      </c>
      <c r="D28">
        <v>8</v>
      </c>
      <c r="F28" s="102"/>
      <c r="G28" s="101"/>
      <c r="K28" s="101"/>
    </row>
    <row r="29" spans="1:12" x14ac:dyDescent="0.25">
      <c r="B29" s="102">
        <f>B28-C28</f>
        <v>9000</v>
      </c>
      <c r="C29" s="101"/>
      <c r="F29" s="103"/>
      <c r="G29" s="104"/>
      <c r="J29" s="102"/>
      <c r="K29" s="101"/>
    </row>
    <row r="30" spans="1:12" x14ac:dyDescent="0.25">
      <c r="B30" s="102"/>
      <c r="C30" s="101"/>
      <c r="F30" s="102"/>
      <c r="G30" s="101"/>
      <c r="K30" s="101"/>
    </row>
    <row r="31" spans="1:12" x14ac:dyDescent="0.25">
      <c r="B31" s="102"/>
      <c r="C31" s="101"/>
      <c r="F31" s="102"/>
      <c r="G31" s="101"/>
      <c r="J31" s="102"/>
      <c r="K31" s="101"/>
    </row>
    <row r="32" spans="1:12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E38">
        <v>4</v>
      </c>
      <c r="F38" s="102">
        <v>50000</v>
      </c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>
        <f>SUM(F38:F40)</f>
        <v>50000</v>
      </c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5"/>
    </row>
    <row r="47" spans="2:11" x14ac:dyDescent="0.25">
      <c r="B47" s="96" t="s">
        <v>2</v>
      </c>
      <c r="F47" s="97">
        <f>C54+G53+K54+G62+K63+G72+K73+C74+C61</f>
        <v>1716000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3</v>
      </c>
      <c r="B50" s="95">
        <v>400000</v>
      </c>
      <c r="C50" s="100">
        <v>400000</v>
      </c>
      <c r="D50" t="s">
        <v>132</v>
      </c>
      <c r="E50">
        <v>11</v>
      </c>
      <c r="F50" s="95">
        <v>360000</v>
      </c>
      <c r="G50" s="100">
        <v>360000</v>
      </c>
      <c r="H50" s="114" t="s">
        <v>132</v>
      </c>
      <c r="I50" s="115">
        <v>3</v>
      </c>
      <c r="J50" s="95">
        <v>111000</v>
      </c>
      <c r="K50" s="100">
        <v>111000</v>
      </c>
      <c r="L50" s="114" t="s">
        <v>132</v>
      </c>
    </row>
    <row r="51" spans="1:19" x14ac:dyDescent="0.25">
      <c r="B51" s="102"/>
      <c r="C51" s="101">
        <v>500000</v>
      </c>
      <c r="D51">
        <v>4</v>
      </c>
      <c r="F51" s="103"/>
      <c r="G51" s="104"/>
      <c r="H51" s="115"/>
      <c r="J51" s="102"/>
      <c r="K51" s="101">
        <v>164500</v>
      </c>
      <c r="L51" s="114">
        <v>6</v>
      </c>
    </row>
    <row r="52" spans="1:19" x14ac:dyDescent="0.25">
      <c r="B52" s="103"/>
      <c r="C52" s="104"/>
      <c r="F52" s="106"/>
      <c r="G52" s="107"/>
      <c r="J52" s="103"/>
      <c r="K52" s="104">
        <v>30000</v>
      </c>
      <c r="L52" s="114">
        <v>7</v>
      </c>
    </row>
    <row r="53" spans="1:19" x14ac:dyDescent="0.25">
      <c r="B53" s="106">
        <f>SUM(B50:B52)</f>
        <v>400000</v>
      </c>
      <c r="C53" s="107">
        <f>SUM(C50:C52)</f>
        <v>900000</v>
      </c>
      <c r="F53" s="102"/>
      <c r="G53" s="101">
        <f>0</f>
        <v>0</v>
      </c>
      <c r="J53" s="106">
        <f>SUM(J50:J52)</f>
        <v>111000</v>
      </c>
      <c r="K53" s="107">
        <f>SUM(K50:K52)</f>
        <v>305500</v>
      </c>
    </row>
    <row r="54" spans="1:19" x14ac:dyDescent="0.25">
      <c r="B54" s="102"/>
      <c r="C54" s="101">
        <f>C53-B53</f>
        <v>500000</v>
      </c>
      <c r="F54" s="102"/>
      <c r="G54" s="101"/>
      <c r="K54" s="101">
        <f>K53-J53</f>
        <v>194500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A60">
        <v>3</v>
      </c>
      <c r="B60" s="106">
        <v>50000</v>
      </c>
      <c r="C60" s="107">
        <v>50000</v>
      </c>
      <c r="D60" t="s">
        <v>132</v>
      </c>
      <c r="F60" s="102"/>
      <c r="G60" s="101">
        <v>100000</v>
      </c>
      <c r="H60" s="114" t="s">
        <v>132</v>
      </c>
      <c r="K60" s="100">
        <v>84000</v>
      </c>
      <c r="L60" s="114" t="s">
        <v>132</v>
      </c>
      <c r="N60" s="3"/>
      <c r="O60" s="3"/>
      <c r="S60" s="3"/>
    </row>
    <row r="61" spans="1:19" x14ac:dyDescent="0.25">
      <c r="B61" s="102"/>
      <c r="C61" s="100">
        <f>C60-B60</f>
        <v>0</v>
      </c>
      <c r="F61" s="103"/>
      <c r="G61" s="104">
        <v>800000</v>
      </c>
      <c r="H61" s="114">
        <v>10</v>
      </c>
      <c r="J61" s="103"/>
      <c r="K61" s="104">
        <v>30000</v>
      </c>
      <c r="L61" s="114" t="s">
        <v>12</v>
      </c>
      <c r="N61" s="3"/>
      <c r="O61" s="3"/>
      <c r="S61" s="3"/>
    </row>
    <row r="62" spans="1:19" x14ac:dyDescent="0.25">
      <c r="B62" s="102"/>
      <c r="C62" s="101"/>
      <c r="F62" s="102"/>
      <c r="G62" s="101">
        <f>SUM(G60:G61)</f>
        <v>900000</v>
      </c>
      <c r="J62" s="106"/>
      <c r="K62" s="107">
        <f>SUM(K60:K61)</f>
        <v>114000</v>
      </c>
      <c r="N62" s="3"/>
      <c r="O62" s="3"/>
      <c r="S62" s="3"/>
    </row>
    <row r="63" spans="1:19" x14ac:dyDescent="0.25">
      <c r="C63" s="101"/>
      <c r="F63" s="102"/>
      <c r="G63" s="101"/>
      <c r="K63" s="101">
        <f>SUM(K62)</f>
        <v>114000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/>
      <c r="J70" s="110"/>
      <c r="K70" s="100"/>
      <c r="N70" s="3"/>
      <c r="O70" s="3"/>
      <c r="S70" s="3"/>
    </row>
    <row r="71" spans="2:19" x14ac:dyDescent="0.25">
      <c r="B71" s="99" t="s">
        <v>218</v>
      </c>
      <c r="C71" s="99"/>
      <c r="F71" s="103"/>
      <c r="G71" s="104"/>
      <c r="J71" s="103"/>
      <c r="K71" s="104"/>
      <c r="N71" s="3"/>
      <c r="O71" s="3"/>
      <c r="S71" s="3"/>
    </row>
    <row r="72" spans="2:19" x14ac:dyDescent="0.25">
      <c r="C72" s="101"/>
      <c r="F72" s="102"/>
      <c r="G72" s="101">
        <v>7500</v>
      </c>
      <c r="J72" s="106"/>
      <c r="K72" s="107"/>
      <c r="N72" s="3"/>
      <c r="O72" s="3"/>
      <c r="S72" s="3"/>
    </row>
    <row r="73" spans="2:19" x14ac:dyDescent="0.25">
      <c r="B73" s="103"/>
      <c r="C73" s="104"/>
      <c r="G73" s="101"/>
      <c r="K73" s="101"/>
      <c r="N73" s="3"/>
      <c r="O73" s="3"/>
      <c r="S73" s="3"/>
    </row>
    <row r="74" spans="2:19" x14ac:dyDescent="0.25">
      <c r="B74" s="102"/>
      <c r="C74" s="101"/>
      <c r="F74" s="102"/>
      <c r="G74" s="101"/>
      <c r="J74" s="102"/>
      <c r="K74" s="101"/>
      <c r="N74" s="3"/>
      <c r="O74" s="3"/>
      <c r="S74" s="3"/>
    </row>
    <row r="75" spans="2:19" x14ac:dyDescent="0.25">
      <c r="B75" s="102"/>
      <c r="C75" s="101"/>
      <c r="F75" s="102"/>
      <c r="G75" s="101"/>
      <c r="J75" s="102"/>
      <c r="K75" s="101"/>
      <c r="N75" s="3"/>
      <c r="O75" s="3"/>
      <c r="S75" s="3"/>
    </row>
    <row r="76" spans="2:19" x14ac:dyDescent="0.25">
      <c r="B76" s="102"/>
      <c r="C76" s="101"/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C77" s="101"/>
      <c r="F77" s="102"/>
      <c r="G77" s="101"/>
      <c r="J77" s="102"/>
      <c r="K77" s="101"/>
      <c r="N77" s="3"/>
      <c r="O77" s="3"/>
      <c r="S77" s="3"/>
    </row>
    <row r="78" spans="2:19" x14ac:dyDescent="0.25">
      <c r="B78" s="102"/>
      <c r="C78" s="101"/>
      <c r="F78" s="102"/>
      <c r="G78" s="101"/>
      <c r="J78" s="102"/>
      <c r="K78" s="102"/>
      <c r="N78" s="3"/>
      <c r="O78" s="3"/>
      <c r="S78" s="3"/>
    </row>
    <row r="79" spans="2:19" x14ac:dyDescent="0.25">
      <c r="B79" s="102"/>
      <c r="C79" s="101"/>
    </row>
    <row r="81" spans="1:4" x14ac:dyDescent="0.25">
      <c r="B81" s="131" t="s">
        <v>3</v>
      </c>
      <c r="C81" s="131"/>
    </row>
    <row r="82" spans="1:4" x14ac:dyDescent="0.25">
      <c r="A82">
        <v>5</v>
      </c>
      <c r="B82" s="111">
        <v>9000</v>
      </c>
      <c r="C82" s="100">
        <v>250000</v>
      </c>
      <c r="D82">
        <v>1</v>
      </c>
    </row>
    <row r="83" spans="1:4" x14ac:dyDescent="0.25">
      <c r="A83">
        <v>6</v>
      </c>
      <c r="B83" s="102">
        <v>164500</v>
      </c>
      <c r="C83" s="101"/>
    </row>
    <row r="84" spans="1:4" x14ac:dyDescent="0.25">
      <c r="A84">
        <v>7</v>
      </c>
      <c r="B84" s="102">
        <v>30000</v>
      </c>
      <c r="C84" s="101"/>
    </row>
    <row r="85" spans="1:4" x14ac:dyDescent="0.25">
      <c r="A85">
        <v>8</v>
      </c>
      <c r="B85" s="102">
        <v>1000</v>
      </c>
      <c r="C85" s="101"/>
    </row>
    <row r="86" spans="1:4" x14ac:dyDescent="0.25">
      <c r="A86">
        <v>9</v>
      </c>
      <c r="B86" s="95">
        <v>8000</v>
      </c>
      <c r="C86" s="101"/>
    </row>
    <row r="87" spans="1:4" x14ac:dyDescent="0.25">
      <c r="A87">
        <v>12</v>
      </c>
      <c r="B87" s="102">
        <v>7500</v>
      </c>
      <c r="C87" s="101"/>
    </row>
    <row r="88" spans="1:4" x14ac:dyDescent="0.25">
      <c r="B88" s="103"/>
      <c r="C88" s="104"/>
    </row>
    <row r="89" spans="1:4" x14ac:dyDescent="0.25">
      <c r="B89" s="106">
        <f>SUM(B82:B88)</f>
        <v>220000</v>
      </c>
      <c r="C89" s="107">
        <f>SUM(C82:C88)</f>
        <v>250000</v>
      </c>
    </row>
    <row r="90" spans="1:4" x14ac:dyDescent="0.25">
      <c r="A90" t="s">
        <v>12</v>
      </c>
      <c r="B90" s="106">
        <f>C90</f>
        <v>30000</v>
      </c>
      <c r="C90" s="107">
        <f>C89-B89</f>
        <v>30000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76" zoomScale="98" zoomScaleNormal="98" workbookViewId="0">
      <selection activeCell="K62" sqref="K62"/>
    </sheetView>
  </sheetViews>
  <sheetFormatPr defaultRowHeight="15" x14ac:dyDescent="0.25"/>
  <cols>
    <col min="1" max="1" width="2.5703125" bestFit="1" customWidth="1"/>
    <col min="2" max="2" width="13.28515625" style="95" customWidth="1"/>
    <col min="3" max="3" width="12.85546875" style="95" customWidth="1"/>
    <col min="4" max="4" width="4.140625" bestFit="1" customWidth="1"/>
    <col min="5" max="5" width="2.5703125" bestFit="1" customWidth="1"/>
    <col min="6" max="6" width="13.5703125" style="95" customWidth="1"/>
    <col min="7" max="7" width="11.5703125" style="95" bestFit="1" customWidth="1"/>
    <col min="8" max="8" width="3.140625" style="114" customWidth="1"/>
    <col min="9" max="9" width="3.140625" style="114" bestFit="1" customWidth="1"/>
    <col min="10" max="11" width="11.7109375" style="95" customWidth="1"/>
    <col min="12" max="12" width="2.7109375" style="114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B14+F8+J9+B18+F18-K20+B29+F41-C39</f>
        <v>1704000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495000</v>
      </c>
      <c r="C5" s="100">
        <v>702000</v>
      </c>
      <c r="D5">
        <v>3</v>
      </c>
      <c r="E5" t="s">
        <v>132</v>
      </c>
      <c r="F5" s="95">
        <v>200000</v>
      </c>
      <c r="G5" s="101">
        <v>200000</v>
      </c>
      <c r="H5" s="113">
        <v>1</v>
      </c>
      <c r="I5" s="114" t="s">
        <v>132</v>
      </c>
      <c r="J5" s="102">
        <v>450000</v>
      </c>
      <c r="K5" s="100">
        <v>450000</v>
      </c>
      <c r="L5" s="113">
        <v>2</v>
      </c>
    </row>
    <row r="6" spans="1:12" x14ac:dyDescent="0.25">
      <c r="A6">
        <v>1</v>
      </c>
      <c r="B6" s="95">
        <v>200000</v>
      </c>
      <c r="C6" s="101"/>
      <c r="E6">
        <v>2</v>
      </c>
      <c r="F6" s="103">
        <v>300000</v>
      </c>
      <c r="G6" s="104"/>
      <c r="I6" s="114">
        <v>4</v>
      </c>
      <c r="J6" s="102">
        <v>400000</v>
      </c>
      <c r="K6" s="101"/>
    </row>
    <row r="7" spans="1:12" x14ac:dyDescent="0.25">
      <c r="A7">
        <v>2</v>
      </c>
      <c r="B7" s="95">
        <v>500000</v>
      </c>
      <c r="C7" s="101"/>
      <c r="F7" s="105">
        <f>SUM(F5:F6)</f>
        <v>500000</v>
      </c>
      <c r="G7" s="104">
        <f>SUM(G5)</f>
        <v>200000</v>
      </c>
      <c r="J7" s="103"/>
      <c r="K7" s="104"/>
    </row>
    <row r="8" spans="1:12" x14ac:dyDescent="0.25">
      <c r="C8" s="101"/>
      <c r="F8" s="95">
        <f>F7-G7</f>
        <v>300000</v>
      </c>
      <c r="G8" s="101"/>
      <c r="J8" s="106">
        <f>SUM(J5:J7)</f>
        <v>850000</v>
      </c>
      <c r="K8" s="107">
        <f>SUM(K5:K7)</f>
        <v>450000</v>
      </c>
    </row>
    <row r="9" spans="1:12" x14ac:dyDescent="0.25">
      <c r="B9" s="102"/>
      <c r="C9" s="101"/>
      <c r="F9" s="102"/>
      <c r="G9" s="101"/>
      <c r="J9" s="102">
        <f>J8-K8</f>
        <v>400000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1195000</v>
      </c>
      <c r="C13" s="107">
        <f>SUM(C5:C12)</f>
        <v>702000</v>
      </c>
      <c r="F13" s="102"/>
      <c r="G13" s="101"/>
      <c r="J13" s="102"/>
      <c r="K13" s="101"/>
    </row>
    <row r="14" spans="1:12" x14ac:dyDescent="0.25">
      <c r="B14" s="102">
        <f>B13-C13</f>
        <v>493000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5">
        <v>540000</v>
      </c>
      <c r="G18" s="104"/>
      <c r="K18" s="100">
        <v>48000</v>
      </c>
      <c r="L18" s="114" t="s">
        <v>132</v>
      </c>
    </row>
    <row r="19" spans="1:12" x14ac:dyDescent="0.25">
      <c r="B19" s="102"/>
      <c r="C19" s="101"/>
      <c r="F19" s="102"/>
      <c r="G19" s="101"/>
      <c r="J19" s="103"/>
      <c r="K19" s="104">
        <v>9000</v>
      </c>
      <c r="L19" s="114">
        <v>5</v>
      </c>
    </row>
    <row r="20" spans="1:12" x14ac:dyDescent="0.25">
      <c r="B20" s="102"/>
      <c r="C20" s="101"/>
      <c r="F20" s="102"/>
      <c r="G20" s="101"/>
      <c r="J20" s="102"/>
      <c r="K20" s="101">
        <f>SUM(K18:K19)</f>
        <v>57000</v>
      </c>
    </row>
    <row r="21" spans="1:12" x14ac:dyDescent="0.25">
      <c r="B21" s="102"/>
      <c r="C21" s="101"/>
      <c r="F21" s="102"/>
      <c r="G21" s="101"/>
      <c r="K21" s="101"/>
    </row>
    <row r="22" spans="1:12" x14ac:dyDescent="0.25">
      <c r="B22" s="102"/>
      <c r="C22" s="101"/>
      <c r="F22" s="102"/>
      <c r="G22" s="101"/>
      <c r="J22" s="102"/>
      <c r="K22" s="101"/>
    </row>
    <row r="23" spans="1:12" x14ac:dyDescent="0.25">
      <c r="B23" s="102"/>
      <c r="C23" s="101"/>
      <c r="F23" s="102"/>
      <c r="G23" s="101"/>
      <c r="J23" s="102"/>
      <c r="K23" s="101"/>
    </row>
    <row r="24" spans="1:12" x14ac:dyDescent="0.25">
      <c r="B24" s="102"/>
      <c r="C24" s="101"/>
      <c r="F24" s="102"/>
      <c r="G24" s="101"/>
      <c r="J24" s="102"/>
      <c r="K24" s="101"/>
    </row>
    <row r="25" spans="1:12" x14ac:dyDescent="0.25">
      <c r="B25" s="102"/>
      <c r="C25" s="101"/>
      <c r="F25" s="102"/>
      <c r="G25" s="101"/>
      <c r="J25" s="102"/>
      <c r="K25" s="101"/>
    </row>
    <row r="26" spans="1:12" x14ac:dyDescent="0.25">
      <c r="B26" s="102"/>
      <c r="C26" s="102"/>
      <c r="F26" s="102"/>
      <c r="G26" s="102"/>
      <c r="J26" s="102"/>
      <c r="K26" s="102"/>
    </row>
    <row r="27" spans="1:12" x14ac:dyDescent="0.25">
      <c r="B27" s="99" t="s">
        <v>14</v>
      </c>
      <c r="C27" s="99"/>
      <c r="F27" s="99"/>
      <c r="G27" s="99"/>
      <c r="J27" s="99"/>
      <c r="K27" s="99"/>
    </row>
    <row r="28" spans="1:12" x14ac:dyDescent="0.25">
      <c r="A28" t="s">
        <v>132</v>
      </c>
      <c r="B28" s="106">
        <v>9000</v>
      </c>
      <c r="C28" s="107">
        <v>1000</v>
      </c>
      <c r="D28">
        <v>8</v>
      </c>
      <c r="F28" s="102"/>
      <c r="G28" s="101"/>
      <c r="K28" s="101"/>
    </row>
    <row r="29" spans="1:12" x14ac:dyDescent="0.25">
      <c r="B29" s="102">
        <f>B28-C28</f>
        <v>8000</v>
      </c>
      <c r="C29" s="101"/>
      <c r="F29" s="103"/>
      <c r="G29" s="104"/>
      <c r="J29" s="102"/>
      <c r="K29" s="101"/>
    </row>
    <row r="30" spans="1:12" x14ac:dyDescent="0.25">
      <c r="B30" s="102"/>
      <c r="C30" s="101"/>
      <c r="F30" s="102"/>
      <c r="G30" s="101"/>
      <c r="K30" s="101"/>
    </row>
    <row r="31" spans="1:12" x14ac:dyDescent="0.25">
      <c r="B31" s="102"/>
      <c r="C31" s="101"/>
      <c r="F31" s="102"/>
      <c r="G31" s="101"/>
      <c r="J31" s="102"/>
      <c r="K31" s="101"/>
    </row>
    <row r="32" spans="1:12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E38" t="s">
        <v>132</v>
      </c>
      <c r="F38" s="102">
        <v>50000</v>
      </c>
      <c r="G38" s="100">
        <v>150000</v>
      </c>
      <c r="H38" s="114">
        <v>10</v>
      </c>
    </row>
    <row r="39" spans="2:11" x14ac:dyDescent="0.25">
      <c r="B39" s="106"/>
      <c r="C39" s="107"/>
      <c r="E39">
        <v>4</v>
      </c>
      <c r="F39" s="103">
        <v>100000</v>
      </c>
      <c r="G39" s="104"/>
    </row>
    <row r="40" spans="2:11" x14ac:dyDescent="0.25">
      <c r="B40" s="102"/>
      <c r="C40" s="101"/>
      <c r="F40" s="106">
        <f>SUM(F38:F39)</f>
        <v>150000</v>
      </c>
      <c r="G40" s="107">
        <f>SUM(G38:G39)</f>
        <v>150000</v>
      </c>
    </row>
    <row r="41" spans="2:11" x14ac:dyDescent="0.25">
      <c r="B41" s="102"/>
      <c r="C41" s="101"/>
      <c r="F41" s="102">
        <f>F40-G40</f>
        <v>0</v>
      </c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5"/>
    </row>
    <row r="47" spans="2:11" x14ac:dyDescent="0.25">
      <c r="B47" s="96" t="s">
        <v>2</v>
      </c>
      <c r="F47" s="97">
        <f>C54+G53+K54+G60+K63+G72+K73+C74+C60</f>
        <v>1704000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3</v>
      </c>
      <c r="B50" s="95">
        <v>500000</v>
      </c>
      <c r="C50" s="100">
        <v>500000</v>
      </c>
      <c r="D50" t="s">
        <v>132</v>
      </c>
      <c r="G50" s="100"/>
      <c r="I50" s="114">
        <v>3</v>
      </c>
      <c r="J50" s="95">
        <v>194500</v>
      </c>
      <c r="K50" s="100">
        <v>194500</v>
      </c>
      <c r="L50" s="114" t="s">
        <v>132</v>
      </c>
    </row>
    <row r="51" spans="1:19" x14ac:dyDescent="0.25">
      <c r="B51" s="102"/>
      <c r="C51" s="101">
        <v>500000</v>
      </c>
      <c r="D51">
        <v>4</v>
      </c>
      <c r="F51" s="103"/>
      <c r="G51" s="104"/>
      <c r="H51" s="115"/>
      <c r="J51" s="102"/>
      <c r="K51" s="101">
        <v>150000</v>
      </c>
      <c r="L51" s="114">
        <v>6</v>
      </c>
    </row>
    <row r="52" spans="1:19" x14ac:dyDescent="0.25">
      <c r="B52" s="103"/>
      <c r="C52" s="104"/>
      <c r="F52" s="106"/>
      <c r="G52" s="107"/>
      <c r="J52" s="103"/>
      <c r="K52" s="104">
        <v>30000</v>
      </c>
      <c r="L52" s="114">
        <v>7</v>
      </c>
    </row>
    <row r="53" spans="1:19" x14ac:dyDescent="0.25">
      <c r="B53" s="106">
        <f>SUM(B50:B52)</f>
        <v>500000</v>
      </c>
      <c r="C53" s="107">
        <f>SUM(C50:C52)</f>
        <v>1000000</v>
      </c>
      <c r="F53" s="102"/>
      <c r="G53" s="101"/>
      <c r="J53" s="106">
        <f>SUM(J50:J52)</f>
        <v>194500</v>
      </c>
      <c r="K53" s="107">
        <f>SUM(K50:K52)</f>
        <v>374500</v>
      </c>
    </row>
    <row r="54" spans="1:19" x14ac:dyDescent="0.25">
      <c r="B54" s="102"/>
      <c r="C54" s="101">
        <f>C53-B53</f>
        <v>500000</v>
      </c>
      <c r="F54" s="102"/>
      <c r="G54" s="101"/>
      <c r="K54" s="101">
        <f>K53-J53</f>
        <v>180000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B60" s="106"/>
      <c r="C60" s="107">
        <v>20000</v>
      </c>
      <c r="D60">
        <v>11</v>
      </c>
      <c r="F60" s="103"/>
      <c r="G60" s="104">
        <v>900000</v>
      </c>
      <c r="H60" s="114" t="s">
        <v>132</v>
      </c>
      <c r="I60" s="114">
        <v>11</v>
      </c>
      <c r="J60" s="95">
        <v>20000</v>
      </c>
      <c r="K60" s="100">
        <v>114000</v>
      </c>
      <c r="L60" s="114" t="s">
        <v>132</v>
      </c>
      <c r="N60" s="3"/>
      <c r="O60" s="3"/>
      <c r="S60" s="3"/>
    </row>
    <row r="61" spans="1:19" x14ac:dyDescent="0.25">
      <c r="B61" s="102"/>
      <c r="C61" s="100"/>
      <c r="F61" s="102"/>
      <c r="G61" s="101"/>
      <c r="J61" s="103"/>
      <c r="K61" s="104">
        <v>0</v>
      </c>
      <c r="L61" s="114" t="s">
        <v>12</v>
      </c>
      <c r="N61" s="3"/>
      <c r="O61" s="3"/>
      <c r="S61" s="3"/>
    </row>
    <row r="62" spans="1:19" x14ac:dyDescent="0.25">
      <c r="B62" s="102"/>
      <c r="C62" s="101"/>
      <c r="F62" s="102"/>
      <c r="G62" s="101"/>
      <c r="J62" s="106"/>
      <c r="K62" s="107"/>
      <c r="N62" s="3"/>
      <c r="O62" s="3"/>
      <c r="S62" s="3"/>
    </row>
    <row r="63" spans="1:19" x14ac:dyDescent="0.25">
      <c r="C63" s="101"/>
      <c r="F63" s="102"/>
      <c r="G63" s="101"/>
      <c r="K63" s="101">
        <f>K60-J60</f>
        <v>94000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/>
      <c r="I70" s="114">
        <v>10</v>
      </c>
      <c r="J70" s="110">
        <v>150000</v>
      </c>
      <c r="K70" s="100">
        <v>160000</v>
      </c>
      <c r="L70" s="114">
        <v>2</v>
      </c>
      <c r="N70" s="3"/>
      <c r="O70" s="3"/>
      <c r="S70" s="3"/>
    </row>
    <row r="71" spans="2:19" x14ac:dyDescent="0.25">
      <c r="B71" s="99" t="s">
        <v>218</v>
      </c>
      <c r="C71" s="99"/>
      <c r="F71" s="103"/>
      <c r="G71" s="104"/>
      <c r="J71" s="103"/>
      <c r="K71" s="104"/>
      <c r="N71" s="3"/>
      <c r="O71" s="3"/>
      <c r="S71" s="3"/>
    </row>
    <row r="72" spans="2:19" x14ac:dyDescent="0.25">
      <c r="C72" s="101"/>
      <c r="F72" s="102"/>
      <c r="G72" s="101"/>
      <c r="J72" s="106"/>
      <c r="K72" s="107"/>
      <c r="N72" s="3"/>
      <c r="O72" s="3"/>
      <c r="S72" s="3"/>
    </row>
    <row r="73" spans="2:19" x14ac:dyDescent="0.25">
      <c r="B73" s="103"/>
      <c r="C73" s="104"/>
      <c r="G73" s="101"/>
      <c r="K73" s="101">
        <f>K70-J70</f>
        <v>10000</v>
      </c>
      <c r="N73" s="3"/>
      <c r="O73" s="3"/>
      <c r="S73" s="3"/>
    </row>
    <row r="74" spans="2:19" x14ac:dyDescent="0.25">
      <c r="B74" s="102"/>
      <c r="C74" s="101"/>
      <c r="F74" s="102"/>
      <c r="G74" s="101"/>
      <c r="J74" s="102"/>
      <c r="K74" s="101"/>
      <c r="N74" s="3"/>
      <c r="O74" s="3"/>
      <c r="S74" s="3"/>
    </row>
    <row r="75" spans="2:19" x14ac:dyDescent="0.25">
      <c r="B75" s="102"/>
      <c r="C75" s="101"/>
      <c r="F75" s="102"/>
      <c r="G75" s="101"/>
      <c r="J75" s="102"/>
      <c r="K75" s="101"/>
      <c r="N75" s="3"/>
      <c r="O75" s="3"/>
      <c r="S75" s="3"/>
    </row>
    <row r="76" spans="2:19" x14ac:dyDescent="0.25">
      <c r="B76" s="102"/>
      <c r="C76" s="101"/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C77" s="101"/>
      <c r="F77" s="102"/>
      <c r="G77" s="101"/>
      <c r="J77" s="102"/>
      <c r="K77" s="101"/>
      <c r="N77" s="3"/>
      <c r="O77" s="3"/>
      <c r="S77" s="3"/>
    </row>
    <row r="78" spans="2:19" x14ac:dyDescent="0.25">
      <c r="B78" s="102"/>
      <c r="C78" s="101"/>
      <c r="F78" s="102"/>
      <c r="G78" s="101"/>
      <c r="J78" s="102"/>
      <c r="K78" s="102"/>
      <c r="N78" s="3"/>
      <c r="O78" s="3"/>
      <c r="S78" s="3"/>
    </row>
    <row r="79" spans="2:19" x14ac:dyDescent="0.25">
      <c r="B79" s="102"/>
      <c r="C79" s="101"/>
    </row>
    <row r="81" spans="1:4" x14ac:dyDescent="0.25">
      <c r="B81" s="131" t="s">
        <v>3</v>
      </c>
      <c r="C81" s="131"/>
    </row>
    <row r="82" spans="1:4" x14ac:dyDescent="0.25">
      <c r="A82">
        <v>5</v>
      </c>
      <c r="B82" s="111">
        <v>9000</v>
      </c>
      <c r="C82" s="100">
        <v>190000</v>
      </c>
      <c r="D82">
        <v>2</v>
      </c>
    </row>
    <row r="83" spans="1:4" x14ac:dyDescent="0.25">
      <c r="A83">
        <v>6</v>
      </c>
      <c r="B83" s="102">
        <v>150000</v>
      </c>
      <c r="C83" s="101"/>
    </row>
    <row r="84" spans="1:4" x14ac:dyDescent="0.25">
      <c r="A84">
        <v>7</v>
      </c>
      <c r="B84" s="102">
        <v>30000</v>
      </c>
      <c r="C84" s="101"/>
    </row>
    <row r="85" spans="1:4" x14ac:dyDescent="0.25">
      <c r="A85">
        <v>8</v>
      </c>
      <c r="B85" s="102">
        <v>1000</v>
      </c>
      <c r="C85" s="101"/>
    </row>
    <row r="86" spans="1:4" x14ac:dyDescent="0.25">
      <c r="C86" s="101"/>
    </row>
    <row r="87" spans="1:4" x14ac:dyDescent="0.25">
      <c r="B87" s="102"/>
      <c r="C87" s="101"/>
    </row>
    <row r="88" spans="1:4" x14ac:dyDescent="0.25">
      <c r="B88" s="103"/>
      <c r="C88" s="104"/>
    </row>
    <row r="89" spans="1:4" x14ac:dyDescent="0.25">
      <c r="B89" s="106">
        <f>SUM(B82:B88)</f>
        <v>190000</v>
      </c>
      <c r="C89" s="107">
        <f>SUM(C82:C88)</f>
        <v>190000</v>
      </c>
    </row>
    <row r="90" spans="1:4" x14ac:dyDescent="0.25">
      <c r="A90" t="s">
        <v>12</v>
      </c>
      <c r="B90" s="106">
        <f>C90</f>
        <v>0</v>
      </c>
      <c r="C90" s="107">
        <f>C89-B89</f>
        <v>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zoomScale="98" zoomScaleNormal="98" workbookViewId="0">
      <selection activeCell="G68" sqref="G68"/>
    </sheetView>
  </sheetViews>
  <sheetFormatPr defaultRowHeight="15" x14ac:dyDescent="0.25"/>
  <cols>
    <col min="1" max="1" width="3" bestFit="1" customWidth="1"/>
    <col min="2" max="2" width="13.140625" style="95" customWidth="1"/>
    <col min="3" max="3" width="13.28515625" style="95" customWidth="1"/>
    <col min="4" max="4" width="3.7109375" customWidth="1"/>
    <col min="5" max="5" width="2.5703125" bestFit="1" customWidth="1"/>
    <col min="6" max="6" width="13.5703125" style="95" customWidth="1"/>
    <col min="7" max="7" width="11.5703125" style="95" bestFit="1" customWidth="1"/>
    <col min="8" max="9" width="3" style="114" bestFit="1" customWidth="1"/>
    <col min="10" max="11" width="11.5703125" style="95" bestFit="1" customWidth="1"/>
    <col min="12" max="12" width="2" style="114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B14+F8+J9+B18+F18-K20+B29+F41-C39</f>
        <v>1624000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493000</v>
      </c>
      <c r="C5" s="100">
        <v>700000</v>
      </c>
      <c r="D5">
        <v>3</v>
      </c>
      <c r="E5" t="s">
        <v>132</v>
      </c>
      <c r="F5" s="95">
        <v>300000</v>
      </c>
      <c r="G5" s="101">
        <v>300000</v>
      </c>
      <c r="H5" s="113">
        <v>1</v>
      </c>
      <c r="I5" s="114" t="s">
        <v>132</v>
      </c>
      <c r="J5" s="102">
        <v>400000</v>
      </c>
      <c r="K5" s="100">
        <v>400000</v>
      </c>
      <c r="L5" s="113">
        <v>2</v>
      </c>
    </row>
    <row r="6" spans="1:12" x14ac:dyDescent="0.25">
      <c r="A6">
        <v>1</v>
      </c>
      <c r="B6" s="95">
        <v>300000</v>
      </c>
      <c r="C6" s="101">
        <v>100000</v>
      </c>
      <c r="D6">
        <v>4</v>
      </c>
      <c r="E6">
        <v>4</v>
      </c>
      <c r="F6" s="103">
        <v>200000</v>
      </c>
      <c r="G6" s="104"/>
      <c r="I6" s="115">
        <v>4</v>
      </c>
      <c r="J6" s="102">
        <v>480000</v>
      </c>
      <c r="K6" s="101"/>
    </row>
    <row r="7" spans="1:12" x14ac:dyDescent="0.25">
      <c r="A7">
        <v>2</v>
      </c>
      <c r="B7" s="95">
        <v>450000</v>
      </c>
      <c r="C7" s="101"/>
      <c r="F7" s="105">
        <f>SUM(F5:F6)</f>
        <v>500000</v>
      </c>
      <c r="G7" s="104">
        <f>SUM(G5:G6)</f>
        <v>300000</v>
      </c>
      <c r="J7" s="103"/>
      <c r="K7" s="104"/>
    </row>
    <row r="8" spans="1:12" x14ac:dyDescent="0.25">
      <c r="C8" s="101"/>
      <c r="F8" s="95">
        <f>F7-G7</f>
        <v>200000</v>
      </c>
      <c r="G8" s="101"/>
      <c r="J8" s="106">
        <f>SUM(J5:J7)</f>
        <v>880000</v>
      </c>
      <c r="K8" s="107">
        <f>SUM(K5:K7)</f>
        <v>400000</v>
      </c>
    </row>
    <row r="9" spans="1:12" x14ac:dyDescent="0.25">
      <c r="B9" s="102"/>
      <c r="C9" s="101"/>
      <c r="F9" s="102"/>
      <c r="G9" s="101"/>
      <c r="J9" s="102">
        <f>J8-K8</f>
        <v>480000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1243000</v>
      </c>
      <c r="C13" s="107">
        <f>SUM(C5:C12)</f>
        <v>800000</v>
      </c>
      <c r="F13" s="102"/>
      <c r="G13" s="101"/>
      <c r="J13" s="102"/>
      <c r="K13" s="101"/>
    </row>
    <row r="14" spans="1:12" x14ac:dyDescent="0.25">
      <c r="B14" s="102">
        <f>B13-C13</f>
        <v>443000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5">
        <v>540000</v>
      </c>
      <c r="G18" s="104"/>
      <c r="K18" s="100">
        <v>57000</v>
      </c>
      <c r="L18" s="114" t="s">
        <v>132</v>
      </c>
    </row>
    <row r="19" spans="1:12" x14ac:dyDescent="0.25">
      <c r="B19" s="102"/>
      <c r="C19" s="101"/>
      <c r="F19" s="102"/>
      <c r="G19" s="101"/>
      <c r="J19" s="103"/>
      <c r="K19" s="104">
        <v>9000</v>
      </c>
      <c r="L19" s="114">
        <v>5</v>
      </c>
    </row>
    <row r="20" spans="1:12" x14ac:dyDescent="0.25">
      <c r="B20" s="102"/>
      <c r="C20" s="101"/>
      <c r="F20" s="102"/>
      <c r="G20" s="101"/>
      <c r="J20" s="102"/>
      <c r="K20" s="101">
        <f>SUM(K18:K19)</f>
        <v>66000</v>
      </c>
    </row>
    <row r="21" spans="1:12" x14ac:dyDescent="0.25">
      <c r="B21" s="102"/>
      <c r="C21" s="101"/>
      <c r="F21" s="102"/>
      <c r="G21" s="101"/>
      <c r="K21" s="101"/>
    </row>
    <row r="22" spans="1:12" x14ac:dyDescent="0.25">
      <c r="B22" s="102"/>
      <c r="C22" s="101"/>
      <c r="F22" s="102"/>
      <c r="G22" s="101"/>
      <c r="J22" s="102"/>
      <c r="K22" s="101"/>
    </row>
    <row r="23" spans="1:12" x14ac:dyDescent="0.25">
      <c r="B23" s="102"/>
      <c r="C23" s="101"/>
      <c r="F23" s="102"/>
      <c r="G23" s="101"/>
      <c r="J23" s="102"/>
      <c r="K23" s="101"/>
    </row>
    <row r="24" spans="1:12" x14ac:dyDescent="0.25">
      <c r="B24" s="102"/>
      <c r="C24" s="101"/>
      <c r="F24" s="102"/>
      <c r="G24" s="101"/>
      <c r="J24" s="102"/>
      <c r="K24" s="101"/>
    </row>
    <row r="25" spans="1:12" x14ac:dyDescent="0.25">
      <c r="B25" s="102"/>
      <c r="C25" s="101"/>
      <c r="F25" s="102"/>
      <c r="G25" s="101"/>
      <c r="J25" s="102"/>
      <c r="K25" s="101"/>
    </row>
    <row r="26" spans="1:12" x14ac:dyDescent="0.25">
      <c r="B26" s="102"/>
      <c r="C26" s="102"/>
      <c r="F26" s="102"/>
      <c r="G26" s="102"/>
      <c r="J26" s="102"/>
      <c r="K26" s="102"/>
    </row>
    <row r="27" spans="1:12" x14ac:dyDescent="0.25">
      <c r="B27" s="99" t="s">
        <v>14</v>
      </c>
      <c r="C27" s="99"/>
      <c r="F27" s="99"/>
      <c r="G27" s="99"/>
      <c r="J27" s="99"/>
      <c r="K27" s="99"/>
    </row>
    <row r="28" spans="1:12" x14ac:dyDescent="0.25">
      <c r="A28" s="86" t="s">
        <v>132</v>
      </c>
      <c r="B28" s="106">
        <v>8000</v>
      </c>
      <c r="C28" s="107">
        <v>1000</v>
      </c>
      <c r="D28">
        <v>8</v>
      </c>
      <c r="F28" s="102"/>
      <c r="G28" s="101"/>
      <c r="K28" s="101"/>
    </row>
    <row r="29" spans="1:12" x14ac:dyDescent="0.25">
      <c r="B29" s="102">
        <f>B28-C28</f>
        <v>7000</v>
      </c>
      <c r="C29" s="101"/>
      <c r="F29" s="103"/>
      <c r="G29" s="104"/>
      <c r="J29" s="102"/>
      <c r="K29" s="101"/>
    </row>
    <row r="30" spans="1:12" x14ac:dyDescent="0.25">
      <c r="B30" s="102"/>
      <c r="C30" s="101"/>
      <c r="F30" s="102"/>
      <c r="G30" s="101"/>
      <c r="K30" s="101"/>
    </row>
    <row r="31" spans="1:12" x14ac:dyDescent="0.25">
      <c r="B31" s="102"/>
      <c r="C31" s="101"/>
      <c r="F31" s="102"/>
      <c r="G31" s="101"/>
      <c r="J31" s="102"/>
      <c r="K31" s="101"/>
    </row>
    <row r="32" spans="1:12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E38">
        <v>4</v>
      </c>
      <c r="F38" s="106">
        <v>120000</v>
      </c>
      <c r="G38" s="107">
        <v>120000</v>
      </c>
      <c r="H38" s="113">
        <v>9</v>
      </c>
    </row>
    <row r="39" spans="2:11" x14ac:dyDescent="0.25">
      <c r="B39" s="106"/>
      <c r="C39" s="107"/>
      <c r="F39" s="102">
        <f>F38-G38</f>
        <v>0</v>
      </c>
      <c r="G39" s="101"/>
    </row>
    <row r="40" spans="2:11" x14ac:dyDescent="0.25">
      <c r="B40" s="102"/>
      <c r="C40" s="101"/>
      <c r="F40" s="102"/>
      <c r="G40" s="101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5"/>
    </row>
    <row r="47" spans="2:11" x14ac:dyDescent="0.25">
      <c r="B47" s="96" t="s">
        <v>2</v>
      </c>
      <c r="F47" s="97">
        <f>C54+G53+K54+G60+K63+G72+K73+C74+C63</f>
        <v>1624000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3</v>
      </c>
      <c r="B50" s="95">
        <v>500000</v>
      </c>
      <c r="C50" s="100">
        <v>500000</v>
      </c>
      <c r="D50" t="s">
        <v>132</v>
      </c>
      <c r="G50" s="100"/>
      <c r="I50" s="114">
        <v>3</v>
      </c>
      <c r="J50" s="95">
        <v>180000</v>
      </c>
      <c r="K50" s="100">
        <v>180000</v>
      </c>
      <c r="L50" s="114" t="s">
        <v>132</v>
      </c>
    </row>
    <row r="51" spans="1:19" x14ac:dyDescent="0.25">
      <c r="B51" s="102"/>
      <c r="C51" s="101">
        <v>500000</v>
      </c>
      <c r="D51">
        <v>4</v>
      </c>
      <c r="F51" s="103"/>
      <c r="G51" s="104"/>
      <c r="H51" s="115"/>
      <c r="J51" s="102"/>
      <c r="K51" s="101">
        <v>48750</v>
      </c>
      <c r="L51" s="114">
        <v>6</v>
      </c>
    </row>
    <row r="52" spans="1:19" x14ac:dyDescent="0.25">
      <c r="B52" s="103"/>
      <c r="C52" s="104"/>
      <c r="F52" s="106"/>
      <c r="G52" s="107"/>
      <c r="J52" s="103"/>
      <c r="K52" s="104">
        <v>30000</v>
      </c>
      <c r="L52" s="114">
        <v>7</v>
      </c>
    </row>
    <row r="53" spans="1:19" x14ac:dyDescent="0.25">
      <c r="B53" s="106">
        <f>SUM(B50:B52)</f>
        <v>500000</v>
      </c>
      <c r="C53" s="107">
        <f>SUM(C50:C52)</f>
        <v>1000000</v>
      </c>
      <c r="F53" s="102"/>
      <c r="G53" s="101"/>
      <c r="J53" s="106">
        <f>SUM(J50:J52)</f>
        <v>180000</v>
      </c>
      <c r="K53" s="107">
        <f>SUM(K50:K52)</f>
        <v>258750</v>
      </c>
    </row>
    <row r="54" spans="1:19" x14ac:dyDescent="0.25">
      <c r="B54" s="102"/>
      <c r="C54" s="101">
        <f>C53-B53</f>
        <v>500000</v>
      </c>
      <c r="F54" s="102"/>
      <c r="G54" s="101"/>
      <c r="K54" s="101">
        <f>K53-J53</f>
        <v>78750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A60">
        <v>3</v>
      </c>
      <c r="B60" s="102">
        <v>20000</v>
      </c>
      <c r="C60" s="101">
        <v>20000</v>
      </c>
      <c r="D60" t="s">
        <v>132</v>
      </c>
      <c r="F60" s="103"/>
      <c r="G60" s="104">
        <v>900000</v>
      </c>
      <c r="H60" s="114" t="s">
        <v>132</v>
      </c>
      <c r="I60" s="114">
        <v>11</v>
      </c>
      <c r="J60" s="95">
        <v>30000</v>
      </c>
      <c r="K60" s="100">
        <v>94000</v>
      </c>
      <c r="L60" s="114" t="s">
        <v>132</v>
      </c>
      <c r="N60" s="3"/>
      <c r="O60" s="3"/>
      <c r="S60" s="3"/>
    </row>
    <row r="61" spans="1:19" x14ac:dyDescent="0.25">
      <c r="B61" s="103"/>
      <c r="C61" s="104">
        <v>30000</v>
      </c>
      <c r="D61">
        <v>11</v>
      </c>
      <c r="F61" s="102"/>
      <c r="G61" s="101"/>
      <c r="J61" s="103"/>
      <c r="K61" s="104">
        <v>25000</v>
      </c>
      <c r="L61" s="114" t="s">
        <v>12</v>
      </c>
      <c r="N61" s="3"/>
      <c r="O61" s="3"/>
      <c r="S61" s="3"/>
    </row>
    <row r="62" spans="1:19" x14ac:dyDescent="0.25">
      <c r="B62" s="106">
        <f>SUM(B60:B61)</f>
        <v>20000</v>
      </c>
      <c r="C62" s="107">
        <f>SUM(C60:C61)</f>
        <v>50000</v>
      </c>
      <c r="F62" s="102"/>
      <c r="G62" s="101"/>
      <c r="J62" s="106">
        <f>SUM(J60:J61)</f>
        <v>30000</v>
      </c>
      <c r="K62" s="107">
        <f>SUM(K60:K61)</f>
        <v>119000</v>
      </c>
      <c r="N62" s="3"/>
      <c r="O62" s="3"/>
      <c r="S62" s="3"/>
    </row>
    <row r="63" spans="1:19" x14ac:dyDescent="0.25">
      <c r="C63" s="101">
        <f>C62-B62</f>
        <v>30000</v>
      </c>
      <c r="F63" s="102"/>
      <c r="G63" s="101"/>
      <c r="K63" s="101">
        <f>K62-J62</f>
        <v>89000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>
        <v>6250</v>
      </c>
      <c r="H70" s="114">
        <v>10</v>
      </c>
      <c r="I70" s="114">
        <v>9</v>
      </c>
      <c r="J70" s="110">
        <v>120000</v>
      </c>
      <c r="K70" s="100">
        <v>10000</v>
      </c>
      <c r="L70" s="114" t="s">
        <v>132</v>
      </c>
      <c r="N70" s="3"/>
      <c r="O70" s="3"/>
      <c r="S70" s="3"/>
    </row>
    <row r="71" spans="2:19" x14ac:dyDescent="0.25">
      <c r="B71" s="99" t="s">
        <v>218</v>
      </c>
      <c r="C71" s="99"/>
      <c r="F71" s="116"/>
      <c r="G71" s="117"/>
      <c r="J71" s="103"/>
      <c r="K71" s="104">
        <v>130000</v>
      </c>
      <c r="L71" s="114">
        <v>2</v>
      </c>
      <c r="N71" s="3"/>
      <c r="O71" s="3"/>
      <c r="S71" s="3"/>
    </row>
    <row r="72" spans="2:19" x14ac:dyDescent="0.25">
      <c r="C72" s="101"/>
      <c r="F72" s="102"/>
      <c r="G72" s="101">
        <f>SUM(G70:G71)</f>
        <v>6250</v>
      </c>
      <c r="J72" s="106">
        <f>SUM(J70:J71)</f>
        <v>120000</v>
      </c>
      <c r="K72" s="107">
        <f>SUM(K70:K71)</f>
        <v>140000</v>
      </c>
      <c r="N72" s="3"/>
      <c r="O72" s="3"/>
      <c r="S72" s="3"/>
    </row>
    <row r="73" spans="2:19" x14ac:dyDescent="0.25">
      <c r="B73" s="103"/>
      <c r="C73" s="104"/>
      <c r="G73" s="101"/>
      <c r="K73" s="101">
        <f>K72-J72</f>
        <v>20000</v>
      </c>
      <c r="N73" s="3"/>
      <c r="O73" s="3"/>
      <c r="S73" s="3"/>
    </row>
    <row r="74" spans="2:19" x14ac:dyDescent="0.25">
      <c r="B74" s="102"/>
      <c r="C74" s="101"/>
      <c r="F74" s="102"/>
      <c r="G74" s="101"/>
      <c r="J74" s="102"/>
      <c r="K74" s="101"/>
      <c r="N74" s="3"/>
      <c r="O74" s="3"/>
      <c r="S74" s="3"/>
    </row>
    <row r="75" spans="2:19" x14ac:dyDescent="0.25">
      <c r="B75" s="102"/>
      <c r="C75" s="101"/>
      <c r="F75" s="102"/>
      <c r="G75" s="101"/>
      <c r="J75" s="102"/>
      <c r="K75" s="101"/>
      <c r="N75" s="3"/>
      <c r="O75" s="3"/>
      <c r="S75" s="3"/>
    </row>
    <row r="76" spans="2:19" x14ac:dyDescent="0.25">
      <c r="B76" s="102"/>
      <c r="C76" s="101"/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C77" s="101"/>
      <c r="F77" s="102"/>
      <c r="G77" s="101"/>
      <c r="J77" s="102"/>
      <c r="K77" s="101"/>
      <c r="N77" s="3"/>
      <c r="O77" s="3"/>
      <c r="S77" s="3"/>
    </row>
    <row r="78" spans="2:19" x14ac:dyDescent="0.25">
      <c r="B78" s="102"/>
      <c r="C78" s="101"/>
      <c r="F78" s="102"/>
      <c r="G78" s="101"/>
      <c r="J78" s="102"/>
      <c r="K78" s="102"/>
      <c r="N78" s="3"/>
      <c r="O78" s="3"/>
      <c r="S78" s="3"/>
    </row>
    <row r="79" spans="2:19" x14ac:dyDescent="0.25">
      <c r="B79" s="102"/>
      <c r="C79" s="101"/>
    </row>
    <row r="81" spans="1:4" x14ac:dyDescent="0.25">
      <c r="B81" s="131" t="s">
        <v>3</v>
      </c>
      <c r="C81" s="131"/>
    </row>
    <row r="82" spans="1:4" x14ac:dyDescent="0.25">
      <c r="A82">
        <v>5</v>
      </c>
      <c r="B82" s="111">
        <v>9000</v>
      </c>
      <c r="C82" s="100">
        <v>120000</v>
      </c>
      <c r="D82">
        <v>2</v>
      </c>
    </row>
    <row r="83" spans="1:4" x14ac:dyDescent="0.25">
      <c r="A83">
        <v>6</v>
      </c>
      <c r="B83" s="102">
        <v>48750</v>
      </c>
      <c r="C83" s="101"/>
    </row>
    <row r="84" spans="1:4" x14ac:dyDescent="0.25">
      <c r="A84">
        <v>7</v>
      </c>
      <c r="B84" s="102">
        <v>30000</v>
      </c>
      <c r="C84" s="101"/>
    </row>
    <row r="85" spans="1:4" x14ac:dyDescent="0.25">
      <c r="A85">
        <v>8</v>
      </c>
      <c r="B85" s="102">
        <v>1000</v>
      </c>
      <c r="C85" s="101"/>
    </row>
    <row r="86" spans="1:4" x14ac:dyDescent="0.25">
      <c r="B86" s="106">
        <f>SUM(B82:B85)</f>
        <v>88750</v>
      </c>
      <c r="C86" s="107">
        <f>SUM(C82:C85)</f>
        <v>120000</v>
      </c>
    </row>
    <row r="87" spans="1:4" x14ac:dyDescent="0.25">
      <c r="A87">
        <v>10</v>
      </c>
      <c r="B87" s="106">
        <f>C87*20%</f>
        <v>6250</v>
      </c>
      <c r="C87" s="107">
        <f>C86-B86</f>
        <v>31250</v>
      </c>
    </row>
    <row r="88" spans="1:4" x14ac:dyDescent="0.25">
      <c r="A88" t="s">
        <v>12</v>
      </c>
      <c r="B88" s="95">
        <f>C88</f>
        <v>25000</v>
      </c>
      <c r="C88" s="101">
        <f>C87-B87</f>
        <v>25000</v>
      </c>
    </row>
    <row r="89" spans="1:4" x14ac:dyDescent="0.25">
      <c r="C89" s="101"/>
    </row>
    <row r="90" spans="1:4" x14ac:dyDescent="0.25">
      <c r="C90" s="101"/>
    </row>
    <row r="91" spans="1:4" x14ac:dyDescent="0.25"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15"/>
  <sheetViews>
    <sheetView showGridLines="0" tabSelected="1" zoomScale="80" zoomScaleNormal="80" workbookViewId="0">
      <pane xSplit="2" topLeftCell="C1" activePane="topRight" state="frozen"/>
      <selection activeCell="A4" sqref="A4"/>
      <selection pane="topRight" activeCell="S95" sqref="S95"/>
    </sheetView>
  </sheetViews>
  <sheetFormatPr defaultRowHeight="12.75" outlineLevelRow="1" x14ac:dyDescent="0.25"/>
  <cols>
    <col min="1" max="1" width="2.28515625" style="8" customWidth="1"/>
    <col min="2" max="2" width="28.7109375" style="8" bestFit="1" customWidth="1"/>
    <col min="3" max="7" width="9.140625" style="8"/>
    <col min="8" max="8" width="10.85546875" style="8" bestFit="1" customWidth="1"/>
    <col min="9" max="10" width="9.140625" style="8"/>
    <col min="11" max="14" width="10.85546875" style="8" bestFit="1" customWidth="1"/>
    <col min="15" max="18" width="9.140625" style="8"/>
    <col min="19" max="19" width="39.85546875" style="8" customWidth="1"/>
    <col min="20" max="16384" width="9.140625" style="8"/>
  </cols>
  <sheetData>
    <row r="2" spans="2:16" ht="18.75" customHeight="1" x14ac:dyDescent="0.25">
      <c r="B2" s="132" t="s">
        <v>59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/>
      <c r="P2"/>
    </row>
    <row r="3" spans="2:16" ht="15" x14ac:dyDescent="0.25">
      <c r="B3" s="10" t="s">
        <v>60</v>
      </c>
      <c r="C3" s="11">
        <v>42400</v>
      </c>
      <c r="D3" s="11">
        <f>+C3+28</f>
        <v>42428</v>
      </c>
      <c r="E3" s="11">
        <f>+D3+32</f>
        <v>42460</v>
      </c>
      <c r="F3" s="11">
        <f>+E3+30</f>
        <v>42490</v>
      </c>
      <c r="G3" s="11">
        <f>+F3+31</f>
        <v>42521</v>
      </c>
      <c r="H3" s="11">
        <v>42551</v>
      </c>
      <c r="I3" s="11">
        <v>42582</v>
      </c>
      <c r="J3" s="11">
        <v>42613</v>
      </c>
      <c r="K3" s="11">
        <v>42643</v>
      </c>
      <c r="L3" s="11">
        <v>42674</v>
      </c>
      <c r="M3" s="11">
        <v>42704</v>
      </c>
      <c r="N3" s="48">
        <v>42735</v>
      </c>
      <c r="O3"/>
      <c r="P3"/>
    </row>
    <row r="4" spans="2:16" ht="15" outlineLevel="1" x14ac:dyDescent="0.25">
      <c r="B4" s="12" t="s">
        <v>61</v>
      </c>
      <c r="C4" s="13">
        <v>210000</v>
      </c>
      <c r="D4" s="13">
        <v>29000</v>
      </c>
      <c r="E4" s="13">
        <v>37000</v>
      </c>
      <c r="F4" s="13">
        <v>2000</v>
      </c>
      <c r="G4" s="13">
        <v>5000</v>
      </c>
      <c r="H4" s="13">
        <v>43800</v>
      </c>
      <c r="I4" s="13">
        <v>3000</v>
      </c>
      <c r="J4" s="13">
        <v>34000</v>
      </c>
      <c r="K4" s="13">
        <v>24000</v>
      </c>
      <c r="L4" s="13">
        <v>495000</v>
      </c>
      <c r="M4" s="4">
        <v>493000</v>
      </c>
      <c r="N4" s="5">
        <v>443000</v>
      </c>
      <c r="O4"/>
      <c r="P4"/>
    </row>
    <row r="5" spans="2:16" outlineLevel="1" x14ac:dyDescent="0.25">
      <c r="B5" s="12" t="s">
        <v>62</v>
      </c>
      <c r="C5" s="13"/>
      <c r="D5" s="13">
        <v>10000</v>
      </c>
      <c r="E5" s="13">
        <v>20000</v>
      </c>
      <c r="F5" s="13">
        <v>50000</v>
      </c>
      <c r="G5" s="13">
        <v>50000</v>
      </c>
      <c r="H5" s="13">
        <v>120000</v>
      </c>
      <c r="I5" s="13">
        <v>80000</v>
      </c>
      <c r="J5" s="13">
        <v>50000</v>
      </c>
      <c r="K5" s="13">
        <v>150000</v>
      </c>
      <c r="L5" s="13">
        <v>200000</v>
      </c>
      <c r="M5" s="4">
        <v>300000</v>
      </c>
      <c r="N5" s="5">
        <v>200000</v>
      </c>
    </row>
    <row r="6" spans="2:16" outlineLevel="1" x14ac:dyDescent="0.25">
      <c r="B6" s="12" t="s">
        <v>63</v>
      </c>
      <c r="C6" s="13">
        <v>50000</v>
      </c>
      <c r="D6" s="13">
        <v>90000</v>
      </c>
      <c r="E6" s="13">
        <v>100000</v>
      </c>
      <c r="F6" s="13">
        <v>150000</v>
      </c>
      <c r="G6" s="13">
        <v>200000</v>
      </c>
      <c r="H6" s="13">
        <v>300000</v>
      </c>
      <c r="I6" s="13">
        <v>350000</v>
      </c>
      <c r="J6" s="13">
        <v>300000</v>
      </c>
      <c r="K6" s="13">
        <v>400000</v>
      </c>
      <c r="L6" s="13">
        <v>450000</v>
      </c>
      <c r="M6" s="4">
        <v>400000</v>
      </c>
      <c r="N6" s="5">
        <v>480000</v>
      </c>
    </row>
    <row r="7" spans="2:16" outlineLevel="1" x14ac:dyDescent="0.25">
      <c r="B7" s="12" t="s">
        <v>64</v>
      </c>
      <c r="C7" s="13"/>
      <c r="D7" s="13"/>
      <c r="E7" s="13"/>
      <c r="F7" s="13"/>
      <c r="G7" s="13"/>
      <c r="H7" s="13"/>
      <c r="I7" s="13">
        <v>12000</v>
      </c>
      <c r="J7" s="13">
        <v>11000</v>
      </c>
      <c r="K7" s="13">
        <v>10000</v>
      </c>
      <c r="L7" s="13">
        <v>9000</v>
      </c>
      <c r="M7" s="4">
        <v>8000</v>
      </c>
      <c r="N7" s="5">
        <v>7000</v>
      </c>
    </row>
    <row r="8" spans="2:16" outlineLevel="1" x14ac:dyDescent="0.25">
      <c r="B8" s="12" t="s">
        <v>114</v>
      </c>
      <c r="C8" s="13"/>
      <c r="D8" s="13"/>
      <c r="E8" s="13"/>
      <c r="F8" s="13"/>
      <c r="G8" s="13"/>
      <c r="H8" s="13"/>
      <c r="I8" s="13"/>
      <c r="J8" s="13"/>
      <c r="K8" s="13"/>
      <c r="L8" s="13">
        <v>50000</v>
      </c>
      <c r="M8" s="4">
        <v>0</v>
      </c>
      <c r="N8" s="5">
        <v>0</v>
      </c>
    </row>
    <row r="9" spans="2:16" outlineLevel="1" x14ac:dyDescent="0.25">
      <c r="B9" s="12" t="s">
        <v>65</v>
      </c>
      <c r="C9" s="13">
        <v>20000</v>
      </c>
      <c r="D9" s="13">
        <v>20000</v>
      </c>
      <c r="E9" s="13">
        <v>20000</v>
      </c>
      <c r="F9" s="13">
        <v>20000</v>
      </c>
      <c r="G9" s="13">
        <v>20000</v>
      </c>
      <c r="H9" s="13">
        <v>20000</v>
      </c>
      <c r="I9" s="13">
        <v>20000</v>
      </c>
      <c r="J9" s="13">
        <v>20000</v>
      </c>
      <c r="K9" s="13">
        <v>20000</v>
      </c>
      <c r="L9" s="13">
        <v>20000</v>
      </c>
      <c r="M9" s="13">
        <v>20000</v>
      </c>
      <c r="N9" s="41">
        <v>20000</v>
      </c>
    </row>
    <row r="10" spans="2:16" outlineLevel="1" x14ac:dyDescent="0.25">
      <c r="B10" s="12" t="s">
        <v>9</v>
      </c>
      <c r="C10" s="13"/>
      <c r="D10" s="13">
        <v>180000</v>
      </c>
      <c r="E10" s="13">
        <v>180000</v>
      </c>
      <c r="F10" s="13">
        <v>180000</v>
      </c>
      <c r="G10" s="13">
        <v>180000</v>
      </c>
      <c r="H10" s="13">
        <f>180000+360000</f>
        <v>540000</v>
      </c>
      <c r="I10" s="13">
        <f t="shared" ref="I10:N10" si="0">180000+360000</f>
        <v>540000</v>
      </c>
      <c r="J10" s="13">
        <f t="shared" si="0"/>
        <v>540000</v>
      </c>
      <c r="K10" s="13">
        <f t="shared" si="0"/>
        <v>540000</v>
      </c>
      <c r="L10" s="13">
        <f t="shared" si="0"/>
        <v>540000</v>
      </c>
      <c r="M10" s="13">
        <f t="shared" si="0"/>
        <v>540000</v>
      </c>
      <c r="N10" s="41">
        <f t="shared" si="0"/>
        <v>540000</v>
      </c>
    </row>
    <row r="11" spans="2:16" outlineLevel="1" x14ac:dyDescent="0.25">
      <c r="B11" s="12" t="s">
        <v>66</v>
      </c>
      <c r="C11" s="13"/>
      <c r="D11" s="13"/>
      <c r="E11" s="13">
        <v>-3000</v>
      </c>
      <c r="F11" s="13">
        <f>E11-3000</f>
        <v>-6000</v>
      </c>
      <c r="G11" s="13">
        <f t="shared" ref="G11:H11" si="1">F11-3000</f>
        <v>-9000</v>
      </c>
      <c r="H11" s="13">
        <f t="shared" si="1"/>
        <v>-12000</v>
      </c>
      <c r="I11" s="13">
        <f>H11-9000</f>
        <v>-21000</v>
      </c>
      <c r="J11" s="13">
        <f t="shared" ref="J11:N11" si="2">I11-9000</f>
        <v>-30000</v>
      </c>
      <c r="K11" s="13">
        <f t="shared" si="2"/>
        <v>-39000</v>
      </c>
      <c r="L11" s="13">
        <f t="shared" si="2"/>
        <v>-48000</v>
      </c>
      <c r="M11" s="13">
        <f t="shared" si="2"/>
        <v>-57000</v>
      </c>
      <c r="N11" s="41">
        <f t="shared" si="2"/>
        <v>-66000</v>
      </c>
    </row>
    <row r="12" spans="2:16" x14ac:dyDescent="0.25">
      <c r="B12" s="14" t="s">
        <v>67</v>
      </c>
      <c r="C12" s="15">
        <f t="shared" ref="C12:N12" si="3">+SUM(C4:C11)</f>
        <v>280000</v>
      </c>
      <c r="D12" s="15">
        <f t="shared" si="3"/>
        <v>329000</v>
      </c>
      <c r="E12" s="15">
        <f t="shared" si="3"/>
        <v>354000</v>
      </c>
      <c r="F12" s="15">
        <f t="shared" si="3"/>
        <v>396000</v>
      </c>
      <c r="G12" s="15">
        <f t="shared" si="3"/>
        <v>446000</v>
      </c>
      <c r="H12" s="15">
        <f t="shared" si="3"/>
        <v>1011800</v>
      </c>
      <c r="I12" s="15">
        <f t="shared" si="3"/>
        <v>984000</v>
      </c>
      <c r="J12" s="15">
        <f t="shared" si="3"/>
        <v>925000</v>
      </c>
      <c r="K12" s="15">
        <f t="shared" si="3"/>
        <v>1105000</v>
      </c>
      <c r="L12" s="15">
        <f t="shared" si="3"/>
        <v>1716000</v>
      </c>
      <c r="M12" s="15">
        <f t="shared" si="3"/>
        <v>1704000</v>
      </c>
      <c r="N12" s="49">
        <f t="shared" si="3"/>
        <v>1624000</v>
      </c>
    </row>
    <row r="13" spans="2:16" x14ac:dyDescent="0.25">
      <c r="B13" s="16" t="s">
        <v>68</v>
      </c>
      <c r="C13" s="17">
        <f t="shared" ref="C13:J13" si="4">+C3</f>
        <v>42400</v>
      </c>
      <c r="D13" s="17">
        <f t="shared" si="4"/>
        <v>42428</v>
      </c>
      <c r="E13" s="17">
        <f t="shared" si="4"/>
        <v>42460</v>
      </c>
      <c r="F13" s="17">
        <f t="shared" si="4"/>
        <v>42490</v>
      </c>
      <c r="G13" s="17">
        <f t="shared" si="4"/>
        <v>42521</v>
      </c>
      <c r="H13" s="17">
        <f t="shared" si="4"/>
        <v>42551</v>
      </c>
      <c r="I13" s="17">
        <f t="shared" si="4"/>
        <v>42582</v>
      </c>
      <c r="J13" s="17">
        <f t="shared" si="4"/>
        <v>42613</v>
      </c>
      <c r="K13" s="17">
        <v>42643</v>
      </c>
      <c r="L13" s="17">
        <v>42674</v>
      </c>
      <c r="M13" s="17">
        <v>42704</v>
      </c>
      <c r="N13" s="50">
        <v>42735</v>
      </c>
    </row>
    <row r="14" spans="2:16" outlineLevel="1" x14ac:dyDescent="0.25">
      <c r="B14" s="18" t="s">
        <v>69</v>
      </c>
      <c r="C14" s="19">
        <v>30000</v>
      </c>
      <c r="D14" s="19">
        <v>70000</v>
      </c>
      <c r="E14" s="19">
        <v>90000</v>
      </c>
      <c r="F14" s="19">
        <v>100000</v>
      </c>
      <c r="G14" s="19">
        <v>150000</v>
      </c>
      <c r="H14" s="19">
        <v>295000</v>
      </c>
      <c r="I14" s="19">
        <v>200000</v>
      </c>
      <c r="J14" s="19">
        <v>300000</v>
      </c>
      <c r="K14" s="19">
        <v>400000</v>
      </c>
      <c r="L14" s="19">
        <v>500000</v>
      </c>
      <c r="M14" s="4">
        <v>500000</v>
      </c>
      <c r="N14" s="5">
        <v>500000</v>
      </c>
    </row>
    <row r="15" spans="2:16" outlineLevel="1" x14ac:dyDescent="0.25">
      <c r="B15" s="12" t="s">
        <v>70</v>
      </c>
      <c r="C15" s="13"/>
      <c r="D15" s="13"/>
      <c r="E15" s="13">
        <v>43000</v>
      </c>
      <c r="F15" s="13">
        <v>55000</v>
      </c>
      <c r="G15" s="13">
        <v>75000</v>
      </c>
      <c r="H15" s="13">
        <v>70800</v>
      </c>
      <c r="I15" s="13">
        <v>145000</v>
      </c>
      <c r="J15" s="13">
        <v>41000</v>
      </c>
      <c r="K15" s="13">
        <v>111000</v>
      </c>
      <c r="L15" s="13">
        <v>194500</v>
      </c>
      <c r="M15" s="4">
        <v>180000</v>
      </c>
      <c r="N15" s="5">
        <v>78750</v>
      </c>
    </row>
    <row r="16" spans="2:16" outlineLevel="1" x14ac:dyDescent="0.25">
      <c r="B16" s="12" t="s">
        <v>219</v>
      </c>
      <c r="C16" s="13"/>
      <c r="D16" s="13"/>
      <c r="E16" s="13"/>
      <c r="F16" s="13"/>
      <c r="G16" s="13"/>
      <c r="H16" s="13"/>
      <c r="I16" s="13">
        <v>80000</v>
      </c>
      <c r="J16" s="13">
        <v>0</v>
      </c>
      <c r="K16" s="13">
        <v>0</v>
      </c>
      <c r="L16" s="13">
        <v>0</v>
      </c>
      <c r="M16" s="13">
        <v>0</v>
      </c>
      <c r="N16" s="41">
        <v>0</v>
      </c>
    </row>
    <row r="17" spans="2:17" outlineLevel="1" x14ac:dyDescent="0.25">
      <c r="B17" s="12" t="s">
        <v>116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4">
        <v>10000</v>
      </c>
      <c r="N17" s="5">
        <v>20000</v>
      </c>
    </row>
    <row r="18" spans="2:17" outlineLevel="1" x14ac:dyDescent="0.25">
      <c r="B18" s="12" t="s">
        <v>115</v>
      </c>
      <c r="C18" s="13"/>
      <c r="D18" s="13"/>
      <c r="E18" s="13"/>
      <c r="F18" s="13"/>
      <c r="G18" s="13"/>
      <c r="H18" s="13"/>
      <c r="I18" s="13"/>
      <c r="J18" s="13"/>
      <c r="K18" s="13"/>
      <c r="L18" s="13">
        <v>7500</v>
      </c>
      <c r="M18" s="13">
        <v>0</v>
      </c>
      <c r="N18" s="5">
        <v>6250</v>
      </c>
    </row>
    <row r="19" spans="2:17" outlineLevel="1" x14ac:dyDescent="0.25">
      <c r="B19" s="12" t="s">
        <v>220</v>
      </c>
      <c r="C19" s="13"/>
      <c r="D19" s="13"/>
      <c r="E19" s="13"/>
      <c r="F19" s="13"/>
      <c r="G19" s="13"/>
      <c r="H19" s="13"/>
      <c r="I19" s="13"/>
      <c r="J19" s="13">
        <v>15000</v>
      </c>
      <c r="K19" s="13">
        <v>50000</v>
      </c>
      <c r="L19" s="13">
        <v>0</v>
      </c>
      <c r="M19" s="13">
        <v>20000</v>
      </c>
      <c r="N19" s="5">
        <v>30000</v>
      </c>
    </row>
    <row r="20" spans="2:17" outlineLevel="1" x14ac:dyDescent="0.25">
      <c r="B20" s="12" t="s">
        <v>221</v>
      </c>
      <c r="C20" s="13">
        <v>150000</v>
      </c>
      <c r="D20" s="13">
        <v>150000</v>
      </c>
      <c r="E20" s="13">
        <v>100000</v>
      </c>
      <c r="F20" s="13">
        <v>100000</v>
      </c>
      <c r="G20" s="13">
        <v>60000</v>
      </c>
      <c r="H20" s="13">
        <v>460000</v>
      </c>
      <c r="I20" s="13">
        <v>360000</v>
      </c>
      <c r="J20" s="13">
        <v>360000</v>
      </c>
      <c r="K20" s="13">
        <v>360000</v>
      </c>
      <c r="L20" s="13">
        <v>0</v>
      </c>
      <c r="M20" s="13">
        <v>0</v>
      </c>
      <c r="N20" s="5">
        <v>0</v>
      </c>
    </row>
    <row r="21" spans="2:17" outlineLevel="1" x14ac:dyDescent="0.25">
      <c r="B21" s="18" t="s">
        <v>71</v>
      </c>
      <c r="C21" s="19">
        <v>100000</v>
      </c>
      <c r="D21" s="19">
        <v>100000</v>
      </c>
      <c r="E21" s="19">
        <v>100000</v>
      </c>
      <c r="F21" s="19">
        <v>100000</v>
      </c>
      <c r="G21" s="19">
        <v>100000</v>
      </c>
      <c r="H21" s="19">
        <v>100000</v>
      </c>
      <c r="I21" s="19">
        <v>100000</v>
      </c>
      <c r="J21" s="19">
        <v>100000</v>
      </c>
      <c r="K21" s="19">
        <v>100000</v>
      </c>
      <c r="L21" s="19">
        <f>100000+800000</f>
        <v>900000</v>
      </c>
      <c r="M21" s="19">
        <f t="shared" ref="M21:N21" si="5">100000+800000</f>
        <v>900000</v>
      </c>
      <c r="N21" s="39">
        <f t="shared" si="5"/>
        <v>900000</v>
      </c>
    </row>
    <row r="22" spans="2:17" outlineLevel="1" x14ac:dyDescent="0.25">
      <c r="B22" s="20" t="s">
        <v>72</v>
      </c>
      <c r="C22" s="21"/>
      <c r="D22" s="21">
        <v>9000</v>
      </c>
      <c r="E22" s="21">
        <v>21000</v>
      </c>
      <c r="F22" s="21">
        <v>41000</v>
      </c>
      <c r="G22" s="21">
        <v>61000</v>
      </c>
      <c r="H22" s="21">
        <v>86000</v>
      </c>
      <c r="I22" s="21">
        <v>99000</v>
      </c>
      <c r="J22" s="21">
        <v>109000</v>
      </c>
      <c r="K22" s="21">
        <v>84000</v>
      </c>
      <c r="L22" s="21">
        <v>114000</v>
      </c>
      <c r="M22" s="6">
        <v>94000</v>
      </c>
      <c r="N22" s="7">
        <v>89000</v>
      </c>
    </row>
    <row r="23" spans="2:17" x14ac:dyDescent="0.25">
      <c r="B23" s="14" t="s">
        <v>67</v>
      </c>
      <c r="C23" s="15">
        <f t="shared" ref="C23:N23" si="6">+SUM(C14:C22)</f>
        <v>280000</v>
      </c>
      <c r="D23" s="15">
        <f t="shared" si="6"/>
        <v>329000</v>
      </c>
      <c r="E23" s="15">
        <f t="shared" si="6"/>
        <v>354000</v>
      </c>
      <c r="F23" s="15">
        <f t="shared" si="6"/>
        <v>396000</v>
      </c>
      <c r="G23" s="15">
        <f t="shared" si="6"/>
        <v>446000</v>
      </c>
      <c r="H23" s="15">
        <f t="shared" si="6"/>
        <v>1011800</v>
      </c>
      <c r="I23" s="15">
        <f t="shared" si="6"/>
        <v>984000</v>
      </c>
      <c r="J23" s="15">
        <f t="shared" si="6"/>
        <v>925000</v>
      </c>
      <c r="K23" s="15">
        <f t="shared" si="6"/>
        <v>1105000</v>
      </c>
      <c r="L23" s="15">
        <f t="shared" si="6"/>
        <v>1716000</v>
      </c>
      <c r="M23" s="15">
        <f t="shared" si="6"/>
        <v>1704000</v>
      </c>
      <c r="N23" s="49">
        <f t="shared" si="6"/>
        <v>1624000</v>
      </c>
    </row>
    <row r="24" spans="2:17" x14ac:dyDescent="0.25">
      <c r="B24" s="22"/>
      <c r="C24" s="23" t="str">
        <f t="shared" ref="C24:N24" si="7">IF(C23=C12,"OK","PROBL")</f>
        <v>OK</v>
      </c>
      <c r="D24" s="23" t="str">
        <f t="shared" si="7"/>
        <v>OK</v>
      </c>
      <c r="E24" s="23" t="str">
        <f t="shared" si="7"/>
        <v>OK</v>
      </c>
      <c r="F24" s="23" t="str">
        <f t="shared" si="7"/>
        <v>OK</v>
      </c>
      <c r="G24" s="23" t="str">
        <f t="shared" si="7"/>
        <v>OK</v>
      </c>
      <c r="H24" s="23" t="str">
        <f t="shared" si="7"/>
        <v>OK</v>
      </c>
      <c r="I24" s="23" t="str">
        <f t="shared" si="7"/>
        <v>OK</v>
      </c>
      <c r="J24" s="23" t="str">
        <f t="shared" si="7"/>
        <v>OK</v>
      </c>
      <c r="K24" s="23" t="str">
        <f t="shared" si="7"/>
        <v>OK</v>
      </c>
      <c r="L24" s="23" t="str">
        <f t="shared" si="7"/>
        <v>OK</v>
      </c>
      <c r="M24" s="23" t="str">
        <f t="shared" si="7"/>
        <v>OK</v>
      </c>
      <c r="N24" s="23" t="str">
        <f t="shared" si="7"/>
        <v>OK</v>
      </c>
    </row>
    <row r="25" spans="2:17" x14ac:dyDescent="0.25">
      <c r="B25" s="22"/>
    </row>
    <row r="26" spans="2:17" ht="18.75" customHeight="1" x14ac:dyDescent="0.25">
      <c r="B26" s="132" t="s">
        <v>73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4"/>
    </row>
    <row r="27" spans="2:17" x14ac:dyDescent="0.25">
      <c r="B27" s="24"/>
      <c r="C27" s="25" t="s">
        <v>74</v>
      </c>
      <c r="D27" s="25" t="s">
        <v>75</v>
      </c>
      <c r="E27" s="25" t="s">
        <v>76</v>
      </c>
      <c r="F27" s="25" t="s">
        <v>77</v>
      </c>
      <c r="G27" s="25" t="s">
        <v>78</v>
      </c>
      <c r="H27" s="25" t="s">
        <v>79</v>
      </c>
      <c r="I27" s="25" t="s">
        <v>80</v>
      </c>
      <c r="J27" s="25" t="s">
        <v>81</v>
      </c>
      <c r="K27" s="25" t="s">
        <v>82</v>
      </c>
      <c r="L27" s="25" t="s">
        <v>117</v>
      </c>
      <c r="M27" s="25" t="s">
        <v>118</v>
      </c>
      <c r="N27" s="26" t="s">
        <v>119</v>
      </c>
    </row>
    <row r="28" spans="2:17" x14ac:dyDescent="0.25">
      <c r="B28" s="27" t="s">
        <v>83</v>
      </c>
      <c r="C28" s="28"/>
      <c r="D28" s="29">
        <v>60000</v>
      </c>
      <c r="E28" s="29">
        <v>150000</v>
      </c>
      <c r="F28" s="29">
        <v>180000</v>
      </c>
      <c r="G28" s="29">
        <v>250000</v>
      </c>
      <c r="H28" s="29">
        <v>300000</v>
      </c>
      <c r="I28" s="29">
        <v>480000</v>
      </c>
      <c r="J28" s="29">
        <f>80000+350000</f>
        <v>430000</v>
      </c>
      <c r="K28" s="29">
        <v>450000</v>
      </c>
      <c r="L28" s="4">
        <v>650000</v>
      </c>
      <c r="M28" s="4">
        <v>800000</v>
      </c>
      <c r="N28" s="5">
        <v>650000</v>
      </c>
    </row>
    <row r="29" spans="2:17" outlineLevel="1" x14ac:dyDescent="0.25">
      <c r="B29" s="30" t="s">
        <v>84</v>
      </c>
      <c r="C29" s="31"/>
      <c r="D29" s="4">
        <v>-40000</v>
      </c>
      <c r="E29" s="4">
        <v>-90000</v>
      </c>
      <c r="F29" s="4">
        <v>-100000</v>
      </c>
      <c r="G29" s="4">
        <v>-150000</v>
      </c>
      <c r="H29" s="4">
        <v>-200000</v>
      </c>
      <c r="I29" s="4">
        <v>-300000</v>
      </c>
      <c r="J29" s="4">
        <f>-70000-280000</f>
        <v>-350000</v>
      </c>
      <c r="K29" s="4">
        <v>-300000</v>
      </c>
      <c r="L29" s="4">
        <v>-400000</v>
      </c>
      <c r="M29" s="4">
        <v>-450000</v>
      </c>
      <c r="N29" s="5">
        <v>-400000</v>
      </c>
    </row>
    <row r="30" spans="2:17" outlineLevel="1" x14ac:dyDescent="0.25">
      <c r="B30" s="27" t="s">
        <v>85</v>
      </c>
      <c r="C30" s="28"/>
      <c r="D30" s="29">
        <f>SUM(D28:D29)</f>
        <v>20000</v>
      </c>
      <c r="E30" s="29">
        <f t="shared" ref="E30:N30" si="8">SUM(E28:E29)</f>
        <v>60000</v>
      </c>
      <c r="F30" s="29">
        <f t="shared" si="8"/>
        <v>80000</v>
      </c>
      <c r="G30" s="29">
        <f t="shared" si="8"/>
        <v>100000</v>
      </c>
      <c r="H30" s="29">
        <f t="shared" si="8"/>
        <v>100000</v>
      </c>
      <c r="I30" s="29">
        <f t="shared" si="8"/>
        <v>180000</v>
      </c>
      <c r="J30" s="29">
        <f t="shared" si="8"/>
        <v>80000</v>
      </c>
      <c r="K30" s="29">
        <f t="shared" si="8"/>
        <v>150000</v>
      </c>
      <c r="L30" s="29">
        <f t="shared" si="8"/>
        <v>250000</v>
      </c>
      <c r="M30" s="29">
        <f t="shared" si="8"/>
        <v>350000</v>
      </c>
      <c r="N30" s="51">
        <f t="shared" si="8"/>
        <v>250000</v>
      </c>
    </row>
    <row r="31" spans="2:17" outlineLevel="1" x14ac:dyDescent="0.25">
      <c r="B31" s="30" t="s">
        <v>86</v>
      </c>
      <c r="C31" s="31"/>
      <c r="D31" s="4">
        <v>-8000</v>
      </c>
      <c r="E31" s="4">
        <v>-23000</v>
      </c>
      <c r="F31" s="4">
        <v>-30000</v>
      </c>
      <c r="G31" s="4">
        <v>-50000</v>
      </c>
      <c r="H31" s="4">
        <v>-45800</v>
      </c>
      <c r="I31" s="4">
        <v>-110000</v>
      </c>
      <c r="J31" s="4">
        <v>-16000</v>
      </c>
      <c r="K31" s="4">
        <v>-86000</v>
      </c>
      <c r="L31" s="4">
        <v>-164500</v>
      </c>
      <c r="M31" s="4">
        <v>-150000</v>
      </c>
      <c r="N31" s="5">
        <v>-48750</v>
      </c>
      <c r="P31" s="8">
        <f>SUM(D31:O31)</f>
        <v>-732050</v>
      </c>
      <c r="Q31" s="64"/>
    </row>
    <row r="32" spans="2:17" outlineLevel="1" x14ac:dyDescent="0.25">
      <c r="B32" s="30" t="s">
        <v>87</v>
      </c>
      <c r="C32" s="31"/>
      <c r="D32" s="4"/>
      <c r="E32" s="4">
        <v>-20000</v>
      </c>
      <c r="F32" s="4">
        <v>-25000</v>
      </c>
      <c r="G32" s="4">
        <v>-25000</v>
      </c>
      <c r="H32" s="4">
        <v>-25000</v>
      </c>
      <c r="I32" s="4">
        <v>-35000</v>
      </c>
      <c r="J32" s="4">
        <v>-25000</v>
      </c>
      <c r="K32" s="4">
        <v>-25000</v>
      </c>
      <c r="L32" s="4">
        <v>-30000</v>
      </c>
      <c r="M32" s="4">
        <v>-30000</v>
      </c>
      <c r="N32" s="5">
        <v>-30000</v>
      </c>
    </row>
    <row r="33" spans="2:16" outlineLevel="1" x14ac:dyDescent="0.25">
      <c r="B33" s="30" t="s">
        <v>88</v>
      </c>
      <c r="C33" s="28"/>
      <c r="D33" s="4"/>
      <c r="E33" s="4">
        <v>-3000</v>
      </c>
      <c r="F33" s="4">
        <v>-3000</v>
      </c>
      <c r="G33" s="4">
        <v>-3000</v>
      </c>
      <c r="H33" s="4">
        <v>-3000</v>
      </c>
      <c r="I33" s="4">
        <v>-9000</v>
      </c>
      <c r="J33" s="4">
        <v>-9000</v>
      </c>
      <c r="K33" s="4">
        <v>-9000</v>
      </c>
      <c r="L33" s="4">
        <v>-9000</v>
      </c>
      <c r="M33" s="4">
        <v>-9000</v>
      </c>
      <c r="N33" s="5">
        <v>-9000</v>
      </c>
    </row>
    <row r="34" spans="2:16" outlineLevel="1" x14ac:dyDescent="0.25">
      <c r="B34" s="30" t="s">
        <v>89</v>
      </c>
      <c r="C34" s="28"/>
      <c r="D34" s="4">
        <v>-3000</v>
      </c>
      <c r="E34" s="4">
        <v>-2000</v>
      </c>
      <c r="F34" s="4">
        <v>-2000</v>
      </c>
      <c r="G34" s="4">
        <v>-2000</v>
      </c>
      <c r="H34" s="4">
        <v>-1200</v>
      </c>
      <c r="I34" s="4">
        <v>-8000</v>
      </c>
      <c r="J34" s="4">
        <v>-4000</v>
      </c>
      <c r="K34" s="4">
        <v>-4000</v>
      </c>
      <c r="L34" s="4">
        <v>-8000</v>
      </c>
      <c r="M34" s="4">
        <v>0</v>
      </c>
      <c r="N34" s="5">
        <v>0</v>
      </c>
    </row>
    <row r="35" spans="2:16" outlineLevel="1" x14ac:dyDescent="0.25">
      <c r="B35" s="30" t="s">
        <v>120</v>
      </c>
      <c r="C35" s="28"/>
      <c r="D35" s="4"/>
      <c r="E35" s="4"/>
      <c r="F35" s="4"/>
      <c r="G35" s="4"/>
      <c r="H35" s="4"/>
      <c r="I35" s="4"/>
      <c r="J35" s="4">
        <v>-1000</v>
      </c>
      <c r="K35" s="4">
        <v>-1000</v>
      </c>
      <c r="L35" s="4">
        <v>-1000</v>
      </c>
      <c r="M35" s="4">
        <v>-1000</v>
      </c>
      <c r="N35" s="5">
        <v>-1000</v>
      </c>
    </row>
    <row r="36" spans="2:16" outlineLevel="1" x14ac:dyDescent="0.25">
      <c r="B36" s="30" t="s">
        <v>122</v>
      </c>
      <c r="C36" s="28"/>
      <c r="D36" s="4"/>
      <c r="E36" s="4"/>
      <c r="F36" s="4"/>
      <c r="G36" s="4"/>
      <c r="H36" s="4"/>
      <c r="I36" s="4"/>
      <c r="J36" s="4"/>
      <c r="K36" s="4"/>
      <c r="L36" s="4"/>
      <c r="M36" s="4">
        <f>-M28*20%</f>
        <v>-160000</v>
      </c>
      <c r="N36" s="5">
        <f>-N28*20%</f>
        <v>-130000</v>
      </c>
    </row>
    <row r="37" spans="2:16" outlineLevel="1" x14ac:dyDescent="0.25">
      <c r="B37" s="30" t="s">
        <v>90</v>
      </c>
      <c r="C37" s="28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</row>
    <row r="38" spans="2:16" outlineLevel="1" x14ac:dyDescent="0.25">
      <c r="B38" s="30" t="s">
        <v>121</v>
      </c>
      <c r="C38" s="31"/>
      <c r="D38" s="4"/>
      <c r="E38" s="4"/>
      <c r="F38" s="4"/>
      <c r="G38" s="4"/>
      <c r="H38" s="4"/>
      <c r="I38" s="4"/>
      <c r="J38" s="4"/>
      <c r="K38" s="4"/>
      <c r="L38" s="4">
        <f>-SUM(L30:L37)*20%</f>
        <v>-7500</v>
      </c>
      <c r="M38" s="4">
        <f>-SUM(M30:M37)*20%</f>
        <v>0</v>
      </c>
      <c r="N38" s="5">
        <f>-SUM(N30:N37)*20%</f>
        <v>-6250</v>
      </c>
    </row>
    <row r="39" spans="2:16" x14ac:dyDescent="0.25">
      <c r="B39" s="32" t="s">
        <v>91</v>
      </c>
      <c r="C39" s="33"/>
      <c r="D39" s="34">
        <f>SUM(D30:D38)</f>
        <v>9000</v>
      </c>
      <c r="E39" s="34">
        <f t="shared" ref="E39:N39" si="9">SUM(E30:E38)</f>
        <v>12000</v>
      </c>
      <c r="F39" s="34">
        <f t="shared" si="9"/>
        <v>20000</v>
      </c>
      <c r="G39" s="34">
        <f t="shared" si="9"/>
        <v>20000</v>
      </c>
      <c r="H39" s="34">
        <f t="shared" si="9"/>
        <v>25000</v>
      </c>
      <c r="I39" s="34">
        <f t="shared" si="9"/>
        <v>18000</v>
      </c>
      <c r="J39" s="34">
        <f t="shared" si="9"/>
        <v>25000</v>
      </c>
      <c r="K39" s="34">
        <f t="shared" si="9"/>
        <v>25000</v>
      </c>
      <c r="L39" s="34">
        <f t="shared" si="9"/>
        <v>30000</v>
      </c>
      <c r="M39" s="34">
        <f t="shared" si="9"/>
        <v>0</v>
      </c>
      <c r="N39" s="35">
        <f t="shared" si="9"/>
        <v>25000</v>
      </c>
      <c r="P39" s="8">
        <f>SUM(D39:O39)-307000</f>
        <v>-98000</v>
      </c>
    </row>
    <row r="41" spans="2:16" hidden="1" x14ac:dyDescent="0.25"/>
    <row r="42" spans="2:16" ht="18.75" hidden="1" customHeight="1" x14ac:dyDescent="0.25">
      <c r="B42" s="132" t="s">
        <v>92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4"/>
    </row>
    <row r="43" spans="2:16" hidden="1" x14ac:dyDescent="0.25">
      <c r="B43" s="24"/>
      <c r="C43" s="25" t="str">
        <f t="shared" ref="C43:N43" si="10">+C27</f>
        <v>JAN</v>
      </c>
      <c r="D43" s="25" t="str">
        <f t="shared" si="10"/>
        <v>FEV</v>
      </c>
      <c r="E43" s="25" t="str">
        <f t="shared" si="10"/>
        <v>MAR</v>
      </c>
      <c r="F43" s="25" t="str">
        <f t="shared" si="10"/>
        <v>ABR</v>
      </c>
      <c r="G43" s="25" t="str">
        <f t="shared" si="10"/>
        <v>MAI</v>
      </c>
      <c r="H43" s="25" t="str">
        <f t="shared" si="10"/>
        <v>JUN</v>
      </c>
      <c r="I43" s="25" t="str">
        <f t="shared" si="10"/>
        <v>JUL</v>
      </c>
      <c r="J43" s="25" t="str">
        <f t="shared" si="10"/>
        <v>AGO</v>
      </c>
      <c r="K43" s="25" t="str">
        <f t="shared" si="10"/>
        <v>SET</v>
      </c>
      <c r="L43" s="25" t="str">
        <f t="shared" si="10"/>
        <v>OUT</v>
      </c>
      <c r="M43" s="25" t="str">
        <f t="shared" si="10"/>
        <v>NOV</v>
      </c>
      <c r="N43" s="26" t="str">
        <f t="shared" si="10"/>
        <v>DEZ</v>
      </c>
    </row>
    <row r="44" spans="2:16" hidden="1" x14ac:dyDescent="0.25">
      <c r="B44" s="27" t="s">
        <v>93</v>
      </c>
      <c r="C44" s="29">
        <f>0</f>
        <v>0</v>
      </c>
      <c r="D44" s="29">
        <v>100000</v>
      </c>
      <c r="E44" s="29">
        <v>100000</v>
      </c>
      <c r="F44" s="29">
        <v>100000</v>
      </c>
      <c r="G44" s="29">
        <v>100000</v>
      </c>
      <c r="H44" s="29">
        <v>100000</v>
      </c>
      <c r="I44" s="29">
        <v>100000</v>
      </c>
      <c r="J44" s="29">
        <v>100000</v>
      </c>
      <c r="K44" s="29">
        <v>100000</v>
      </c>
      <c r="L44" s="29">
        <v>100000</v>
      </c>
      <c r="M44" s="29">
        <v>900000</v>
      </c>
      <c r="N44" s="51">
        <v>900000</v>
      </c>
    </row>
    <row r="45" spans="2:16" hidden="1" outlineLevel="1" x14ac:dyDescent="0.25">
      <c r="B45" s="30" t="s">
        <v>94</v>
      </c>
      <c r="C45" s="4">
        <f>C21</f>
        <v>100000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800000</v>
      </c>
      <c r="M45" s="4">
        <v>0</v>
      </c>
      <c r="N45" s="5">
        <v>0</v>
      </c>
    </row>
    <row r="46" spans="2:16" hidden="1" outlineLevel="1" x14ac:dyDescent="0.25">
      <c r="B46" s="30" t="s">
        <v>95</v>
      </c>
      <c r="C46" s="4">
        <f>C39</f>
        <v>0</v>
      </c>
      <c r="D46" s="4">
        <f t="shared" ref="D46:N46" si="11">D39</f>
        <v>9000</v>
      </c>
      <c r="E46" s="4">
        <f t="shared" si="11"/>
        <v>12000</v>
      </c>
      <c r="F46" s="4">
        <f t="shared" si="11"/>
        <v>20000</v>
      </c>
      <c r="G46" s="4">
        <f t="shared" si="11"/>
        <v>20000</v>
      </c>
      <c r="H46" s="4">
        <f t="shared" si="11"/>
        <v>25000</v>
      </c>
      <c r="I46" s="4">
        <f t="shared" si="11"/>
        <v>18000</v>
      </c>
      <c r="J46" s="4">
        <f t="shared" si="11"/>
        <v>25000</v>
      </c>
      <c r="K46" s="4">
        <f t="shared" si="11"/>
        <v>25000</v>
      </c>
      <c r="L46" s="4">
        <f t="shared" si="11"/>
        <v>30000</v>
      </c>
      <c r="M46" s="4">
        <f t="shared" si="11"/>
        <v>0</v>
      </c>
      <c r="N46" s="5">
        <f t="shared" si="11"/>
        <v>25000</v>
      </c>
    </row>
    <row r="47" spans="2:16" hidden="1" outlineLevel="1" x14ac:dyDescent="0.25">
      <c r="B47" s="30" t="s">
        <v>96</v>
      </c>
      <c r="C47" s="4">
        <f>-C19</f>
        <v>0</v>
      </c>
      <c r="D47" s="4">
        <f t="shared" ref="D47:N47" si="12">-D19</f>
        <v>0</v>
      </c>
      <c r="E47" s="4">
        <f t="shared" si="12"/>
        <v>0</v>
      </c>
      <c r="F47" s="4">
        <f t="shared" si="12"/>
        <v>0</v>
      </c>
      <c r="G47" s="4">
        <f t="shared" si="12"/>
        <v>0</v>
      </c>
      <c r="H47" s="4">
        <f t="shared" si="12"/>
        <v>0</v>
      </c>
      <c r="I47" s="4">
        <f t="shared" si="12"/>
        <v>0</v>
      </c>
      <c r="J47" s="4">
        <f t="shared" si="12"/>
        <v>-15000</v>
      </c>
      <c r="K47" s="4">
        <f t="shared" si="12"/>
        <v>-50000</v>
      </c>
      <c r="L47" s="4">
        <f t="shared" si="12"/>
        <v>0</v>
      </c>
      <c r="M47" s="4">
        <f t="shared" si="12"/>
        <v>-20000</v>
      </c>
      <c r="N47" s="5">
        <f t="shared" si="12"/>
        <v>-30000</v>
      </c>
    </row>
    <row r="48" spans="2:16" hidden="1" collapsed="1" x14ac:dyDescent="0.25">
      <c r="B48" s="32" t="s">
        <v>97</v>
      </c>
      <c r="C48" s="34">
        <f>SUM(C44:C47)</f>
        <v>100000</v>
      </c>
      <c r="D48" s="34">
        <f t="shared" ref="D48:N48" si="13">SUM(D44:D47)</f>
        <v>109000</v>
      </c>
      <c r="E48" s="34">
        <f t="shared" si="13"/>
        <v>112000</v>
      </c>
      <c r="F48" s="34">
        <f t="shared" si="13"/>
        <v>120000</v>
      </c>
      <c r="G48" s="34">
        <f t="shared" si="13"/>
        <v>120000</v>
      </c>
      <c r="H48" s="34">
        <f t="shared" si="13"/>
        <v>125000</v>
      </c>
      <c r="I48" s="34">
        <f t="shared" si="13"/>
        <v>118000</v>
      </c>
      <c r="J48" s="34">
        <f t="shared" si="13"/>
        <v>110000</v>
      </c>
      <c r="K48" s="34">
        <f t="shared" si="13"/>
        <v>75000</v>
      </c>
      <c r="L48" s="34">
        <f t="shared" si="13"/>
        <v>930000</v>
      </c>
      <c r="M48" s="34">
        <f t="shared" si="13"/>
        <v>880000</v>
      </c>
      <c r="N48" s="35">
        <f t="shared" si="13"/>
        <v>895000</v>
      </c>
      <c r="P48" s="8">
        <f>AVERAGE(C48:N48)</f>
        <v>307833.33333333331</v>
      </c>
    </row>
    <row r="49" spans="2:14" hidden="1" x14ac:dyDescent="0.25"/>
    <row r="50" spans="2:14" hidden="1" x14ac:dyDescent="0.25"/>
    <row r="51" spans="2:14" ht="18.75" hidden="1" customHeight="1" x14ac:dyDescent="0.25">
      <c r="B51" s="132" t="s">
        <v>98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4"/>
    </row>
    <row r="52" spans="2:14" hidden="1" x14ac:dyDescent="0.25">
      <c r="B52" s="52"/>
      <c r="C52" s="53" t="str">
        <f>+C43</f>
        <v>JAN</v>
      </c>
      <c r="D52" s="53" t="str">
        <f t="shared" ref="D52:N52" si="14">+D43</f>
        <v>FEV</v>
      </c>
      <c r="E52" s="53" t="str">
        <f t="shared" si="14"/>
        <v>MAR</v>
      </c>
      <c r="F52" s="53" t="str">
        <f t="shared" si="14"/>
        <v>ABR</v>
      </c>
      <c r="G52" s="53" t="str">
        <f t="shared" si="14"/>
        <v>MAI</v>
      </c>
      <c r="H52" s="53" t="str">
        <f t="shared" si="14"/>
        <v>JUN</v>
      </c>
      <c r="I52" s="53" t="str">
        <f t="shared" si="14"/>
        <v>JUL</v>
      </c>
      <c r="J52" s="53" t="str">
        <f t="shared" si="14"/>
        <v>AGO</v>
      </c>
      <c r="K52" s="53" t="str">
        <f t="shared" si="14"/>
        <v>SET</v>
      </c>
      <c r="L52" s="53" t="str">
        <f t="shared" si="14"/>
        <v>OUT</v>
      </c>
      <c r="M52" s="53" t="str">
        <f t="shared" si="14"/>
        <v>NOV</v>
      </c>
      <c r="N52" s="54" t="str">
        <f t="shared" si="14"/>
        <v>DEZ</v>
      </c>
    </row>
    <row r="53" spans="2:14" hidden="1" x14ac:dyDescent="0.25">
      <c r="B53" s="36" t="s">
        <v>99</v>
      </c>
      <c r="C53" s="59"/>
      <c r="D53" s="59"/>
      <c r="E53" s="59"/>
      <c r="F53" s="59"/>
      <c r="G53" s="59"/>
      <c r="H53" s="37"/>
      <c r="I53" s="37"/>
      <c r="J53" s="37"/>
      <c r="K53" s="37"/>
      <c r="L53" s="59"/>
      <c r="M53" s="59"/>
      <c r="N53" s="60"/>
    </row>
    <row r="54" spans="2:14" hidden="1" outlineLevel="1" x14ac:dyDescent="0.25">
      <c r="B54" s="30" t="s">
        <v>100</v>
      </c>
      <c r="C54" s="4">
        <v>0</v>
      </c>
      <c r="D54" s="4">
        <v>50000</v>
      </c>
      <c r="E54" s="4">
        <f>10000+130000</f>
        <v>140000</v>
      </c>
      <c r="F54" s="4">
        <f>20000+130000</f>
        <v>150000</v>
      </c>
      <c r="G54" s="4">
        <f>50000+200000</f>
        <v>250000</v>
      </c>
      <c r="H54" s="4">
        <f>30000+200000</f>
        <v>230000</v>
      </c>
      <c r="I54" s="4">
        <f>120000+400000+80000</f>
        <v>600000</v>
      </c>
      <c r="J54" s="4">
        <f>80000+300000</f>
        <v>380000</v>
      </c>
      <c r="K54" s="4">
        <v>350000</v>
      </c>
      <c r="L54" s="4">
        <f>450000+150000</f>
        <v>600000</v>
      </c>
      <c r="M54" s="4">
        <f>200000+500000</f>
        <v>700000</v>
      </c>
      <c r="N54" s="5">
        <f>300000+450000</f>
        <v>750000</v>
      </c>
    </row>
    <row r="55" spans="2:14" hidden="1" outlineLevel="1" x14ac:dyDescent="0.25">
      <c r="B55" s="30" t="s">
        <v>101</v>
      </c>
      <c r="C55" s="4">
        <v>-20000</v>
      </c>
      <c r="D55" s="4">
        <f>-10000-30000</f>
        <v>-40000</v>
      </c>
      <c r="E55" s="4">
        <f>-70000-10000</f>
        <v>-80000</v>
      </c>
      <c r="F55" s="4">
        <f>-90000-50000</f>
        <v>-140000</v>
      </c>
      <c r="G55" s="4">
        <f>-100000-50000</f>
        <v>-150000</v>
      </c>
      <c r="H55" s="4">
        <f>-105000-50000</f>
        <v>-155000</v>
      </c>
      <c r="I55" s="4">
        <f>-295000-150000</f>
        <v>-445000</v>
      </c>
      <c r="J55" s="4">
        <v>-200000</v>
      </c>
      <c r="K55" s="4">
        <v>-300000</v>
      </c>
      <c r="L55" s="4">
        <v>-400000</v>
      </c>
      <c r="M55" s="4">
        <v>-500000</v>
      </c>
      <c r="N55" s="5">
        <v>-500000</v>
      </c>
    </row>
    <row r="56" spans="2:14" hidden="1" outlineLevel="1" x14ac:dyDescent="0.25">
      <c r="B56" s="30" t="s">
        <v>102</v>
      </c>
      <c r="C56" s="4">
        <v>0</v>
      </c>
      <c r="D56" s="4">
        <v>-8000</v>
      </c>
      <c r="E56" s="4"/>
      <c r="F56" s="4">
        <v>-43000</v>
      </c>
      <c r="G56" s="4">
        <v>-55000</v>
      </c>
      <c r="H56" s="4">
        <v>-75000</v>
      </c>
      <c r="I56" s="4">
        <f>-70800-12000</f>
        <v>-82800</v>
      </c>
      <c r="J56" s="4">
        <v>-145000</v>
      </c>
      <c r="K56" s="4">
        <v>-41000</v>
      </c>
      <c r="L56" s="4">
        <v>-111000</v>
      </c>
      <c r="M56" s="4">
        <v>-194500</v>
      </c>
      <c r="N56" s="5">
        <f>-180000-100000</f>
        <v>-280000</v>
      </c>
    </row>
    <row r="57" spans="2:14" hidden="1" outlineLevel="1" x14ac:dyDescent="0.25">
      <c r="B57" s="30" t="s">
        <v>222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>
        <v>-7500</v>
      </c>
      <c r="N57" s="5"/>
    </row>
    <row r="58" spans="2:14" hidden="1" outlineLevel="1" x14ac:dyDescent="0.25">
      <c r="B58" s="30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</row>
    <row r="59" spans="2:14" hidden="1" collapsed="1" x14ac:dyDescent="0.25">
      <c r="B59" s="32" t="s">
        <v>67</v>
      </c>
      <c r="C59" s="34">
        <f>+SUM(C55:C58)</f>
        <v>-20000</v>
      </c>
      <c r="D59" s="34">
        <f t="shared" ref="D59:H59" si="15">+SUM(D54:D58)</f>
        <v>2000</v>
      </c>
      <c r="E59" s="34">
        <f t="shared" si="15"/>
        <v>60000</v>
      </c>
      <c r="F59" s="34">
        <f t="shared" si="15"/>
        <v>-33000</v>
      </c>
      <c r="G59" s="34">
        <f t="shared" si="15"/>
        <v>45000</v>
      </c>
      <c r="H59" s="34">
        <f t="shared" si="15"/>
        <v>0</v>
      </c>
      <c r="I59" s="34">
        <f>+SUM(I54:I58)</f>
        <v>72200</v>
      </c>
      <c r="J59" s="62">
        <f t="shared" ref="J59:N59" si="16">+SUM(J54:J58)</f>
        <v>35000</v>
      </c>
      <c r="K59" s="62">
        <f t="shared" si="16"/>
        <v>9000</v>
      </c>
      <c r="L59" s="62">
        <f t="shared" si="16"/>
        <v>89000</v>
      </c>
      <c r="M59" s="62">
        <f t="shared" si="16"/>
        <v>-2000</v>
      </c>
      <c r="N59" s="63">
        <f t="shared" si="16"/>
        <v>-30000</v>
      </c>
    </row>
    <row r="60" spans="2:14" hidden="1" x14ac:dyDescent="0.25">
      <c r="B60" s="36" t="s">
        <v>103</v>
      </c>
      <c r="C60" s="59"/>
      <c r="D60" s="59"/>
      <c r="E60" s="59"/>
      <c r="F60" s="59"/>
      <c r="G60" s="59"/>
      <c r="H60" s="37"/>
      <c r="I60" s="37"/>
      <c r="J60" s="37"/>
      <c r="K60" s="37"/>
      <c r="L60" s="59"/>
      <c r="M60" s="4"/>
      <c r="N60" s="5"/>
    </row>
    <row r="61" spans="2:14" hidden="1" outlineLevel="1" x14ac:dyDescent="0.25">
      <c r="B61" s="30" t="s">
        <v>111</v>
      </c>
      <c r="C61" s="4">
        <v>-20000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</row>
    <row r="62" spans="2:14" hidden="1" outlineLevel="1" x14ac:dyDescent="0.25">
      <c r="B62" s="30" t="s">
        <v>112</v>
      </c>
      <c r="C62" s="4"/>
      <c r="D62" s="4">
        <v>-180000</v>
      </c>
      <c r="E62" s="4"/>
      <c r="F62" s="4"/>
      <c r="G62" s="4"/>
      <c r="H62" s="4">
        <v>-360000</v>
      </c>
      <c r="I62" s="4"/>
      <c r="J62" s="4"/>
      <c r="K62" s="4"/>
      <c r="L62" s="4"/>
      <c r="M62" s="4"/>
      <c r="N62" s="5"/>
    </row>
    <row r="63" spans="2:14" hidden="1" outlineLevel="1" x14ac:dyDescent="0.25">
      <c r="B63" s="30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</row>
    <row r="64" spans="2:14" hidden="1" outlineLevel="1" x14ac:dyDescent="0.25">
      <c r="B64" s="32" t="s">
        <v>67</v>
      </c>
      <c r="C64" s="34">
        <f>SUM(C61:C63)</f>
        <v>-20000</v>
      </c>
      <c r="D64" s="34">
        <f t="shared" ref="D64:N64" si="17">SUM(D61:D63)</f>
        <v>-180000</v>
      </c>
      <c r="E64" s="34">
        <f t="shared" si="17"/>
        <v>0</v>
      </c>
      <c r="F64" s="34">
        <f t="shared" si="17"/>
        <v>0</v>
      </c>
      <c r="G64" s="34">
        <f t="shared" si="17"/>
        <v>0</v>
      </c>
      <c r="H64" s="34">
        <f t="shared" si="17"/>
        <v>-360000</v>
      </c>
      <c r="I64" s="34">
        <f t="shared" si="17"/>
        <v>0</v>
      </c>
      <c r="J64" s="34">
        <f t="shared" si="17"/>
        <v>0</v>
      </c>
      <c r="K64" s="34">
        <f t="shared" si="17"/>
        <v>0</v>
      </c>
      <c r="L64" s="34">
        <f t="shared" si="17"/>
        <v>0</v>
      </c>
      <c r="M64" s="34">
        <f t="shared" si="17"/>
        <v>0</v>
      </c>
      <c r="N64" s="35">
        <f t="shared" si="17"/>
        <v>0</v>
      </c>
    </row>
    <row r="65" spans="2:14" hidden="1" collapsed="1" x14ac:dyDescent="0.25">
      <c r="B65" s="36" t="s">
        <v>104</v>
      </c>
      <c r="C65" s="59"/>
      <c r="D65" s="59"/>
      <c r="E65" s="59"/>
      <c r="F65" s="59"/>
      <c r="G65" s="59"/>
      <c r="H65" s="37"/>
      <c r="I65" s="37"/>
      <c r="J65" s="37"/>
      <c r="K65" s="37"/>
      <c r="L65" s="59"/>
      <c r="M65" s="4"/>
      <c r="N65" s="5"/>
    </row>
    <row r="66" spans="2:14" hidden="1" x14ac:dyDescent="0.25">
      <c r="B66" s="30" t="s">
        <v>105</v>
      </c>
      <c r="C66" s="4">
        <v>150000</v>
      </c>
      <c r="D66" s="4"/>
      <c r="E66" s="4">
        <v>-50000</v>
      </c>
      <c r="F66" s="4"/>
      <c r="G66" s="4">
        <v>-40000</v>
      </c>
      <c r="H66" s="4">
        <v>400000</v>
      </c>
      <c r="I66" s="4">
        <v>-100000</v>
      </c>
      <c r="J66" s="4"/>
      <c r="K66" s="4"/>
      <c r="L66" s="4">
        <v>-360000</v>
      </c>
      <c r="M66" s="4"/>
      <c r="N66" s="5"/>
    </row>
    <row r="67" spans="2:14" hidden="1" outlineLevel="1" x14ac:dyDescent="0.25">
      <c r="B67" s="30" t="s">
        <v>113</v>
      </c>
      <c r="C67" s="4">
        <v>100000</v>
      </c>
      <c r="D67" s="4"/>
      <c r="E67" s="4"/>
      <c r="F67" s="4"/>
      <c r="G67" s="4"/>
      <c r="H67" s="4"/>
      <c r="I67" s="4"/>
      <c r="J67" s="4"/>
      <c r="K67" s="4"/>
      <c r="L67" s="4">
        <v>800000</v>
      </c>
      <c r="M67" s="4"/>
      <c r="N67" s="5"/>
    </row>
    <row r="68" spans="2:14" hidden="1" outlineLevel="1" x14ac:dyDescent="0.25">
      <c r="B68" s="30" t="s">
        <v>106</v>
      </c>
      <c r="C68" s="4"/>
      <c r="D68" s="4">
        <v>-3000</v>
      </c>
      <c r="E68" s="4">
        <v>-2000</v>
      </c>
      <c r="F68" s="4">
        <v>-2000</v>
      </c>
      <c r="G68" s="4">
        <v>-2000</v>
      </c>
      <c r="H68" s="4">
        <v>-1200</v>
      </c>
      <c r="I68" s="4">
        <v>-8000</v>
      </c>
      <c r="J68" s="4">
        <v>-4000</v>
      </c>
      <c r="K68" s="4">
        <v>-4000</v>
      </c>
      <c r="L68" s="4">
        <v>-8000</v>
      </c>
      <c r="M68" s="4">
        <v>0</v>
      </c>
      <c r="N68" s="5">
        <v>0</v>
      </c>
    </row>
    <row r="69" spans="2:14" hidden="1" outlineLevel="1" x14ac:dyDescent="0.25">
      <c r="B69" s="30" t="s">
        <v>123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"/>
    </row>
    <row r="70" spans="2:14" hidden="1" outlineLevel="1" x14ac:dyDescent="0.25">
      <c r="B70" s="30" t="s">
        <v>96</v>
      </c>
      <c r="C70" s="4"/>
      <c r="D70" s="4"/>
      <c r="E70" s="4"/>
      <c r="F70" s="4"/>
      <c r="G70" s="4"/>
      <c r="H70" s="4"/>
      <c r="I70" s="4">
        <v>-5000</v>
      </c>
      <c r="J70" s="4"/>
      <c r="K70" s="4">
        <v>-15000</v>
      </c>
      <c r="L70" s="4">
        <v>-50000</v>
      </c>
      <c r="M70" s="4"/>
      <c r="N70" s="5">
        <v>-20000</v>
      </c>
    </row>
    <row r="71" spans="2:14" hidden="1" collapsed="1" x14ac:dyDescent="0.25">
      <c r="B71" s="32" t="s">
        <v>67</v>
      </c>
      <c r="C71" s="34">
        <f>SUM(C66:C70)</f>
        <v>250000</v>
      </c>
      <c r="D71" s="34">
        <f t="shared" ref="D71:N71" si="18">SUM(D66:D70)</f>
        <v>-3000</v>
      </c>
      <c r="E71" s="34">
        <f t="shared" si="18"/>
        <v>-52000</v>
      </c>
      <c r="F71" s="34">
        <f t="shared" si="18"/>
        <v>-2000</v>
      </c>
      <c r="G71" s="34">
        <f t="shared" si="18"/>
        <v>-42000</v>
      </c>
      <c r="H71" s="34">
        <f t="shared" si="18"/>
        <v>398800</v>
      </c>
      <c r="I71" s="34">
        <f t="shared" si="18"/>
        <v>-113000</v>
      </c>
      <c r="J71" s="34">
        <f t="shared" si="18"/>
        <v>-4000</v>
      </c>
      <c r="K71" s="34">
        <f t="shared" si="18"/>
        <v>-19000</v>
      </c>
      <c r="L71" s="34">
        <f t="shared" si="18"/>
        <v>382000</v>
      </c>
      <c r="M71" s="34">
        <f t="shared" si="18"/>
        <v>0</v>
      </c>
      <c r="N71" s="35">
        <f t="shared" si="18"/>
        <v>-20000</v>
      </c>
    </row>
    <row r="72" spans="2:14" hidden="1" x14ac:dyDescent="0.25">
      <c r="B72" s="32" t="s">
        <v>107</v>
      </c>
      <c r="C72" s="34">
        <f>C59+C64+C71</f>
        <v>210000</v>
      </c>
      <c r="D72" s="34">
        <f t="shared" ref="D72:N72" si="19">D59+D64+D71</f>
        <v>-181000</v>
      </c>
      <c r="E72" s="34">
        <f t="shared" si="19"/>
        <v>8000</v>
      </c>
      <c r="F72" s="34">
        <f t="shared" si="19"/>
        <v>-35000</v>
      </c>
      <c r="G72" s="34">
        <f t="shared" si="19"/>
        <v>3000</v>
      </c>
      <c r="H72" s="34">
        <f t="shared" si="19"/>
        <v>38800</v>
      </c>
      <c r="I72" s="34">
        <f t="shared" si="19"/>
        <v>-40800</v>
      </c>
      <c r="J72" s="34">
        <f>J59+J64+J71</f>
        <v>31000</v>
      </c>
      <c r="K72" s="34">
        <f t="shared" si="19"/>
        <v>-10000</v>
      </c>
      <c r="L72" s="34">
        <f t="shared" si="19"/>
        <v>471000</v>
      </c>
      <c r="M72" s="34">
        <f t="shared" si="19"/>
        <v>-2000</v>
      </c>
      <c r="N72" s="35">
        <f t="shared" si="19"/>
        <v>-50000</v>
      </c>
    </row>
    <row r="73" spans="2:14" hidden="1" x14ac:dyDescent="0.25">
      <c r="B73" s="38" t="s">
        <v>108</v>
      </c>
      <c r="C73" s="19">
        <v>0</v>
      </c>
      <c r="D73" s="19">
        <f>C74</f>
        <v>210000</v>
      </c>
      <c r="E73" s="19">
        <f t="shared" ref="E73:N73" si="20">D74</f>
        <v>29000</v>
      </c>
      <c r="F73" s="19">
        <f t="shared" si="20"/>
        <v>37000</v>
      </c>
      <c r="G73" s="19">
        <f t="shared" si="20"/>
        <v>2000</v>
      </c>
      <c r="H73" s="19">
        <f t="shared" si="20"/>
        <v>5000</v>
      </c>
      <c r="I73" s="19">
        <f t="shared" si="20"/>
        <v>43800</v>
      </c>
      <c r="J73" s="19">
        <f t="shared" si="20"/>
        <v>3000</v>
      </c>
      <c r="K73" s="19">
        <f t="shared" si="20"/>
        <v>34000</v>
      </c>
      <c r="L73" s="19">
        <f t="shared" si="20"/>
        <v>24000</v>
      </c>
      <c r="M73" s="19">
        <f t="shared" si="20"/>
        <v>495000</v>
      </c>
      <c r="N73" s="19">
        <f t="shared" si="20"/>
        <v>493000</v>
      </c>
    </row>
    <row r="74" spans="2:14" hidden="1" x14ac:dyDescent="0.25">
      <c r="B74" s="40" t="s">
        <v>109</v>
      </c>
      <c r="C74" s="13">
        <v>210000</v>
      </c>
      <c r="D74" s="13">
        <v>29000</v>
      </c>
      <c r="E74" s="13">
        <v>37000</v>
      </c>
      <c r="F74" s="13">
        <v>2000</v>
      </c>
      <c r="G74" s="13">
        <v>5000</v>
      </c>
      <c r="H74" s="13">
        <v>43800</v>
      </c>
      <c r="I74" s="13">
        <v>3000</v>
      </c>
      <c r="J74" s="13">
        <v>34000</v>
      </c>
      <c r="K74" s="13">
        <v>24000</v>
      </c>
      <c r="L74" s="13">
        <v>495000</v>
      </c>
      <c r="M74" s="13">
        <v>493000</v>
      </c>
      <c r="N74" s="41">
        <v>443000</v>
      </c>
    </row>
    <row r="75" spans="2:14" hidden="1" x14ac:dyDescent="0.25">
      <c r="B75" s="42" t="s">
        <v>107</v>
      </c>
      <c r="C75" s="34">
        <f>C74-C73</f>
        <v>210000</v>
      </c>
      <c r="D75" s="34">
        <f t="shared" ref="D75:N75" si="21">D74-D73</f>
        <v>-181000</v>
      </c>
      <c r="E75" s="34">
        <f t="shared" si="21"/>
        <v>8000</v>
      </c>
      <c r="F75" s="34">
        <f t="shared" si="21"/>
        <v>-35000</v>
      </c>
      <c r="G75" s="34">
        <f t="shared" si="21"/>
        <v>3000</v>
      </c>
      <c r="H75" s="34">
        <f t="shared" si="21"/>
        <v>38800</v>
      </c>
      <c r="I75" s="34">
        <f t="shared" si="21"/>
        <v>-40800</v>
      </c>
      <c r="J75" s="34">
        <f t="shared" si="21"/>
        <v>31000</v>
      </c>
      <c r="K75" s="34">
        <f t="shared" si="21"/>
        <v>-10000</v>
      </c>
      <c r="L75" s="34">
        <f t="shared" si="21"/>
        <v>471000</v>
      </c>
      <c r="M75" s="34">
        <f t="shared" si="21"/>
        <v>-2000</v>
      </c>
      <c r="N75" s="34">
        <f t="shared" si="21"/>
        <v>-50000</v>
      </c>
    </row>
    <row r="76" spans="2:14" hidden="1" x14ac:dyDescent="0.25">
      <c r="B76" s="29"/>
      <c r="C76" s="29" t="str">
        <f>IF(C72=C75,"OK","VER")</f>
        <v>OK</v>
      </c>
      <c r="D76" s="29" t="str">
        <f t="shared" ref="D76:N76" si="22">IF(D72=D75,"OK","VER")</f>
        <v>OK</v>
      </c>
      <c r="E76" s="29" t="str">
        <f t="shared" si="22"/>
        <v>OK</v>
      </c>
      <c r="F76" s="29" t="str">
        <f t="shared" si="22"/>
        <v>OK</v>
      </c>
      <c r="G76" s="29" t="str">
        <f t="shared" si="22"/>
        <v>OK</v>
      </c>
      <c r="H76" s="29" t="str">
        <f t="shared" si="22"/>
        <v>OK</v>
      </c>
      <c r="I76" s="29" t="str">
        <f t="shared" si="22"/>
        <v>OK</v>
      </c>
      <c r="J76" s="29" t="str">
        <f t="shared" si="22"/>
        <v>OK</v>
      </c>
      <c r="K76" s="29" t="str">
        <f t="shared" si="22"/>
        <v>OK</v>
      </c>
      <c r="L76" s="29" t="str">
        <f t="shared" si="22"/>
        <v>OK</v>
      </c>
      <c r="M76" s="29" t="str">
        <f t="shared" si="22"/>
        <v>OK</v>
      </c>
      <c r="N76" s="29" t="str">
        <f t="shared" si="22"/>
        <v>OK</v>
      </c>
    </row>
    <row r="78" spans="2:14" ht="18.75" customHeight="1" x14ac:dyDescent="0.25">
      <c r="B78" s="132" t="s">
        <v>110</v>
      </c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4"/>
    </row>
    <row r="79" spans="2:14" x14ac:dyDescent="0.25">
      <c r="B79" s="24"/>
      <c r="C79" s="25" t="str">
        <f t="shared" ref="C79:N79" si="23">+C52</f>
        <v>JAN</v>
      </c>
      <c r="D79" s="25" t="str">
        <f t="shared" si="23"/>
        <v>FEV</v>
      </c>
      <c r="E79" s="25" t="str">
        <f t="shared" si="23"/>
        <v>MAR</v>
      </c>
      <c r="F79" s="25" t="str">
        <f t="shared" si="23"/>
        <v>ABR</v>
      </c>
      <c r="G79" s="25" t="str">
        <f t="shared" si="23"/>
        <v>MAI</v>
      </c>
      <c r="H79" s="25" t="str">
        <f t="shared" si="23"/>
        <v>JUN</v>
      </c>
      <c r="I79" s="25" t="str">
        <f t="shared" si="23"/>
        <v>JUL</v>
      </c>
      <c r="J79" s="25" t="str">
        <f t="shared" si="23"/>
        <v>AGO</v>
      </c>
      <c r="K79" s="25" t="str">
        <f t="shared" si="23"/>
        <v>SET</v>
      </c>
      <c r="L79" s="25" t="str">
        <f t="shared" si="23"/>
        <v>OUT</v>
      </c>
      <c r="M79" s="25" t="str">
        <f t="shared" si="23"/>
        <v>NOV</v>
      </c>
      <c r="N79" s="26" t="str">
        <f t="shared" si="23"/>
        <v>DEZ</v>
      </c>
    </row>
    <row r="80" spans="2:14" x14ac:dyDescent="0.25">
      <c r="B80" s="36" t="s">
        <v>99</v>
      </c>
      <c r="C80" s="59"/>
      <c r="D80" s="59"/>
      <c r="E80" s="59"/>
      <c r="F80" s="59"/>
      <c r="G80" s="59"/>
      <c r="H80" s="37"/>
      <c r="I80" s="37"/>
      <c r="J80" s="37"/>
      <c r="K80" s="37"/>
      <c r="L80" s="59"/>
      <c r="M80" s="59"/>
      <c r="N80" s="60"/>
    </row>
    <row r="81" spans="2:14" ht="13.5" customHeight="1" x14ac:dyDescent="0.25">
      <c r="B81" s="43" t="s">
        <v>223</v>
      </c>
      <c r="C81" s="44">
        <f>C39</f>
        <v>0</v>
      </c>
      <c r="D81" s="44">
        <f t="shared" ref="D81:N81" si="24">D39</f>
        <v>9000</v>
      </c>
      <c r="E81" s="44">
        <f t="shared" si="24"/>
        <v>12000</v>
      </c>
      <c r="F81" s="44">
        <f t="shared" si="24"/>
        <v>20000</v>
      </c>
      <c r="G81" s="44">
        <f t="shared" si="24"/>
        <v>20000</v>
      </c>
      <c r="H81" s="44">
        <f t="shared" si="24"/>
        <v>25000</v>
      </c>
      <c r="I81" s="44">
        <f t="shared" si="24"/>
        <v>18000</v>
      </c>
      <c r="J81" s="44">
        <f t="shared" si="24"/>
        <v>25000</v>
      </c>
      <c r="K81" s="44">
        <f t="shared" si="24"/>
        <v>25000</v>
      </c>
      <c r="L81" s="44">
        <f t="shared" si="24"/>
        <v>30000</v>
      </c>
      <c r="M81" s="44">
        <f t="shared" si="24"/>
        <v>0</v>
      </c>
      <c r="N81" s="135">
        <f t="shared" si="24"/>
        <v>25000</v>
      </c>
    </row>
    <row r="82" spans="2:14" ht="24.75" customHeight="1" x14ac:dyDescent="0.25">
      <c r="B82" s="45" t="s">
        <v>224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"/>
    </row>
    <row r="83" spans="2:14" x14ac:dyDescent="0.25">
      <c r="B83" s="46" t="s">
        <v>225</v>
      </c>
      <c r="C83" s="47">
        <f>C33</f>
        <v>0</v>
      </c>
      <c r="D83" s="47">
        <f t="shared" ref="D83:N83" si="25">D33</f>
        <v>0</v>
      </c>
      <c r="E83" s="47">
        <f t="shared" si="25"/>
        <v>-3000</v>
      </c>
      <c r="F83" s="47">
        <f t="shared" si="25"/>
        <v>-3000</v>
      </c>
      <c r="G83" s="47">
        <f t="shared" si="25"/>
        <v>-3000</v>
      </c>
      <c r="H83" s="47">
        <f t="shared" si="25"/>
        <v>-3000</v>
      </c>
      <c r="I83" s="47">
        <f t="shared" si="25"/>
        <v>-9000</v>
      </c>
      <c r="J83" s="47">
        <f t="shared" si="25"/>
        <v>-9000</v>
      </c>
      <c r="K83" s="47">
        <f t="shared" si="25"/>
        <v>-9000</v>
      </c>
      <c r="L83" s="47">
        <f>L33</f>
        <v>-9000</v>
      </c>
      <c r="M83" s="47">
        <f t="shared" si="25"/>
        <v>-9000</v>
      </c>
      <c r="N83" s="136">
        <f t="shared" si="25"/>
        <v>-9000</v>
      </c>
    </row>
    <row r="84" spans="2:14" x14ac:dyDescent="0.25">
      <c r="B84" s="46" t="s">
        <v>226</v>
      </c>
      <c r="C84" s="47">
        <f>C34</f>
        <v>0</v>
      </c>
      <c r="D84" s="47">
        <f t="shared" ref="D84:N84" si="26">D34</f>
        <v>-3000</v>
      </c>
      <c r="E84" s="47">
        <f t="shared" si="26"/>
        <v>-2000</v>
      </c>
      <c r="F84" s="47">
        <f t="shared" si="26"/>
        <v>-2000</v>
      </c>
      <c r="G84" s="47">
        <f t="shared" si="26"/>
        <v>-2000</v>
      </c>
      <c r="H84" s="47">
        <f t="shared" si="26"/>
        <v>-1200</v>
      </c>
      <c r="I84" s="47">
        <f t="shared" si="26"/>
        <v>-8000</v>
      </c>
      <c r="J84" s="47">
        <f t="shared" si="26"/>
        <v>-4000</v>
      </c>
      <c r="K84" s="47">
        <f t="shared" si="26"/>
        <v>-4000</v>
      </c>
      <c r="L84" s="47">
        <f>L34</f>
        <v>-8000</v>
      </c>
      <c r="M84" s="47">
        <f t="shared" si="26"/>
        <v>0</v>
      </c>
      <c r="N84" s="136">
        <f t="shared" si="26"/>
        <v>0</v>
      </c>
    </row>
    <row r="85" spans="2:14" x14ac:dyDescent="0.25">
      <c r="B85" s="118" t="s">
        <v>227</v>
      </c>
      <c r="C85" s="119">
        <f>C81-C83-C84</f>
        <v>0</v>
      </c>
      <c r="D85" s="119">
        <f>D81-D83-D84</f>
        <v>12000</v>
      </c>
      <c r="E85" s="119">
        <f>E81-E83-E84</f>
        <v>17000</v>
      </c>
      <c r="F85" s="119">
        <f>F81-F83-F84</f>
        <v>25000</v>
      </c>
      <c r="G85" s="119">
        <f t="shared" ref="G85:N85" si="27">G81-G83-G84</f>
        <v>25000</v>
      </c>
      <c r="H85" s="119">
        <f t="shared" si="27"/>
        <v>29200</v>
      </c>
      <c r="I85" s="119">
        <f t="shared" si="27"/>
        <v>35000</v>
      </c>
      <c r="J85" s="119">
        <f t="shared" si="27"/>
        <v>38000</v>
      </c>
      <c r="K85" s="119">
        <f t="shared" si="27"/>
        <v>38000</v>
      </c>
      <c r="L85" s="119">
        <f>L81-L83-L84</f>
        <v>47000</v>
      </c>
      <c r="M85" s="119">
        <f t="shared" si="27"/>
        <v>9000</v>
      </c>
      <c r="N85" s="137">
        <f t="shared" si="27"/>
        <v>34000</v>
      </c>
    </row>
    <row r="86" spans="2:14" x14ac:dyDescent="0.25">
      <c r="B86" s="30" t="s">
        <v>228</v>
      </c>
      <c r="C86" s="61"/>
      <c r="D86" s="4">
        <f>-D5</f>
        <v>-10000</v>
      </c>
      <c r="E86" s="4">
        <f>D5-E5</f>
        <v>-10000</v>
      </c>
      <c r="F86" s="4">
        <f t="shared" ref="F86:N86" si="28">E5-F5</f>
        <v>-30000</v>
      </c>
      <c r="G86" s="4">
        <f t="shared" si="28"/>
        <v>0</v>
      </c>
      <c r="H86" s="4">
        <f t="shared" si="28"/>
        <v>-70000</v>
      </c>
      <c r="I86" s="4">
        <f>H5-I5</f>
        <v>40000</v>
      </c>
      <c r="J86" s="4">
        <f>I5-J5</f>
        <v>30000</v>
      </c>
      <c r="K86" s="4">
        <f t="shared" si="28"/>
        <v>-100000</v>
      </c>
      <c r="L86" s="4">
        <f>K5-L5</f>
        <v>-50000</v>
      </c>
      <c r="M86" s="4">
        <f>L5-M5</f>
        <v>-100000</v>
      </c>
      <c r="N86" s="5">
        <f t="shared" si="28"/>
        <v>100000</v>
      </c>
    </row>
    <row r="87" spans="2:14" x14ac:dyDescent="0.25">
      <c r="B87" s="30" t="s">
        <v>229</v>
      </c>
      <c r="C87" s="4">
        <f>-C6</f>
        <v>-50000</v>
      </c>
      <c r="D87" s="4">
        <f>C6-D6</f>
        <v>-40000</v>
      </c>
      <c r="E87" s="4">
        <f t="shared" ref="E87:N87" si="29">D6-E6</f>
        <v>-10000</v>
      </c>
      <c r="F87" s="4">
        <f t="shared" si="29"/>
        <v>-50000</v>
      </c>
      <c r="G87" s="4">
        <f t="shared" si="29"/>
        <v>-50000</v>
      </c>
      <c r="H87" s="4">
        <f t="shared" si="29"/>
        <v>-100000</v>
      </c>
      <c r="I87" s="4">
        <f>H6-I6</f>
        <v>-50000</v>
      </c>
      <c r="J87" s="4">
        <f>I6-J6</f>
        <v>50000</v>
      </c>
      <c r="K87" s="4">
        <f t="shared" si="29"/>
        <v>-100000</v>
      </c>
      <c r="L87" s="4">
        <f>K6-L6</f>
        <v>-50000</v>
      </c>
      <c r="M87" s="4">
        <f>L6-M6</f>
        <v>50000</v>
      </c>
      <c r="N87" s="5">
        <f t="shared" si="29"/>
        <v>-80000</v>
      </c>
    </row>
    <row r="88" spans="2:14" ht="25.5" x14ac:dyDescent="0.25">
      <c r="B88" s="30" t="s">
        <v>230</v>
      </c>
      <c r="C88" s="4"/>
      <c r="D88" s="4"/>
      <c r="E88" s="4"/>
      <c r="F88" s="4"/>
      <c r="G88" s="4"/>
      <c r="H88" s="4"/>
      <c r="I88" s="4">
        <f>-I7</f>
        <v>-12000</v>
      </c>
      <c r="J88" s="4">
        <f>I7-J7</f>
        <v>1000</v>
      </c>
      <c r="K88" s="4">
        <f t="shared" ref="K88:N88" si="30">J7-K7</f>
        <v>1000</v>
      </c>
      <c r="L88" s="4">
        <f>K7-L7</f>
        <v>1000</v>
      </c>
      <c r="M88" s="4">
        <f>L7-M7</f>
        <v>1000</v>
      </c>
      <c r="N88" s="5">
        <f t="shared" si="30"/>
        <v>1000</v>
      </c>
    </row>
    <row r="89" spans="2:14" x14ac:dyDescent="0.25">
      <c r="B89" s="30" t="s">
        <v>231</v>
      </c>
      <c r="C89" s="4">
        <f>C14</f>
        <v>30000</v>
      </c>
      <c r="D89" s="4">
        <f>D14-C14</f>
        <v>40000</v>
      </c>
      <c r="E89" s="4">
        <f t="shared" ref="E89:N89" si="31">E14-D14</f>
        <v>20000</v>
      </c>
      <c r="F89" s="4">
        <f t="shared" si="31"/>
        <v>10000</v>
      </c>
      <c r="G89" s="4">
        <f t="shared" si="31"/>
        <v>50000</v>
      </c>
      <c r="H89" s="4">
        <f t="shared" si="31"/>
        <v>145000</v>
      </c>
      <c r="I89" s="4">
        <f t="shared" si="31"/>
        <v>-95000</v>
      </c>
      <c r="J89" s="4">
        <f>J14-I14</f>
        <v>100000</v>
      </c>
      <c r="K89" s="4">
        <f t="shared" si="31"/>
        <v>100000</v>
      </c>
      <c r="L89" s="4">
        <f>L14-K14</f>
        <v>100000</v>
      </c>
      <c r="M89" s="4">
        <f t="shared" si="31"/>
        <v>0</v>
      </c>
      <c r="N89" s="5">
        <f t="shared" si="31"/>
        <v>0</v>
      </c>
    </row>
    <row r="90" spans="2:14" x14ac:dyDescent="0.25">
      <c r="B90" s="30" t="s">
        <v>232</v>
      </c>
      <c r="C90" s="4"/>
      <c r="D90" s="4"/>
      <c r="E90" s="4">
        <f>E15</f>
        <v>43000</v>
      </c>
      <c r="F90" s="4">
        <f>F15-E15</f>
        <v>12000</v>
      </c>
      <c r="G90" s="4">
        <f t="shared" ref="G90:N90" si="32">G15-F15</f>
        <v>20000</v>
      </c>
      <c r="H90" s="4">
        <f t="shared" si="32"/>
        <v>-4200</v>
      </c>
      <c r="I90" s="4">
        <f>I15-H15</f>
        <v>74200</v>
      </c>
      <c r="J90" s="4">
        <f>J15-I15</f>
        <v>-104000</v>
      </c>
      <c r="K90" s="4">
        <f t="shared" si="32"/>
        <v>70000</v>
      </c>
      <c r="L90" s="4">
        <f>L15-K15</f>
        <v>83500</v>
      </c>
      <c r="M90" s="4">
        <f t="shared" si="32"/>
        <v>-14500</v>
      </c>
      <c r="N90" s="5">
        <f t="shared" si="32"/>
        <v>-101250</v>
      </c>
    </row>
    <row r="91" spans="2:14" x14ac:dyDescent="0.25">
      <c r="B91" s="30" t="s">
        <v>233</v>
      </c>
      <c r="C91" s="4"/>
      <c r="D91" s="4"/>
      <c r="E91" s="4"/>
      <c r="F91" s="4"/>
      <c r="G91" s="4"/>
      <c r="H91" s="4"/>
      <c r="I91" s="4">
        <f>I16</f>
        <v>80000</v>
      </c>
      <c r="J91" s="4">
        <f>J16-I16</f>
        <v>-80000</v>
      </c>
      <c r="K91" s="4"/>
      <c r="L91" s="4"/>
      <c r="M91" s="4"/>
      <c r="N91" s="5"/>
    </row>
    <row r="92" spans="2:14" x14ac:dyDescent="0.25">
      <c r="B92" s="30" t="s">
        <v>238</v>
      </c>
      <c r="C92" s="4"/>
      <c r="D92" s="4"/>
      <c r="E92" s="4"/>
      <c r="F92" s="4"/>
      <c r="G92" s="4"/>
      <c r="H92" s="4"/>
      <c r="I92" s="4"/>
      <c r="J92" s="4"/>
      <c r="K92" s="4"/>
      <c r="L92" s="4">
        <f>K8-L8</f>
        <v>-50000</v>
      </c>
      <c r="M92" s="4">
        <f t="shared" ref="M92:N92" si="33">L8-M8</f>
        <v>50000</v>
      </c>
      <c r="N92" s="5">
        <f t="shared" si="33"/>
        <v>0</v>
      </c>
    </row>
    <row r="93" spans="2:14" x14ac:dyDescent="0.25">
      <c r="B93" s="30" t="s">
        <v>237</v>
      </c>
      <c r="C93" s="4"/>
      <c r="D93" s="4"/>
      <c r="E93" s="4"/>
      <c r="F93" s="4"/>
      <c r="G93" s="4"/>
      <c r="H93" s="4"/>
      <c r="I93" s="4"/>
      <c r="J93" s="4"/>
      <c r="K93" s="4"/>
      <c r="L93" s="4">
        <f>L18-K18</f>
        <v>7500</v>
      </c>
      <c r="M93" s="4">
        <f t="shared" ref="M93:N93" si="34">M18-L18</f>
        <v>-7500</v>
      </c>
      <c r="N93" s="5">
        <f t="shared" si="34"/>
        <v>6250</v>
      </c>
    </row>
    <row r="94" spans="2:14" x14ac:dyDescent="0.25">
      <c r="B94" s="30" t="s">
        <v>239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>
        <f>M17-L17</f>
        <v>10000</v>
      </c>
      <c r="N94" s="5">
        <f>N17-M17</f>
        <v>10000</v>
      </c>
    </row>
    <row r="95" spans="2:14" x14ac:dyDescent="0.25">
      <c r="B95" s="30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5"/>
    </row>
    <row r="96" spans="2:14" x14ac:dyDescent="0.25">
      <c r="B96" s="30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"/>
    </row>
    <row r="97" spans="2:14" x14ac:dyDescent="0.25">
      <c r="B97" s="32" t="s">
        <v>67</v>
      </c>
      <c r="C97" s="34">
        <f>+SUM(C85:C96)</f>
        <v>-20000</v>
      </c>
      <c r="D97" s="34">
        <f t="shared" ref="D97:N97" si="35">+SUM(D85:D96)</f>
        <v>2000</v>
      </c>
      <c r="E97" s="34">
        <f t="shared" si="35"/>
        <v>60000</v>
      </c>
      <c r="F97" s="34">
        <f t="shared" si="35"/>
        <v>-33000</v>
      </c>
      <c r="G97" s="34">
        <f t="shared" si="35"/>
        <v>45000</v>
      </c>
      <c r="H97" s="34">
        <f t="shared" si="35"/>
        <v>0</v>
      </c>
      <c r="I97" s="34">
        <f t="shared" si="35"/>
        <v>72200</v>
      </c>
      <c r="J97" s="34">
        <f>+SUM(J85:J96)</f>
        <v>35000</v>
      </c>
      <c r="K97" s="34">
        <f t="shared" si="35"/>
        <v>9000</v>
      </c>
      <c r="L97" s="34">
        <f t="shared" si="35"/>
        <v>89000</v>
      </c>
      <c r="M97" s="34">
        <f t="shared" si="35"/>
        <v>-2000</v>
      </c>
      <c r="N97" s="35">
        <f t="shared" si="35"/>
        <v>-30000</v>
      </c>
    </row>
    <row r="98" spans="2:14" x14ac:dyDescent="0.25">
      <c r="B98" s="36" t="s">
        <v>103</v>
      </c>
      <c r="C98" s="59"/>
      <c r="D98" s="59"/>
      <c r="E98" s="59"/>
      <c r="F98" s="59"/>
      <c r="G98" s="59"/>
      <c r="H98" s="37"/>
      <c r="I98" s="37"/>
      <c r="J98" s="37"/>
      <c r="K98" s="37"/>
      <c r="L98" s="59"/>
      <c r="M98" s="4"/>
      <c r="N98" s="5"/>
    </row>
    <row r="99" spans="2:14" x14ac:dyDescent="0.25">
      <c r="B99" s="30" t="s">
        <v>65</v>
      </c>
      <c r="C99" s="4">
        <f>-C9</f>
        <v>-20000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5"/>
    </row>
    <row r="100" spans="2:14" x14ac:dyDescent="0.25">
      <c r="B100" s="30" t="s">
        <v>9</v>
      </c>
      <c r="C100" s="4"/>
      <c r="D100" s="4">
        <f>-D10</f>
        <v>-180000</v>
      </c>
      <c r="E100" s="4"/>
      <c r="F100" s="4"/>
      <c r="G100" s="4"/>
      <c r="H100" s="4">
        <f t="shared" ref="H100" si="36">G10-H10</f>
        <v>-360000</v>
      </c>
      <c r="I100" s="4"/>
      <c r="J100" s="4"/>
      <c r="K100" s="4"/>
      <c r="L100" s="4"/>
      <c r="M100" s="4"/>
      <c r="N100" s="5"/>
    </row>
    <row r="101" spans="2:14" x14ac:dyDescent="0.25">
      <c r="B101" s="30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5"/>
    </row>
    <row r="102" spans="2:14" x14ac:dyDescent="0.25">
      <c r="B102" s="32" t="s">
        <v>67</v>
      </c>
      <c r="C102" s="34">
        <f t="shared" ref="C102:N102" si="37">+SUM(C99:C101)</f>
        <v>-20000</v>
      </c>
      <c r="D102" s="34">
        <f>+SUM(D100:D101)</f>
        <v>-180000</v>
      </c>
      <c r="E102" s="34">
        <f t="shared" si="37"/>
        <v>0</v>
      </c>
      <c r="F102" s="34">
        <f t="shared" si="37"/>
        <v>0</v>
      </c>
      <c r="G102" s="34">
        <f t="shared" si="37"/>
        <v>0</v>
      </c>
      <c r="H102" s="34">
        <f>+SUM(H100:H101)</f>
        <v>-360000</v>
      </c>
      <c r="I102" s="34">
        <f t="shared" si="37"/>
        <v>0</v>
      </c>
      <c r="J102" s="34">
        <f t="shared" si="37"/>
        <v>0</v>
      </c>
      <c r="K102" s="34">
        <f t="shared" si="37"/>
        <v>0</v>
      </c>
      <c r="L102" s="34">
        <f t="shared" si="37"/>
        <v>0</v>
      </c>
      <c r="M102" s="34">
        <f t="shared" si="37"/>
        <v>0</v>
      </c>
      <c r="N102" s="35">
        <f t="shared" si="37"/>
        <v>0</v>
      </c>
    </row>
    <row r="103" spans="2:14" x14ac:dyDescent="0.25">
      <c r="B103" s="36" t="s">
        <v>104</v>
      </c>
      <c r="C103" s="59"/>
      <c r="D103" s="59"/>
      <c r="E103" s="59"/>
      <c r="F103" s="59"/>
      <c r="G103" s="59"/>
      <c r="H103" s="37"/>
      <c r="I103" s="37"/>
      <c r="J103" s="37"/>
      <c r="K103" s="37"/>
      <c r="L103" s="37"/>
      <c r="M103" s="37"/>
      <c r="N103" s="57"/>
    </row>
    <row r="104" spans="2:14" x14ac:dyDescent="0.25">
      <c r="B104" s="30" t="s">
        <v>234</v>
      </c>
      <c r="C104" s="4">
        <f>C20</f>
        <v>150000</v>
      </c>
      <c r="D104" s="4"/>
      <c r="E104" s="4">
        <f>E20-D20</f>
        <v>-50000</v>
      </c>
      <c r="F104" s="4">
        <f t="shared" ref="F104:N104" si="38">F20-E20</f>
        <v>0</v>
      </c>
      <c r="G104" s="4">
        <f t="shared" si="38"/>
        <v>-40000</v>
      </c>
      <c r="H104" s="4">
        <f t="shared" si="38"/>
        <v>400000</v>
      </c>
      <c r="I104" s="4">
        <f t="shared" si="38"/>
        <v>-100000</v>
      </c>
      <c r="J104" s="4">
        <f t="shared" si="38"/>
        <v>0</v>
      </c>
      <c r="K104" s="4">
        <f t="shared" si="38"/>
        <v>0</v>
      </c>
      <c r="L104" s="4">
        <f>L20-K20</f>
        <v>-360000</v>
      </c>
      <c r="M104" s="4">
        <f t="shared" si="38"/>
        <v>0</v>
      </c>
      <c r="N104" s="5">
        <f t="shared" si="38"/>
        <v>0</v>
      </c>
    </row>
    <row r="105" spans="2:14" x14ac:dyDescent="0.25">
      <c r="B105" s="30" t="s">
        <v>235</v>
      </c>
      <c r="C105" s="4">
        <f>C21</f>
        <v>100000</v>
      </c>
      <c r="D105" s="4"/>
      <c r="E105" s="4"/>
      <c r="F105" s="4"/>
      <c r="G105" s="4"/>
      <c r="H105" s="4"/>
      <c r="I105" s="4"/>
      <c r="J105" s="4"/>
      <c r="K105" s="4"/>
      <c r="L105" s="4">
        <f>L21-K21</f>
        <v>800000</v>
      </c>
      <c r="M105" s="4"/>
      <c r="N105" s="5"/>
    </row>
    <row r="106" spans="2:14" x14ac:dyDescent="0.25">
      <c r="B106" s="30" t="s">
        <v>236</v>
      </c>
      <c r="C106" s="4"/>
      <c r="D106" s="4">
        <f>D84</f>
        <v>-3000</v>
      </c>
      <c r="E106" s="4">
        <f t="shared" ref="E106:N106" si="39">E84</f>
        <v>-2000</v>
      </c>
      <c r="F106" s="4">
        <f t="shared" si="39"/>
        <v>-2000</v>
      </c>
      <c r="G106" s="4">
        <f t="shared" si="39"/>
        <v>-2000</v>
      </c>
      <c r="H106" s="4">
        <f t="shared" si="39"/>
        <v>-1200</v>
      </c>
      <c r="I106" s="4">
        <f t="shared" si="39"/>
        <v>-8000</v>
      </c>
      <c r="J106" s="4">
        <f t="shared" si="39"/>
        <v>-4000</v>
      </c>
      <c r="K106" s="4">
        <f t="shared" si="39"/>
        <v>-4000</v>
      </c>
      <c r="L106" s="4">
        <f t="shared" si="39"/>
        <v>-8000</v>
      </c>
      <c r="M106" s="4">
        <f t="shared" si="39"/>
        <v>0</v>
      </c>
      <c r="N106" s="5">
        <f t="shared" si="39"/>
        <v>0</v>
      </c>
    </row>
    <row r="107" spans="2:14" x14ac:dyDescent="0.25">
      <c r="B107" s="30" t="s">
        <v>96</v>
      </c>
      <c r="C107" s="4"/>
      <c r="D107" s="4"/>
      <c r="E107" s="4"/>
      <c r="F107" s="4"/>
      <c r="G107" s="4"/>
      <c r="H107" s="4"/>
      <c r="I107" s="4">
        <v>-5000</v>
      </c>
      <c r="J107" s="4">
        <v>0</v>
      </c>
      <c r="K107" s="4">
        <f>-J19</f>
        <v>-15000</v>
      </c>
      <c r="L107" s="4">
        <f>-K19</f>
        <v>-50000</v>
      </c>
      <c r="M107" s="4">
        <f t="shared" ref="M107:N107" si="40">-L19</f>
        <v>0</v>
      </c>
      <c r="N107" s="5">
        <f t="shared" si="40"/>
        <v>-20000</v>
      </c>
    </row>
    <row r="108" spans="2:14" x14ac:dyDescent="0.25">
      <c r="B108" s="30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5"/>
    </row>
    <row r="109" spans="2:14" x14ac:dyDescent="0.25">
      <c r="B109" s="32" t="s">
        <v>67</v>
      </c>
      <c r="C109" s="34">
        <f t="shared" ref="C109:N109" si="41">+SUM(C104:C108)</f>
        <v>250000</v>
      </c>
      <c r="D109" s="34">
        <f t="shared" si="41"/>
        <v>-3000</v>
      </c>
      <c r="E109" s="34">
        <f t="shared" si="41"/>
        <v>-52000</v>
      </c>
      <c r="F109" s="34">
        <f t="shared" si="41"/>
        <v>-2000</v>
      </c>
      <c r="G109" s="34">
        <f t="shared" si="41"/>
        <v>-42000</v>
      </c>
      <c r="H109" s="34">
        <f t="shared" si="41"/>
        <v>398800</v>
      </c>
      <c r="I109" s="34">
        <f t="shared" si="41"/>
        <v>-113000</v>
      </c>
      <c r="J109" s="34">
        <f t="shared" si="41"/>
        <v>-4000</v>
      </c>
      <c r="K109" s="34">
        <f t="shared" si="41"/>
        <v>-19000</v>
      </c>
      <c r="L109" s="34">
        <f t="shared" si="41"/>
        <v>382000</v>
      </c>
      <c r="M109" s="34">
        <f t="shared" si="41"/>
        <v>0</v>
      </c>
      <c r="N109" s="35">
        <f t="shared" si="41"/>
        <v>-20000</v>
      </c>
    </row>
    <row r="110" spans="2:14" ht="15" x14ac:dyDescent="0.25">
      <c r="B110" s="55" t="s">
        <v>107</v>
      </c>
      <c r="C110" s="56">
        <f t="shared" ref="C110:N110" si="42">+SUM(C97,C102,C109)</f>
        <v>210000</v>
      </c>
      <c r="D110" s="56">
        <f t="shared" si="42"/>
        <v>-181000</v>
      </c>
      <c r="E110" s="56">
        <f t="shared" si="42"/>
        <v>8000</v>
      </c>
      <c r="F110" s="56">
        <f t="shared" si="42"/>
        <v>-35000</v>
      </c>
      <c r="G110" s="56">
        <f t="shared" si="42"/>
        <v>3000</v>
      </c>
      <c r="H110" s="56">
        <f t="shared" si="42"/>
        <v>38800</v>
      </c>
      <c r="I110" s="56">
        <f t="shared" si="42"/>
        <v>-40800</v>
      </c>
      <c r="J110" s="56">
        <f t="shared" si="42"/>
        <v>31000</v>
      </c>
      <c r="K110" s="56">
        <f t="shared" si="42"/>
        <v>-10000</v>
      </c>
      <c r="L110" s="56">
        <f t="shared" si="42"/>
        <v>471000</v>
      </c>
      <c r="M110" s="56">
        <f t="shared" si="42"/>
        <v>-2000</v>
      </c>
      <c r="N110" s="58">
        <f t="shared" si="42"/>
        <v>-50000</v>
      </c>
    </row>
    <row r="111" spans="2:14" x14ac:dyDescent="0.25">
      <c r="B111" s="38" t="s">
        <v>108</v>
      </c>
      <c r="C111" s="19">
        <v>0</v>
      </c>
      <c r="D111" s="19">
        <f>C112</f>
        <v>210000</v>
      </c>
      <c r="E111" s="19">
        <f t="shared" ref="E111:N111" si="43">D112</f>
        <v>29000</v>
      </c>
      <c r="F111" s="19">
        <f t="shared" si="43"/>
        <v>37000</v>
      </c>
      <c r="G111" s="19">
        <f t="shared" si="43"/>
        <v>2000</v>
      </c>
      <c r="H111" s="19">
        <f t="shared" si="43"/>
        <v>5000</v>
      </c>
      <c r="I111" s="19">
        <f t="shared" si="43"/>
        <v>43800</v>
      </c>
      <c r="J111" s="19">
        <f t="shared" si="43"/>
        <v>3000</v>
      </c>
      <c r="K111" s="19">
        <f t="shared" si="43"/>
        <v>34000</v>
      </c>
      <c r="L111" s="19">
        <f t="shared" si="43"/>
        <v>24000</v>
      </c>
      <c r="M111" s="19">
        <f t="shared" si="43"/>
        <v>495000</v>
      </c>
      <c r="N111" s="39">
        <f t="shared" si="43"/>
        <v>493000</v>
      </c>
    </row>
    <row r="112" spans="2:14" x14ac:dyDescent="0.25">
      <c r="B112" s="40" t="s">
        <v>109</v>
      </c>
      <c r="C112" s="13">
        <f>C4</f>
        <v>210000</v>
      </c>
      <c r="D112" s="13">
        <f t="shared" ref="D112:N112" si="44">D4</f>
        <v>29000</v>
      </c>
      <c r="E112" s="13">
        <f t="shared" si="44"/>
        <v>37000</v>
      </c>
      <c r="F112" s="13">
        <f t="shared" si="44"/>
        <v>2000</v>
      </c>
      <c r="G112" s="13">
        <f t="shared" si="44"/>
        <v>5000</v>
      </c>
      <c r="H112" s="13">
        <f t="shared" si="44"/>
        <v>43800</v>
      </c>
      <c r="I112" s="13">
        <f t="shared" si="44"/>
        <v>3000</v>
      </c>
      <c r="J112" s="13">
        <f t="shared" si="44"/>
        <v>34000</v>
      </c>
      <c r="K112" s="13">
        <f t="shared" si="44"/>
        <v>24000</v>
      </c>
      <c r="L112" s="13">
        <f t="shared" si="44"/>
        <v>495000</v>
      </c>
      <c r="M112" s="13">
        <f t="shared" si="44"/>
        <v>493000</v>
      </c>
      <c r="N112" s="41">
        <f t="shared" si="44"/>
        <v>443000</v>
      </c>
    </row>
    <row r="113" spans="2:14" x14ac:dyDescent="0.25">
      <c r="B113" s="42" t="s">
        <v>107</v>
      </c>
      <c r="C113" s="34">
        <f>C112-C111</f>
        <v>210000</v>
      </c>
      <c r="D113" s="34">
        <f t="shared" ref="D113" si="45">D112-D111</f>
        <v>-181000</v>
      </c>
      <c r="E113" s="34">
        <f t="shared" ref="E113" si="46">E112-E111</f>
        <v>8000</v>
      </c>
      <c r="F113" s="34">
        <f t="shared" ref="F113" si="47">F112-F111</f>
        <v>-35000</v>
      </c>
      <c r="G113" s="34">
        <f t="shared" ref="G113" si="48">G112-G111</f>
        <v>3000</v>
      </c>
      <c r="H113" s="34">
        <f t="shared" ref="H113" si="49">H112-H111</f>
        <v>38800</v>
      </c>
      <c r="I113" s="34">
        <f t="shared" ref="I113" si="50">I112-I111</f>
        <v>-40800</v>
      </c>
      <c r="J113" s="34">
        <f t="shared" ref="J113" si="51">J112-J111</f>
        <v>31000</v>
      </c>
      <c r="K113" s="34">
        <f t="shared" ref="K113" si="52">K112-K111</f>
        <v>-10000</v>
      </c>
      <c r="L113" s="34">
        <f t="shared" ref="L113" si="53">L112-L111</f>
        <v>471000</v>
      </c>
      <c r="M113" s="34">
        <f t="shared" ref="M113" si="54">M112-M111</f>
        <v>-2000</v>
      </c>
      <c r="N113" s="35">
        <f t="shared" ref="N113" si="55">N112-N111</f>
        <v>-50000</v>
      </c>
    </row>
    <row r="114" spans="2:14" x14ac:dyDescent="0.25">
      <c r="C114" s="29" t="str">
        <f>IF(C110=C113,"OK","VER")</f>
        <v>OK</v>
      </c>
      <c r="D114" s="29" t="str">
        <f t="shared" ref="D114" si="56">IF(D110=D113,"OK","VER")</f>
        <v>OK</v>
      </c>
      <c r="E114" s="29" t="str">
        <f t="shared" ref="E114" si="57">IF(E110=E113,"OK","VER")</f>
        <v>OK</v>
      </c>
      <c r="F114" s="29" t="str">
        <f t="shared" ref="F114" si="58">IF(F110=F113,"OK","VER")</f>
        <v>OK</v>
      </c>
      <c r="G114" s="29" t="str">
        <f t="shared" ref="G114" si="59">IF(G110=G113,"OK","VER")</f>
        <v>OK</v>
      </c>
      <c r="H114" s="29" t="str">
        <f t="shared" ref="H114" si="60">IF(H110=H113,"OK","VER")</f>
        <v>OK</v>
      </c>
      <c r="I114" s="29" t="str">
        <f t="shared" ref="I114" si="61">IF(I110=I113,"OK","VER")</f>
        <v>OK</v>
      </c>
      <c r="J114" s="29" t="str">
        <f t="shared" ref="J114" si="62">IF(J110=J113,"OK","VER")</f>
        <v>OK</v>
      </c>
      <c r="K114" s="29" t="str">
        <f t="shared" ref="K114" si="63">IF(K110=K113,"OK","VER")</f>
        <v>OK</v>
      </c>
      <c r="L114" s="29" t="str">
        <f t="shared" ref="L114" si="64">IF(L110=L113,"OK","VER")</f>
        <v>OK</v>
      </c>
      <c r="M114" s="29" t="str">
        <f t="shared" ref="M114" si="65">IF(M110=M113,"OK","VER")</f>
        <v>OK</v>
      </c>
      <c r="N114" s="29" t="str">
        <f t="shared" ref="N114" si="66">IF(N110=N113,"OK","VER")</f>
        <v>OK</v>
      </c>
    </row>
    <row r="115" spans="2:14" x14ac:dyDescent="0.25">
      <c r="C115" s="8">
        <f>C113-C110</f>
        <v>0</v>
      </c>
      <c r="D115" s="8">
        <f t="shared" ref="D115:N115" si="67">D113-D110</f>
        <v>0</v>
      </c>
      <c r="E115" s="8">
        <f t="shared" si="67"/>
        <v>0</v>
      </c>
      <c r="F115" s="8">
        <f t="shared" si="67"/>
        <v>0</v>
      </c>
      <c r="G115" s="8">
        <f t="shared" si="67"/>
        <v>0</v>
      </c>
      <c r="H115" s="8">
        <f t="shared" si="67"/>
        <v>0</v>
      </c>
      <c r="I115" s="8">
        <f t="shared" si="67"/>
        <v>0</v>
      </c>
      <c r="J115" s="8">
        <f t="shared" si="67"/>
        <v>0</v>
      </c>
      <c r="K115" s="8">
        <f t="shared" si="67"/>
        <v>0</v>
      </c>
      <c r="L115" s="8">
        <f t="shared" si="67"/>
        <v>0</v>
      </c>
      <c r="M115" s="8">
        <f t="shared" si="67"/>
        <v>0</v>
      </c>
      <c r="N115" s="8">
        <f t="shared" si="67"/>
        <v>0</v>
      </c>
    </row>
  </sheetData>
  <mergeCells count="5">
    <mergeCell ref="B2:N2"/>
    <mergeCell ref="B26:N26"/>
    <mergeCell ref="B42:N42"/>
    <mergeCell ref="B51:N51"/>
    <mergeCell ref="B78:N78"/>
  </mergeCells>
  <conditionalFormatting sqref="C24:J24">
    <cfRule type="cellIs" dxfId="1" priority="2" operator="equal">
      <formula>"PROBL"</formula>
    </cfRule>
  </conditionalFormatting>
  <conditionalFormatting sqref="K24:N24">
    <cfRule type="cellIs" dxfId="0" priority="1" operator="equal">
      <formula>"PROBL"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2"/>
  <sheetViews>
    <sheetView showGridLines="0" topLeftCell="B1" zoomScale="85" zoomScaleNormal="85" workbookViewId="0">
      <selection activeCell="Q6" sqref="Q6"/>
    </sheetView>
  </sheetViews>
  <sheetFormatPr defaultRowHeight="15" x14ac:dyDescent="0.25"/>
  <cols>
    <col min="1" max="1" width="1" hidden="1" customWidth="1"/>
    <col min="2" max="2" width="3.140625" bestFit="1" customWidth="1"/>
    <col min="3" max="3" width="8.85546875" bestFit="1" customWidth="1"/>
    <col min="4" max="4" width="15.140625" bestFit="1" customWidth="1"/>
    <col min="5" max="5" width="9" bestFit="1" customWidth="1"/>
    <col min="6" max="6" width="11.5703125" bestFit="1" customWidth="1"/>
    <col min="7" max="7" width="9.5703125" bestFit="1" customWidth="1"/>
    <col min="8" max="8" width="8.85546875" bestFit="1" customWidth="1"/>
    <col min="9" max="9" width="8.5703125" bestFit="1" customWidth="1"/>
    <col min="10" max="10" width="9.28515625" bestFit="1" customWidth="1"/>
    <col min="11" max="11" width="12.28515625" bestFit="1" customWidth="1"/>
    <col min="12" max="12" width="13.5703125" bestFit="1" customWidth="1"/>
    <col min="13" max="13" width="10.28515625" bestFit="1" customWidth="1"/>
    <col min="14" max="14" width="12.28515625" bestFit="1" customWidth="1"/>
    <col min="15" max="15" width="9.5703125" bestFit="1" customWidth="1"/>
    <col min="16" max="16" width="10.42578125" bestFit="1" customWidth="1"/>
    <col min="17" max="17" width="12.28515625" bestFit="1" customWidth="1"/>
    <col min="18" max="18" width="7.7109375" bestFit="1" customWidth="1"/>
    <col min="19" max="19" width="8.85546875" bestFit="1" customWidth="1"/>
    <col min="20" max="20" width="8.42578125" bestFit="1" customWidth="1"/>
  </cols>
  <sheetData>
    <row r="2" spans="2:20" x14ac:dyDescent="0.25">
      <c r="C2" s="127" t="s">
        <v>125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2:20" x14ac:dyDescent="0.25">
      <c r="C3" s="128" t="s">
        <v>126</v>
      </c>
      <c r="D3" s="129"/>
      <c r="E3" s="129"/>
      <c r="F3" s="129"/>
      <c r="G3" s="129"/>
      <c r="H3" s="129"/>
      <c r="I3" s="129"/>
      <c r="J3" s="130"/>
      <c r="K3" s="128" t="s">
        <v>127</v>
      </c>
      <c r="L3" s="129"/>
      <c r="M3" s="129"/>
      <c r="N3" s="129"/>
      <c r="O3" s="129"/>
      <c r="P3" s="129"/>
      <c r="Q3" s="129"/>
      <c r="R3" s="129"/>
      <c r="S3" s="129"/>
      <c r="T3" s="130"/>
    </row>
    <row r="4" spans="2:20" ht="30" x14ac:dyDescent="0.25">
      <c r="C4" s="65" t="s">
        <v>128</v>
      </c>
      <c r="D4" s="66"/>
      <c r="E4" s="66" t="s">
        <v>63</v>
      </c>
      <c r="F4" s="66"/>
      <c r="G4" s="66"/>
      <c r="H4" s="66" t="s">
        <v>65</v>
      </c>
      <c r="I4" s="66"/>
      <c r="J4" s="67"/>
      <c r="K4" s="65" t="s">
        <v>7</v>
      </c>
      <c r="L4" s="66"/>
      <c r="M4" s="66"/>
      <c r="N4" s="66"/>
      <c r="O4" s="66"/>
      <c r="P4" s="66"/>
      <c r="Q4" s="66" t="s">
        <v>130</v>
      </c>
      <c r="R4" s="66" t="s">
        <v>4</v>
      </c>
      <c r="S4" s="66" t="s">
        <v>72</v>
      </c>
      <c r="T4" s="67"/>
    </row>
    <row r="5" spans="2:20" x14ac:dyDescent="0.25">
      <c r="B5" s="1" t="s">
        <v>132</v>
      </c>
      <c r="C5" s="68">
        <v>0</v>
      </c>
      <c r="D5" s="69">
        <v>0</v>
      </c>
      <c r="E5" s="69">
        <v>0</v>
      </c>
      <c r="F5" s="69"/>
      <c r="G5" s="69"/>
      <c r="H5" s="69">
        <v>0</v>
      </c>
      <c r="I5" s="69"/>
      <c r="J5" s="70">
        <v>0</v>
      </c>
      <c r="K5" s="68">
        <v>0</v>
      </c>
      <c r="L5" s="69">
        <v>0</v>
      </c>
      <c r="M5" s="69">
        <v>0</v>
      </c>
      <c r="N5" s="69"/>
      <c r="O5" s="69"/>
      <c r="P5" s="69"/>
      <c r="Q5" s="69">
        <v>0</v>
      </c>
      <c r="R5" s="69">
        <v>0</v>
      </c>
      <c r="S5" s="69">
        <v>0</v>
      </c>
      <c r="T5" s="70">
        <v>0</v>
      </c>
    </row>
    <row r="6" spans="2:20" x14ac:dyDescent="0.25">
      <c r="B6">
        <v>1</v>
      </c>
      <c r="C6" s="71">
        <v>100000</v>
      </c>
      <c r="D6" s="72"/>
      <c r="E6" s="72"/>
      <c r="F6" s="72"/>
      <c r="G6" s="72"/>
      <c r="H6" s="72"/>
      <c r="I6" s="72"/>
      <c r="J6" s="73"/>
      <c r="K6" s="71"/>
      <c r="L6" s="72"/>
      <c r="M6" s="72"/>
      <c r="N6" s="72"/>
      <c r="O6" s="72"/>
      <c r="P6" s="72"/>
      <c r="Q6" s="72"/>
      <c r="R6" s="72">
        <v>100000</v>
      </c>
      <c r="S6" s="72"/>
      <c r="T6" s="73"/>
    </row>
    <row r="7" spans="2:20" x14ac:dyDescent="0.25">
      <c r="B7">
        <f>B6+1</f>
        <v>2</v>
      </c>
      <c r="C7" s="71">
        <f>-H7</f>
        <v>-20000</v>
      </c>
      <c r="D7" s="72"/>
      <c r="E7" s="72"/>
      <c r="F7" s="72"/>
      <c r="G7" s="72"/>
      <c r="H7" s="72">
        <v>20000</v>
      </c>
      <c r="I7" s="72"/>
      <c r="J7" s="73"/>
      <c r="K7" s="71"/>
      <c r="L7" s="72"/>
      <c r="M7" s="72"/>
      <c r="N7" s="72"/>
      <c r="O7" s="72"/>
      <c r="P7" s="72"/>
      <c r="Q7" s="72"/>
      <c r="R7" s="72"/>
      <c r="S7" s="72"/>
      <c r="T7" s="73"/>
    </row>
    <row r="8" spans="2:20" x14ac:dyDescent="0.25">
      <c r="B8">
        <f t="shared" ref="B8:B9" si="0">B7+1</f>
        <v>3</v>
      </c>
      <c r="C8" s="71">
        <v>-20000</v>
      </c>
      <c r="D8" s="72"/>
      <c r="E8" s="72">
        <v>50000</v>
      </c>
      <c r="F8" s="72"/>
      <c r="G8" s="72"/>
      <c r="H8" s="72"/>
      <c r="I8" s="72"/>
      <c r="J8" s="73"/>
      <c r="K8" s="71">
        <v>30000</v>
      </c>
      <c r="L8" s="72"/>
      <c r="M8" s="72"/>
      <c r="N8" s="72"/>
      <c r="O8" s="72"/>
      <c r="P8" s="72"/>
      <c r="Q8" s="72"/>
      <c r="R8" s="72"/>
      <c r="S8" s="72"/>
      <c r="T8" s="73"/>
    </row>
    <row r="9" spans="2:20" x14ac:dyDescent="0.25">
      <c r="B9">
        <f t="shared" si="0"/>
        <v>4</v>
      </c>
      <c r="C9" s="71">
        <v>150000</v>
      </c>
      <c r="D9" s="72"/>
      <c r="E9" s="72"/>
      <c r="F9" s="72"/>
      <c r="G9" s="72"/>
      <c r="H9" s="72"/>
      <c r="I9" s="72"/>
      <c r="J9" s="73"/>
      <c r="K9" s="71"/>
      <c r="L9" s="72"/>
      <c r="M9" s="72"/>
      <c r="N9" s="72"/>
      <c r="O9" s="72"/>
      <c r="P9" s="72"/>
      <c r="Q9" s="72">
        <v>150000</v>
      </c>
      <c r="R9" s="72"/>
      <c r="S9" s="72"/>
      <c r="T9" s="73"/>
    </row>
    <row r="10" spans="2:20" x14ac:dyDescent="0.25">
      <c r="B10" s="1" t="s">
        <v>133</v>
      </c>
      <c r="C10" s="74">
        <f>SUM(C5:C9)</f>
        <v>210000</v>
      </c>
      <c r="D10" s="75">
        <f>SUM(D5:D9)</f>
        <v>0</v>
      </c>
      <c r="E10" s="75">
        <f>SUM(E5:E9)</f>
        <v>50000</v>
      </c>
      <c r="F10" s="75"/>
      <c r="G10" s="75"/>
      <c r="H10" s="75">
        <f>SUM(H5:H9)</f>
        <v>20000</v>
      </c>
      <c r="I10" s="75"/>
      <c r="J10" s="76">
        <f>SUM(J5:J9)</f>
        <v>0</v>
      </c>
      <c r="K10" s="74">
        <f>SUM(K5:K9)</f>
        <v>30000</v>
      </c>
      <c r="L10" s="75">
        <f>SUM(L5:L9)</f>
        <v>0</v>
      </c>
      <c r="M10" s="75">
        <f>SUM(M5:M9)</f>
        <v>0</v>
      </c>
      <c r="N10" s="75"/>
      <c r="O10" s="75"/>
      <c r="P10" s="75"/>
      <c r="Q10" s="75">
        <f>SUM(Q5:Q9)</f>
        <v>150000</v>
      </c>
      <c r="R10" s="75">
        <f>SUM(R5:R9)</f>
        <v>100000</v>
      </c>
      <c r="S10" s="75">
        <f>SUM(S5:S9)</f>
        <v>0</v>
      </c>
      <c r="T10" s="76">
        <f>SUM(T5:T9)</f>
        <v>0</v>
      </c>
    </row>
    <row r="12" spans="2:20" x14ac:dyDescent="0.25">
      <c r="C12" s="77" t="s">
        <v>60</v>
      </c>
      <c r="D12" s="78">
        <f>SUM(C10:J10)</f>
        <v>280000</v>
      </c>
      <c r="E12" s="79"/>
      <c r="F12" s="84"/>
      <c r="G12" s="84"/>
    </row>
    <row r="13" spans="2:20" x14ac:dyDescent="0.25">
      <c r="C13" s="80" t="s">
        <v>129</v>
      </c>
      <c r="D13" s="81">
        <f>SUM(K10:T10)</f>
        <v>280000</v>
      </c>
      <c r="E13" s="82">
        <f>D13-D12</f>
        <v>0</v>
      </c>
      <c r="F13" s="85"/>
      <c r="G13" s="85"/>
    </row>
    <row r="15" spans="2:20" x14ac:dyDescent="0.25">
      <c r="C15" s="127" t="s">
        <v>131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spans="2:20" x14ac:dyDescent="0.25">
      <c r="C16" s="128" t="s">
        <v>126</v>
      </c>
      <c r="D16" s="129"/>
      <c r="E16" s="129"/>
      <c r="F16" s="129"/>
      <c r="G16" s="129"/>
      <c r="H16" s="129"/>
      <c r="I16" s="129"/>
      <c r="J16" s="130"/>
      <c r="K16" s="128" t="s">
        <v>127</v>
      </c>
      <c r="L16" s="129"/>
      <c r="M16" s="129"/>
      <c r="N16" s="129"/>
      <c r="O16" s="129"/>
      <c r="P16" s="129"/>
      <c r="Q16" s="129"/>
      <c r="R16" s="129"/>
      <c r="S16" s="129"/>
      <c r="T16" s="130"/>
    </row>
    <row r="17" spans="2:20" ht="30" x14ac:dyDescent="0.25">
      <c r="C17" s="65" t="s">
        <v>128</v>
      </c>
      <c r="D17" s="66" t="s">
        <v>62</v>
      </c>
      <c r="E17" s="66" t="s">
        <v>63</v>
      </c>
      <c r="F17" s="66"/>
      <c r="G17" s="66"/>
      <c r="H17" s="66" t="s">
        <v>65</v>
      </c>
      <c r="I17" s="66" t="s">
        <v>9</v>
      </c>
      <c r="J17" s="67"/>
      <c r="K17" s="65" t="s">
        <v>7</v>
      </c>
      <c r="L17" s="66"/>
      <c r="M17" s="66"/>
      <c r="N17" s="66"/>
      <c r="O17" s="66"/>
      <c r="P17" s="66"/>
      <c r="Q17" s="66" t="s">
        <v>130</v>
      </c>
      <c r="R17" s="66" t="s">
        <v>4</v>
      </c>
      <c r="S17" s="66" t="s">
        <v>72</v>
      </c>
      <c r="T17" s="67"/>
    </row>
    <row r="18" spans="2:20" x14ac:dyDescent="0.25">
      <c r="B18" s="1" t="s">
        <v>132</v>
      </c>
      <c r="C18" s="68">
        <f>C10</f>
        <v>210000</v>
      </c>
      <c r="D18" s="69">
        <f t="shared" ref="D18:T18" si="1">D10</f>
        <v>0</v>
      </c>
      <c r="E18" s="69">
        <f t="shared" si="1"/>
        <v>50000</v>
      </c>
      <c r="F18" s="69"/>
      <c r="G18" s="69"/>
      <c r="H18" s="69">
        <f t="shared" si="1"/>
        <v>20000</v>
      </c>
      <c r="I18" s="69">
        <f t="shared" si="1"/>
        <v>0</v>
      </c>
      <c r="J18" s="70">
        <f t="shared" si="1"/>
        <v>0</v>
      </c>
      <c r="K18" s="68">
        <f t="shared" si="1"/>
        <v>30000</v>
      </c>
      <c r="L18" s="69">
        <f t="shared" si="1"/>
        <v>0</v>
      </c>
      <c r="M18" s="69">
        <f t="shared" si="1"/>
        <v>0</v>
      </c>
      <c r="N18" s="69"/>
      <c r="O18" s="69"/>
      <c r="P18" s="69"/>
      <c r="Q18" s="69">
        <f t="shared" si="1"/>
        <v>150000</v>
      </c>
      <c r="R18" s="69">
        <f t="shared" si="1"/>
        <v>100000</v>
      </c>
      <c r="S18" s="69">
        <f t="shared" si="1"/>
        <v>0</v>
      </c>
      <c r="T18" s="70">
        <f t="shared" si="1"/>
        <v>0</v>
      </c>
    </row>
    <row r="19" spans="2:20" x14ac:dyDescent="0.25">
      <c r="B19">
        <v>1</v>
      </c>
      <c r="C19" s="71">
        <v>50000</v>
      </c>
      <c r="D19" s="72">
        <v>10000</v>
      </c>
      <c r="E19" s="72">
        <f>-E18*80%</f>
        <v>-40000</v>
      </c>
      <c r="F19" s="72"/>
      <c r="G19" s="72"/>
      <c r="H19" s="72"/>
      <c r="I19" s="72"/>
      <c r="J19" s="73"/>
      <c r="K19" s="71"/>
      <c r="L19" s="72"/>
      <c r="M19" s="72"/>
      <c r="N19" s="72"/>
      <c r="O19" s="72"/>
      <c r="P19" s="72"/>
      <c r="Q19" s="72"/>
      <c r="R19" s="72"/>
      <c r="S19" s="72"/>
      <c r="T19" s="73">
        <f>SUM(C19:E19)</f>
        <v>20000</v>
      </c>
    </row>
    <row r="20" spans="2:20" x14ac:dyDescent="0.25">
      <c r="B20">
        <f>B19+1</f>
        <v>2</v>
      </c>
      <c r="C20" s="71">
        <v>-10000</v>
      </c>
      <c r="D20" s="72"/>
      <c r="E20" s="72">
        <v>80000</v>
      </c>
      <c r="F20" s="72"/>
      <c r="G20" s="72"/>
      <c r="H20" s="72"/>
      <c r="I20" s="72"/>
      <c r="J20" s="73"/>
      <c r="K20" s="71">
        <v>70000</v>
      </c>
      <c r="L20" s="72"/>
      <c r="M20" s="72"/>
      <c r="N20" s="72"/>
      <c r="O20" s="72"/>
      <c r="P20" s="72"/>
      <c r="Q20" s="72"/>
      <c r="R20" s="72"/>
      <c r="S20" s="72"/>
      <c r="T20" s="73"/>
    </row>
    <row r="21" spans="2:20" x14ac:dyDescent="0.25">
      <c r="B21">
        <f t="shared" ref="B21:B23" si="2">B20+1</f>
        <v>3</v>
      </c>
      <c r="C21" s="71">
        <f>T21</f>
        <v>-8000</v>
      </c>
      <c r="D21" s="72"/>
      <c r="E21" s="72"/>
      <c r="F21" s="72"/>
      <c r="G21" s="72"/>
      <c r="H21" s="72"/>
      <c r="I21" s="72"/>
      <c r="J21" s="73"/>
      <c r="K21" s="71"/>
      <c r="L21" s="72"/>
      <c r="M21" s="72"/>
      <c r="N21" s="72"/>
      <c r="O21" s="72"/>
      <c r="P21" s="72"/>
      <c r="Q21" s="72"/>
      <c r="R21" s="72"/>
      <c r="S21" s="72"/>
      <c r="T21" s="73">
        <v>-8000</v>
      </c>
    </row>
    <row r="22" spans="2:20" x14ac:dyDescent="0.25">
      <c r="B22">
        <f t="shared" si="2"/>
        <v>4</v>
      </c>
      <c r="C22" s="71">
        <f>K22</f>
        <v>-30000</v>
      </c>
      <c r="D22" s="72"/>
      <c r="E22" s="72"/>
      <c r="F22" s="72"/>
      <c r="G22" s="72"/>
      <c r="H22" s="72"/>
      <c r="I22" s="72"/>
      <c r="J22" s="73"/>
      <c r="K22" s="71">
        <f>-K18</f>
        <v>-30000</v>
      </c>
      <c r="L22" s="72"/>
      <c r="M22" s="72"/>
      <c r="N22" s="72"/>
      <c r="O22" s="72"/>
      <c r="P22" s="72"/>
      <c r="Q22" s="72"/>
      <c r="R22" s="72"/>
      <c r="S22" s="72"/>
      <c r="T22" s="73"/>
    </row>
    <row r="23" spans="2:20" x14ac:dyDescent="0.25">
      <c r="B23">
        <f t="shared" si="2"/>
        <v>5</v>
      </c>
      <c r="C23" s="71">
        <v>-180000</v>
      </c>
      <c r="D23" s="72"/>
      <c r="E23" s="72"/>
      <c r="F23" s="72"/>
      <c r="G23" s="72"/>
      <c r="H23" s="72"/>
      <c r="I23" s="72">
        <f>-C23</f>
        <v>180000</v>
      </c>
      <c r="J23" s="73"/>
      <c r="K23" s="71"/>
      <c r="L23" s="72"/>
      <c r="M23" s="72"/>
      <c r="N23" s="72"/>
      <c r="O23" s="72"/>
      <c r="P23" s="72"/>
      <c r="Q23" s="72"/>
      <c r="R23" s="72"/>
      <c r="S23" s="72"/>
      <c r="T23" s="73"/>
    </row>
    <row r="24" spans="2:20" x14ac:dyDescent="0.25">
      <c r="B24">
        <f>B23+1</f>
        <v>6</v>
      </c>
      <c r="C24" s="71">
        <v>-3000</v>
      </c>
      <c r="D24" s="72"/>
      <c r="E24" s="72"/>
      <c r="F24" s="72"/>
      <c r="G24" s="72"/>
      <c r="H24" s="72"/>
      <c r="I24" s="72"/>
      <c r="J24" s="73"/>
      <c r="K24" s="71"/>
      <c r="L24" s="72"/>
      <c r="M24" s="72"/>
      <c r="N24" s="72"/>
      <c r="O24" s="72"/>
      <c r="P24" s="72"/>
      <c r="Q24" s="72"/>
      <c r="R24" s="72"/>
      <c r="S24" s="72"/>
      <c r="T24" s="73">
        <v>-3000</v>
      </c>
    </row>
    <row r="25" spans="2:20" x14ac:dyDescent="0.25">
      <c r="B25" t="s">
        <v>13</v>
      </c>
      <c r="C25" s="71"/>
      <c r="D25" s="72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2"/>
      <c r="R25" s="72"/>
      <c r="S25" s="72">
        <f>-T25</f>
        <v>9000</v>
      </c>
      <c r="T25" s="73">
        <f>-SUM(T19:T24)</f>
        <v>-9000</v>
      </c>
    </row>
    <row r="26" spans="2:20" x14ac:dyDescent="0.25">
      <c r="B26" s="1" t="s">
        <v>133</v>
      </c>
      <c r="C26" s="74">
        <f>SUM(C18:C25)</f>
        <v>29000</v>
      </c>
      <c r="D26" s="75">
        <f>SUM(D18:D25)</f>
        <v>10000</v>
      </c>
      <c r="E26" s="75">
        <f>SUM(E18:E25)</f>
        <v>90000</v>
      </c>
      <c r="F26" s="75"/>
      <c r="G26" s="75"/>
      <c r="H26" s="75">
        <f t="shared" ref="H26:M26" si="3">SUM(H18:H25)</f>
        <v>20000</v>
      </c>
      <c r="I26" s="75">
        <f t="shared" si="3"/>
        <v>180000</v>
      </c>
      <c r="J26" s="76">
        <f t="shared" si="3"/>
        <v>0</v>
      </c>
      <c r="K26" s="74">
        <f t="shared" si="3"/>
        <v>70000</v>
      </c>
      <c r="L26" s="75">
        <f t="shared" si="3"/>
        <v>0</v>
      </c>
      <c r="M26" s="75">
        <f t="shared" si="3"/>
        <v>0</v>
      </c>
      <c r="N26" s="75"/>
      <c r="O26" s="75"/>
      <c r="P26" s="75"/>
      <c r="Q26" s="75">
        <f>SUM(Q18:Q25)</f>
        <v>150000</v>
      </c>
      <c r="R26" s="75">
        <f>SUM(R18:R25)</f>
        <v>100000</v>
      </c>
      <c r="S26" s="75">
        <f>SUM(S18:S25)</f>
        <v>9000</v>
      </c>
      <c r="T26" s="76">
        <f>SUM(T18:T25)</f>
        <v>0</v>
      </c>
    </row>
    <row r="28" spans="2:20" x14ac:dyDescent="0.25">
      <c r="C28" s="77" t="s">
        <v>60</v>
      </c>
      <c r="D28" s="78">
        <f>SUM(C26:J26)</f>
        <v>329000</v>
      </c>
      <c r="E28" s="79"/>
      <c r="F28" s="84"/>
      <c r="G28" s="84"/>
      <c r="I28" t="s">
        <v>135</v>
      </c>
      <c r="J28" s="72">
        <f>(SUM(R26:S26,R10,S10)/2)</f>
        <v>104500</v>
      </c>
    </row>
    <row r="29" spans="2:20" x14ac:dyDescent="0.25">
      <c r="C29" s="80" t="s">
        <v>129</v>
      </c>
      <c r="D29" s="81">
        <f>SUM(K26:T26)</f>
        <v>329000</v>
      </c>
      <c r="E29" s="82">
        <f>D29-D28</f>
        <v>0</v>
      </c>
      <c r="F29" s="85"/>
      <c r="G29" s="85"/>
      <c r="I29" t="s">
        <v>136</v>
      </c>
      <c r="J29" s="72">
        <f>S25</f>
        <v>9000</v>
      </c>
      <c r="K29" s="83">
        <f>J29/J28</f>
        <v>8.6124401913875603E-2</v>
      </c>
    </row>
    <row r="31" spans="2:20" x14ac:dyDescent="0.25">
      <c r="C31" s="127" t="s">
        <v>137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</row>
    <row r="32" spans="2:20" x14ac:dyDescent="0.25">
      <c r="C32" s="128" t="s">
        <v>126</v>
      </c>
      <c r="D32" s="129"/>
      <c r="E32" s="129"/>
      <c r="F32" s="129"/>
      <c r="G32" s="129"/>
      <c r="H32" s="129"/>
      <c r="I32" s="129"/>
      <c r="J32" s="130"/>
      <c r="K32" s="128" t="s">
        <v>127</v>
      </c>
      <c r="L32" s="129"/>
      <c r="M32" s="129"/>
      <c r="N32" s="129"/>
      <c r="O32" s="129"/>
      <c r="P32" s="129"/>
      <c r="Q32" s="129"/>
      <c r="R32" s="129"/>
      <c r="S32" s="129"/>
      <c r="T32" s="130"/>
    </row>
    <row r="33" spans="2:20" ht="30" x14ac:dyDescent="0.25">
      <c r="C33" s="65" t="s">
        <v>128</v>
      </c>
      <c r="D33" s="66" t="s">
        <v>62</v>
      </c>
      <c r="E33" s="66" t="s">
        <v>63</v>
      </c>
      <c r="F33" s="66"/>
      <c r="G33" s="66"/>
      <c r="H33" s="66" t="s">
        <v>65</v>
      </c>
      <c r="I33" s="66" t="s">
        <v>9</v>
      </c>
      <c r="J33" s="67"/>
      <c r="K33" s="65" t="s">
        <v>7</v>
      </c>
      <c r="L33" s="66" t="s">
        <v>70</v>
      </c>
      <c r="M33" s="66"/>
      <c r="N33" s="66"/>
      <c r="O33" s="66"/>
      <c r="P33" s="66"/>
      <c r="Q33" s="66" t="s">
        <v>130</v>
      </c>
      <c r="R33" s="66" t="s">
        <v>4</v>
      </c>
      <c r="S33" s="66" t="s">
        <v>72</v>
      </c>
      <c r="T33" s="67"/>
    </row>
    <row r="34" spans="2:20" x14ac:dyDescent="0.25">
      <c r="B34" s="1" t="s">
        <v>132</v>
      </c>
      <c r="C34" s="68">
        <f>C26</f>
        <v>29000</v>
      </c>
      <c r="D34" s="69">
        <f t="shared" ref="D34:T34" si="4">D26</f>
        <v>10000</v>
      </c>
      <c r="E34" s="69">
        <f t="shared" si="4"/>
        <v>90000</v>
      </c>
      <c r="F34" s="69"/>
      <c r="G34" s="69"/>
      <c r="H34" s="69">
        <f t="shared" si="4"/>
        <v>20000</v>
      </c>
      <c r="I34" s="69">
        <f t="shared" si="4"/>
        <v>180000</v>
      </c>
      <c r="J34" s="70">
        <f t="shared" si="4"/>
        <v>0</v>
      </c>
      <c r="K34" s="68">
        <f t="shared" si="4"/>
        <v>70000</v>
      </c>
      <c r="L34" s="69">
        <f t="shared" si="4"/>
        <v>0</v>
      </c>
      <c r="M34" s="69">
        <f t="shared" si="4"/>
        <v>0</v>
      </c>
      <c r="N34" s="69"/>
      <c r="O34" s="69"/>
      <c r="P34" s="69"/>
      <c r="Q34" s="69">
        <f t="shared" si="4"/>
        <v>150000</v>
      </c>
      <c r="R34" s="69">
        <f t="shared" si="4"/>
        <v>100000</v>
      </c>
      <c r="S34" s="69">
        <f t="shared" si="4"/>
        <v>9000</v>
      </c>
      <c r="T34" s="70">
        <f t="shared" si="4"/>
        <v>0</v>
      </c>
    </row>
    <row r="35" spans="2:20" x14ac:dyDescent="0.25">
      <c r="B35">
        <v>1</v>
      </c>
      <c r="C35" s="71">
        <f>-D35</f>
        <v>10000</v>
      </c>
      <c r="D35" s="72">
        <v>-10000</v>
      </c>
      <c r="E35" s="72"/>
      <c r="F35" s="72"/>
      <c r="G35" s="72"/>
      <c r="H35" s="72"/>
      <c r="I35" s="72"/>
      <c r="J35" s="73"/>
      <c r="K35" s="71"/>
      <c r="L35" s="72"/>
      <c r="M35" s="72"/>
      <c r="N35" s="72"/>
      <c r="O35" s="72"/>
      <c r="P35" s="72"/>
      <c r="Q35" s="72"/>
      <c r="R35" s="72"/>
      <c r="S35" s="72"/>
      <c r="T35" s="73"/>
    </row>
    <row r="36" spans="2:20" x14ac:dyDescent="0.25">
      <c r="B36">
        <f>B35+1</f>
        <v>2</v>
      </c>
      <c r="C36" s="71">
        <v>130000</v>
      </c>
      <c r="D36" s="72">
        <v>20000</v>
      </c>
      <c r="E36" s="72">
        <v>-90000</v>
      </c>
      <c r="F36" s="72"/>
      <c r="G36" s="72"/>
      <c r="H36" s="72"/>
      <c r="I36" s="72"/>
      <c r="J36" s="73"/>
      <c r="K36" s="71"/>
      <c r="L36" s="72"/>
      <c r="M36" s="72"/>
      <c r="N36" s="72"/>
      <c r="O36" s="72"/>
      <c r="P36" s="72"/>
      <c r="Q36" s="72"/>
      <c r="R36" s="72"/>
      <c r="S36" s="72"/>
      <c r="T36" s="73">
        <f>SUM(C36:E36)</f>
        <v>60000</v>
      </c>
    </row>
    <row r="37" spans="2:20" x14ac:dyDescent="0.25">
      <c r="B37">
        <f t="shared" ref="B37:B43" si="5">B36+1</f>
        <v>3</v>
      </c>
      <c r="C37" s="71">
        <v>-70000</v>
      </c>
      <c r="D37" s="72"/>
      <c r="E37" s="72"/>
      <c r="F37" s="72"/>
      <c r="G37" s="72"/>
      <c r="H37" s="72"/>
      <c r="I37" s="72"/>
      <c r="J37" s="73"/>
      <c r="K37" s="71">
        <f>C37</f>
        <v>-70000</v>
      </c>
      <c r="L37" s="72"/>
      <c r="M37" s="72"/>
      <c r="N37" s="72"/>
      <c r="O37" s="72"/>
      <c r="P37" s="72"/>
      <c r="Q37" s="72"/>
      <c r="R37" s="72"/>
      <c r="S37" s="72"/>
      <c r="T37" s="73"/>
    </row>
    <row r="38" spans="2:20" x14ac:dyDescent="0.25">
      <c r="B38">
        <f t="shared" si="5"/>
        <v>4</v>
      </c>
      <c r="C38" s="71">
        <v>-2000</v>
      </c>
      <c r="D38" s="72"/>
      <c r="E38" s="72"/>
      <c r="F38" s="72"/>
      <c r="G38" s="72"/>
      <c r="H38" s="72"/>
      <c r="I38" s="72"/>
      <c r="J38" s="73"/>
      <c r="K38" s="71"/>
      <c r="L38" s="72"/>
      <c r="M38" s="72"/>
      <c r="N38" s="72"/>
      <c r="O38" s="72"/>
      <c r="P38" s="72"/>
      <c r="Q38" s="72"/>
      <c r="R38" s="72"/>
      <c r="S38" s="72"/>
      <c r="T38" s="73">
        <f>C38</f>
        <v>-2000</v>
      </c>
    </row>
    <row r="39" spans="2:20" x14ac:dyDescent="0.25">
      <c r="B39">
        <f t="shared" si="5"/>
        <v>5</v>
      </c>
      <c r="C39" s="71">
        <v>-10000</v>
      </c>
      <c r="D39" s="72"/>
      <c r="E39" s="72">
        <v>100000</v>
      </c>
      <c r="F39" s="72"/>
      <c r="G39" s="72"/>
      <c r="H39" s="72"/>
      <c r="I39" s="72"/>
      <c r="J39" s="73"/>
      <c r="K39" s="71">
        <v>90000</v>
      </c>
      <c r="L39" s="72"/>
      <c r="M39" s="72"/>
      <c r="N39" s="72"/>
      <c r="O39" s="72"/>
      <c r="P39" s="72"/>
      <c r="Q39" s="72"/>
      <c r="R39" s="72"/>
      <c r="S39" s="72"/>
      <c r="T39" s="73"/>
    </row>
    <row r="40" spans="2:20" x14ac:dyDescent="0.25">
      <c r="B40">
        <f t="shared" si="5"/>
        <v>6</v>
      </c>
      <c r="C40" s="71">
        <v>-50000</v>
      </c>
      <c r="D40" s="72"/>
      <c r="E40" s="72"/>
      <c r="F40" s="72"/>
      <c r="G40" s="72"/>
      <c r="H40" s="72"/>
      <c r="I40" s="72"/>
      <c r="J40" s="73"/>
      <c r="K40" s="71"/>
      <c r="L40" s="72"/>
      <c r="M40" s="72"/>
      <c r="N40" s="72"/>
      <c r="O40" s="72"/>
      <c r="P40" s="72"/>
      <c r="Q40" s="72">
        <f>C40</f>
        <v>-50000</v>
      </c>
      <c r="R40" s="72"/>
      <c r="S40" s="72"/>
      <c r="T40" s="73"/>
    </row>
    <row r="41" spans="2:20" x14ac:dyDescent="0.25">
      <c r="B41">
        <f t="shared" si="5"/>
        <v>7</v>
      </c>
      <c r="C41" s="71"/>
      <c r="D41" s="72"/>
      <c r="E41" s="72"/>
      <c r="F41" s="72"/>
      <c r="G41" s="72"/>
      <c r="H41" s="72"/>
      <c r="I41" s="72"/>
      <c r="J41" s="73">
        <f>-180000/60</f>
        <v>-3000</v>
      </c>
      <c r="K41" s="71"/>
      <c r="L41" s="72"/>
      <c r="M41" s="72"/>
      <c r="N41" s="72"/>
      <c r="O41" s="72"/>
      <c r="P41" s="72"/>
      <c r="Q41" s="72"/>
      <c r="R41" s="72"/>
      <c r="S41" s="72"/>
      <c r="T41" s="73">
        <f>J41</f>
        <v>-3000</v>
      </c>
    </row>
    <row r="42" spans="2:20" x14ac:dyDescent="0.25">
      <c r="B42">
        <f t="shared" si="5"/>
        <v>8</v>
      </c>
      <c r="C42" s="71"/>
      <c r="D42" s="72"/>
      <c r="E42" s="72"/>
      <c r="F42" s="72"/>
      <c r="G42" s="72"/>
      <c r="H42" s="72"/>
      <c r="I42" s="72"/>
      <c r="J42" s="73"/>
      <c r="K42" s="71"/>
      <c r="L42" s="72">
        <f>-T42</f>
        <v>23000</v>
      </c>
      <c r="M42" s="72"/>
      <c r="N42" s="72"/>
      <c r="O42" s="72"/>
      <c r="P42" s="72"/>
      <c r="Q42" s="72"/>
      <c r="R42" s="72"/>
      <c r="S42" s="72"/>
      <c r="T42" s="73">
        <v>-23000</v>
      </c>
    </row>
    <row r="43" spans="2:20" x14ac:dyDescent="0.25">
      <c r="B43">
        <f t="shared" si="5"/>
        <v>9</v>
      </c>
      <c r="C43" s="71"/>
      <c r="D43" s="72"/>
      <c r="E43" s="72"/>
      <c r="F43" s="72"/>
      <c r="G43" s="72"/>
      <c r="H43" s="72"/>
      <c r="I43" s="72"/>
      <c r="J43" s="73"/>
      <c r="K43" s="71"/>
      <c r="L43" s="72">
        <f t="shared" ref="L43" si="6">-T43</f>
        <v>20000</v>
      </c>
      <c r="M43" s="72"/>
      <c r="N43" s="72"/>
      <c r="O43" s="72"/>
      <c r="P43" s="72"/>
      <c r="Q43" s="72"/>
      <c r="R43" s="72"/>
      <c r="S43" s="72"/>
      <c r="T43" s="73">
        <v>-20000</v>
      </c>
    </row>
    <row r="44" spans="2:20" x14ac:dyDescent="0.25">
      <c r="B44" t="s">
        <v>13</v>
      </c>
      <c r="C44" s="71"/>
      <c r="D44" s="72"/>
      <c r="E44" s="72"/>
      <c r="F44" s="72"/>
      <c r="G44" s="72"/>
      <c r="H44" s="72"/>
      <c r="I44" s="72"/>
      <c r="J44" s="73"/>
      <c r="K44" s="71"/>
      <c r="L44" s="72"/>
      <c r="M44" s="72"/>
      <c r="N44" s="72"/>
      <c r="O44" s="72"/>
      <c r="P44" s="72"/>
      <c r="Q44" s="72"/>
      <c r="R44" s="72"/>
      <c r="S44" s="72">
        <f>-T44</f>
        <v>12000</v>
      </c>
      <c r="T44" s="73">
        <f>-SUM(T35:T43)</f>
        <v>-12000</v>
      </c>
    </row>
    <row r="45" spans="2:20" x14ac:dyDescent="0.25">
      <c r="B45" s="1" t="s">
        <v>133</v>
      </c>
      <c r="C45" s="74">
        <f>SUM(C34:C44)</f>
        <v>37000</v>
      </c>
      <c r="D45" s="75">
        <f>SUM(D34:D44)</f>
        <v>20000</v>
      </c>
      <c r="E45" s="75">
        <f>SUM(E34:E44)</f>
        <v>100000</v>
      </c>
      <c r="F45" s="75"/>
      <c r="G45" s="75"/>
      <c r="H45" s="75">
        <f t="shared" ref="H45:M45" si="7">SUM(H34:H44)</f>
        <v>20000</v>
      </c>
      <c r="I45" s="75">
        <f t="shared" si="7"/>
        <v>180000</v>
      </c>
      <c r="J45" s="76">
        <f t="shared" si="7"/>
        <v>-3000</v>
      </c>
      <c r="K45" s="74">
        <f t="shared" si="7"/>
        <v>90000</v>
      </c>
      <c r="L45" s="75">
        <f t="shared" si="7"/>
        <v>43000</v>
      </c>
      <c r="M45" s="75">
        <f t="shared" si="7"/>
        <v>0</v>
      </c>
      <c r="N45" s="75"/>
      <c r="O45" s="75"/>
      <c r="P45" s="75"/>
      <c r="Q45" s="75">
        <f>SUM(Q34:Q44)</f>
        <v>100000</v>
      </c>
      <c r="R45" s="75">
        <f>SUM(R34:R44)</f>
        <v>100000</v>
      </c>
      <c r="S45" s="75">
        <f>SUM(S34:S44)</f>
        <v>21000</v>
      </c>
      <c r="T45" s="76">
        <f>SUM(T34:T44)</f>
        <v>0</v>
      </c>
    </row>
    <row r="47" spans="2:20" x14ac:dyDescent="0.25">
      <c r="C47" s="77" t="s">
        <v>60</v>
      </c>
      <c r="D47" s="78">
        <f>SUM(C45:J45)</f>
        <v>354000</v>
      </c>
      <c r="E47" s="79"/>
      <c r="F47" s="84"/>
      <c r="G47" s="84"/>
      <c r="I47" t="s">
        <v>135</v>
      </c>
      <c r="J47" s="72">
        <f>(SUM(R45:S45,R26,S26)/2)</f>
        <v>115000</v>
      </c>
      <c r="L47">
        <f>J47*8%</f>
        <v>9200</v>
      </c>
    </row>
    <row r="48" spans="2:20" x14ac:dyDescent="0.25">
      <c r="C48" s="80" t="s">
        <v>129</v>
      </c>
      <c r="D48" s="81">
        <f>SUM(K45:T45)</f>
        <v>354000</v>
      </c>
      <c r="E48" s="82">
        <f>D48-D47</f>
        <v>0</v>
      </c>
      <c r="F48" s="85"/>
      <c r="G48" s="85"/>
      <c r="I48" t="s">
        <v>136</v>
      </c>
      <c r="J48" s="72">
        <f>S44</f>
        <v>12000</v>
      </c>
      <c r="K48" s="83">
        <f>J48/J47</f>
        <v>0.10434782608695652</v>
      </c>
    </row>
    <row r="50" spans="2:20" x14ac:dyDescent="0.25">
      <c r="C50" s="127" t="s">
        <v>141</v>
      </c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</row>
    <row r="51" spans="2:20" x14ac:dyDescent="0.25">
      <c r="C51" s="128" t="s">
        <v>126</v>
      </c>
      <c r="D51" s="129"/>
      <c r="E51" s="129"/>
      <c r="F51" s="129"/>
      <c r="G51" s="129"/>
      <c r="H51" s="129"/>
      <c r="I51" s="129"/>
      <c r="J51" s="130"/>
      <c r="K51" s="128" t="s">
        <v>127</v>
      </c>
      <c r="L51" s="129"/>
      <c r="M51" s="129"/>
      <c r="N51" s="129"/>
      <c r="O51" s="129"/>
      <c r="P51" s="129"/>
      <c r="Q51" s="129"/>
      <c r="R51" s="129"/>
      <c r="S51" s="129"/>
      <c r="T51" s="130"/>
    </row>
    <row r="52" spans="2:20" ht="30" x14ac:dyDescent="0.25">
      <c r="C52" s="65" t="s">
        <v>128</v>
      </c>
      <c r="D52" s="66" t="s">
        <v>62</v>
      </c>
      <c r="E52" s="66" t="s">
        <v>63</v>
      </c>
      <c r="F52" s="66"/>
      <c r="G52" s="66"/>
      <c r="H52" s="66" t="s">
        <v>65</v>
      </c>
      <c r="I52" s="66" t="s">
        <v>9</v>
      </c>
      <c r="J52" s="67"/>
      <c r="K52" s="65" t="s">
        <v>7</v>
      </c>
      <c r="L52" s="66" t="s">
        <v>70</v>
      </c>
      <c r="M52" s="66"/>
      <c r="N52" s="66"/>
      <c r="O52" s="66"/>
      <c r="P52" s="66"/>
      <c r="Q52" s="66" t="s">
        <v>130</v>
      </c>
      <c r="R52" s="66" t="s">
        <v>4</v>
      </c>
      <c r="S52" s="66" t="s">
        <v>72</v>
      </c>
      <c r="T52" s="67"/>
    </row>
    <row r="53" spans="2:20" x14ac:dyDescent="0.25">
      <c r="B53" s="1" t="s">
        <v>132</v>
      </c>
      <c r="C53" s="68">
        <f>C45</f>
        <v>37000</v>
      </c>
      <c r="D53" s="69">
        <f t="shared" ref="D53:T53" si="8">D45</f>
        <v>20000</v>
      </c>
      <c r="E53" s="69">
        <f t="shared" si="8"/>
        <v>100000</v>
      </c>
      <c r="F53" s="69"/>
      <c r="G53" s="69"/>
      <c r="H53" s="69">
        <f t="shared" si="8"/>
        <v>20000</v>
      </c>
      <c r="I53" s="69">
        <f t="shared" si="8"/>
        <v>180000</v>
      </c>
      <c r="J53" s="70">
        <f t="shared" si="8"/>
        <v>-3000</v>
      </c>
      <c r="K53" s="68">
        <f t="shared" si="8"/>
        <v>90000</v>
      </c>
      <c r="L53" s="69">
        <f t="shared" si="8"/>
        <v>43000</v>
      </c>
      <c r="M53" s="69">
        <f t="shared" si="8"/>
        <v>0</v>
      </c>
      <c r="N53" s="69"/>
      <c r="O53" s="69"/>
      <c r="P53" s="69"/>
      <c r="Q53" s="69">
        <f t="shared" si="8"/>
        <v>100000</v>
      </c>
      <c r="R53" s="69">
        <f t="shared" si="8"/>
        <v>100000</v>
      </c>
      <c r="S53" s="69">
        <f t="shared" si="8"/>
        <v>21000</v>
      </c>
      <c r="T53" s="70">
        <f t="shared" si="8"/>
        <v>0</v>
      </c>
    </row>
    <row r="54" spans="2:20" x14ac:dyDescent="0.25">
      <c r="B54">
        <v>1</v>
      </c>
      <c r="C54" s="71">
        <f>-D54</f>
        <v>20000</v>
      </c>
      <c r="D54" s="72">
        <v>-20000</v>
      </c>
      <c r="E54" s="72"/>
      <c r="F54" s="72"/>
      <c r="G54" s="72"/>
      <c r="H54" s="72"/>
      <c r="I54" s="72"/>
      <c r="J54" s="73"/>
      <c r="K54" s="71"/>
      <c r="L54" s="72"/>
      <c r="M54" s="72"/>
      <c r="N54" s="72"/>
      <c r="O54" s="72"/>
      <c r="P54" s="72"/>
      <c r="Q54" s="72"/>
      <c r="R54" s="72"/>
      <c r="S54" s="72"/>
      <c r="T54" s="73"/>
    </row>
    <row r="55" spans="2:20" x14ac:dyDescent="0.25">
      <c r="B55">
        <f>B54+1</f>
        <v>2</v>
      </c>
      <c r="C55" s="71">
        <v>130000</v>
      </c>
      <c r="D55" s="72">
        <v>50000</v>
      </c>
      <c r="E55" s="72">
        <v>-100000</v>
      </c>
      <c r="F55" s="72"/>
      <c r="G55" s="72"/>
      <c r="H55" s="72"/>
      <c r="I55" s="72"/>
      <c r="J55" s="73"/>
      <c r="K55" s="71"/>
      <c r="L55" s="72"/>
      <c r="M55" s="72"/>
      <c r="N55" s="72"/>
      <c r="O55" s="72"/>
      <c r="P55" s="72"/>
      <c r="Q55" s="72"/>
      <c r="R55" s="72"/>
      <c r="S55" s="72"/>
      <c r="T55" s="73">
        <f>SUM(C55:E55)</f>
        <v>80000</v>
      </c>
    </row>
    <row r="56" spans="2:20" x14ac:dyDescent="0.25">
      <c r="B56">
        <f t="shared" ref="B56:B61" si="9">B55+1</f>
        <v>3</v>
      </c>
      <c r="C56" s="71">
        <f>SUM(K56:L56)</f>
        <v>-133000</v>
      </c>
      <c r="D56" s="72"/>
      <c r="E56" s="72"/>
      <c r="F56" s="72"/>
      <c r="G56" s="72"/>
      <c r="H56" s="72"/>
      <c r="I56" s="72"/>
      <c r="J56" s="73"/>
      <c r="K56" s="71">
        <v>-90000</v>
      </c>
      <c r="L56" s="72">
        <v>-43000</v>
      </c>
      <c r="M56" s="72"/>
      <c r="N56" s="72"/>
      <c r="O56" s="72"/>
      <c r="P56" s="72"/>
      <c r="Q56" s="72"/>
      <c r="R56" s="72"/>
      <c r="S56" s="72"/>
      <c r="T56" s="73"/>
    </row>
    <row r="57" spans="2:20" x14ac:dyDescent="0.25">
      <c r="B57">
        <f t="shared" si="9"/>
        <v>4</v>
      </c>
      <c r="C57" s="71">
        <f>T57</f>
        <v>-2000</v>
      </c>
      <c r="D57" s="72"/>
      <c r="E57" s="72"/>
      <c r="F57" s="72"/>
      <c r="G57" s="72"/>
      <c r="H57" s="72"/>
      <c r="I57" s="72"/>
      <c r="J57" s="73"/>
      <c r="K57" s="71"/>
      <c r="L57" s="72"/>
      <c r="M57" s="72"/>
      <c r="N57" s="72"/>
      <c r="O57" s="72"/>
      <c r="P57" s="72"/>
      <c r="Q57" s="72"/>
      <c r="R57" s="72"/>
      <c r="S57" s="72"/>
      <c r="T57" s="73">
        <v>-2000</v>
      </c>
    </row>
    <row r="58" spans="2:20" x14ac:dyDescent="0.25">
      <c r="B58">
        <f t="shared" si="9"/>
        <v>5</v>
      </c>
      <c r="C58" s="71">
        <v>-50000</v>
      </c>
      <c r="D58" s="72"/>
      <c r="E58" s="72">
        <v>150000</v>
      </c>
      <c r="F58" s="72"/>
      <c r="G58" s="72"/>
      <c r="H58" s="72"/>
      <c r="I58" s="72"/>
      <c r="J58" s="73"/>
      <c r="K58" s="71">
        <v>100000</v>
      </c>
      <c r="L58" s="72"/>
      <c r="M58" s="72"/>
      <c r="N58" s="72"/>
      <c r="O58" s="72"/>
      <c r="P58" s="72"/>
      <c r="Q58" s="72"/>
      <c r="R58" s="72"/>
      <c r="S58" s="72"/>
      <c r="T58" s="73"/>
    </row>
    <row r="59" spans="2:20" x14ac:dyDescent="0.25">
      <c r="B59">
        <f t="shared" si="9"/>
        <v>6</v>
      </c>
      <c r="C59" s="71"/>
      <c r="D59" s="72"/>
      <c r="E59" s="72"/>
      <c r="F59" s="72"/>
      <c r="G59" s="72"/>
      <c r="H59" s="72"/>
      <c r="I59" s="72"/>
      <c r="J59" s="73">
        <v>-3000</v>
      </c>
      <c r="K59" s="71"/>
      <c r="L59" s="72"/>
      <c r="M59" s="72"/>
      <c r="N59" s="72"/>
      <c r="O59" s="72"/>
      <c r="P59" s="72"/>
      <c r="Q59" s="72"/>
      <c r="R59" s="72"/>
      <c r="S59" s="72"/>
      <c r="T59" s="73">
        <f>J59</f>
        <v>-3000</v>
      </c>
    </row>
    <row r="60" spans="2:20" x14ac:dyDescent="0.25">
      <c r="B60">
        <f t="shared" si="9"/>
        <v>7</v>
      </c>
      <c r="C60" s="71"/>
      <c r="D60" s="72"/>
      <c r="E60" s="72"/>
      <c r="F60" s="72"/>
      <c r="G60" s="72"/>
      <c r="H60" s="72"/>
      <c r="I60" s="72"/>
      <c r="J60" s="73"/>
      <c r="K60" s="71"/>
      <c r="L60" s="72">
        <f>-T60</f>
        <v>30000</v>
      </c>
      <c r="M60" s="72"/>
      <c r="N60" s="72"/>
      <c r="O60" s="72"/>
      <c r="P60" s="72"/>
      <c r="Q60" s="72"/>
      <c r="R60" s="72"/>
      <c r="S60" s="72"/>
      <c r="T60" s="73">
        <v>-30000</v>
      </c>
    </row>
    <row r="61" spans="2:20" x14ac:dyDescent="0.25">
      <c r="B61">
        <f t="shared" si="9"/>
        <v>8</v>
      </c>
      <c r="C61" s="71"/>
      <c r="D61" s="72"/>
      <c r="E61" s="72"/>
      <c r="F61" s="72"/>
      <c r="G61" s="72"/>
      <c r="H61" s="72"/>
      <c r="I61" s="72"/>
      <c r="J61" s="73"/>
      <c r="K61" s="71"/>
      <c r="L61" s="72">
        <f t="shared" ref="L61" si="10">-T61</f>
        <v>25000</v>
      </c>
      <c r="M61" s="72"/>
      <c r="N61" s="72"/>
      <c r="O61" s="72"/>
      <c r="P61" s="72"/>
      <c r="Q61" s="72"/>
      <c r="R61" s="72"/>
      <c r="S61" s="72"/>
      <c r="T61" s="73">
        <v>-25000</v>
      </c>
    </row>
    <row r="62" spans="2:20" x14ac:dyDescent="0.25">
      <c r="B62" t="s">
        <v>13</v>
      </c>
      <c r="C62" s="71"/>
      <c r="D62" s="72"/>
      <c r="E62" s="72"/>
      <c r="F62" s="72"/>
      <c r="G62" s="72"/>
      <c r="H62" s="72"/>
      <c r="I62" s="72"/>
      <c r="J62" s="73"/>
      <c r="K62" s="71"/>
      <c r="L62" s="72"/>
      <c r="M62" s="72"/>
      <c r="N62" s="72"/>
      <c r="O62" s="72"/>
      <c r="P62" s="72"/>
      <c r="Q62" s="72"/>
      <c r="R62" s="72"/>
      <c r="S62" s="72">
        <f>-T62</f>
        <v>20000</v>
      </c>
      <c r="T62" s="73">
        <f>-SUM(T54:T61)</f>
        <v>-20000</v>
      </c>
    </row>
    <row r="63" spans="2:20" x14ac:dyDescent="0.25">
      <c r="B63" s="1" t="s">
        <v>133</v>
      </c>
      <c r="C63" s="74">
        <f>SUM(C53:C62)</f>
        <v>2000</v>
      </c>
      <c r="D63" s="75">
        <f>SUM(D53:D62)</f>
        <v>50000</v>
      </c>
      <c r="E63" s="75">
        <f>SUM(E53:E62)</f>
        <v>150000</v>
      </c>
      <c r="F63" s="75"/>
      <c r="G63" s="75"/>
      <c r="H63" s="75">
        <f t="shared" ref="H63:M63" si="11">SUM(H53:H62)</f>
        <v>20000</v>
      </c>
      <c r="I63" s="75">
        <f t="shared" si="11"/>
        <v>180000</v>
      </c>
      <c r="J63" s="76">
        <f t="shared" si="11"/>
        <v>-6000</v>
      </c>
      <c r="K63" s="74">
        <f t="shared" si="11"/>
        <v>100000</v>
      </c>
      <c r="L63" s="75">
        <f t="shared" si="11"/>
        <v>55000</v>
      </c>
      <c r="M63" s="75">
        <f t="shared" si="11"/>
        <v>0</v>
      </c>
      <c r="N63" s="75"/>
      <c r="O63" s="75"/>
      <c r="P63" s="75"/>
      <c r="Q63" s="75">
        <f>SUM(Q53:Q62)</f>
        <v>100000</v>
      </c>
      <c r="R63" s="75">
        <f>SUM(R53:R62)</f>
        <v>100000</v>
      </c>
      <c r="S63" s="75">
        <f>SUM(S53:S62)</f>
        <v>41000</v>
      </c>
      <c r="T63" s="76">
        <f>SUM(T53:T62)</f>
        <v>0</v>
      </c>
    </row>
    <row r="65" spans="2:20" x14ac:dyDescent="0.25">
      <c r="C65" s="77" t="s">
        <v>60</v>
      </c>
      <c r="D65" s="78">
        <f>SUM(C63:J63)</f>
        <v>396000</v>
      </c>
      <c r="E65" s="79"/>
      <c r="F65" s="84"/>
      <c r="G65" s="84"/>
      <c r="I65" t="s">
        <v>135</v>
      </c>
      <c r="J65" s="72">
        <f>(SUM(R63:S63,R45,S45)/2)</f>
        <v>131000</v>
      </c>
      <c r="L65">
        <f>J65*12%</f>
        <v>15720</v>
      </c>
    </row>
    <row r="66" spans="2:20" x14ac:dyDescent="0.25">
      <c r="C66" s="80" t="s">
        <v>129</v>
      </c>
      <c r="D66" s="81">
        <f>SUM(K63:T63)</f>
        <v>396000</v>
      </c>
      <c r="E66" s="82">
        <f>D66-D65</f>
        <v>0</v>
      </c>
      <c r="F66" s="85"/>
      <c r="G66" s="85"/>
      <c r="I66" t="s">
        <v>136</v>
      </c>
      <c r="J66" s="72">
        <f>S62</f>
        <v>20000</v>
      </c>
      <c r="K66" s="83">
        <f>J66/J65</f>
        <v>0.15267175572519084</v>
      </c>
    </row>
    <row r="68" spans="2:20" x14ac:dyDescent="0.25">
      <c r="C68" s="127" t="s">
        <v>155</v>
      </c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</row>
    <row r="69" spans="2:20" x14ac:dyDescent="0.25">
      <c r="C69" s="128" t="s">
        <v>126</v>
      </c>
      <c r="D69" s="129"/>
      <c r="E69" s="129"/>
      <c r="F69" s="129"/>
      <c r="G69" s="129"/>
      <c r="H69" s="129"/>
      <c r="I69" s="129"/>
      <c r="J69" s="130"/>
      <c r="K69" s="128" t="s">
        <v>127</v>
      </c>
      <c r="L69" s="129"/>
      <c r="M69" s="129"/>
      <c r="N69" s="129"/>
      <c r="O69" s="129"/>
      <c r="P69" s="129"/>
      <c r="Q69" s="129"/>
      <c r="R69" s="129"/>
      <c r="S69" s="129"/>
      <c r="T69" s="130"/>
    </row>
    <row r="70" spans="2:20" ht="30" x14ac:dyDescent="0.25">
      <c r="C70" s="65" t="s">
        <v>128</v>
      </c>
      <c r="D70" s="66" t="s">
        <v>62</v>
      </c>
      <c r="E70" s="66" t="s">
        <v>63</v>
      </c>
      <c r="F70" s="66"/>
      <c r="G70" s="66"/>
      <c r="H70" s="66" t="s">
        <v>65</v>
      </c>
      <c r="I70" s="66" t="s">
        <v>9</v>
      </c>
      <c r="J70" s="67"/>
      <c r="K70" s="65" t="s">
        <v>7</v>
      </c>
      <c r="L70" s="66" t="s">
        <v>70</v>
      </c>
      <c r="M70" s="66"/>
      <c r="N70" s="66"/>
      <c r="O70" s="66"/>
      <c r="P70" s="66"/>
      <c r="Q70" s="66" t="s">
        <v>130</v>
      </c>
      <c r="R70" s="66" t="s">
        <v>4</v>
      </c>
      <c r="S70" s="66" t="s">
        <v>72</v>
      </c>
      <c r="T70" s="67"/>
    </row>
    <row r="71" spans="2:20" x14ac:dyDescent="0.25">
      <c r="B71" s="1" t="s">
        <v>132</v>
      </c>
      <c r="C71" s="68">
        <f>C63</f>
        <v>2000</v>
      </c>
      <c r="D71" s="69">
        <f t="shared" ref="D71:T71" si="12">D63</f>
        <v>50000</v>
      </c>
      <c r="E71" s="69">
        <f t="shared" si="12"/>
        <v>150000</v>
      </c>
      <c r="F71" s="69"/>
      <c r="G71" s="69"/>
      <c r="H71" s="69">
        <f t="shared" si="12"/>
        <v>20000</v>
      </c>
      <c r="I71" s="69">
        <f t="shared" si="12"/>
        <v>180000</v>
      </c>
      <c r="J71" s="70">
        <f t="shared" si="12"/>
        <v>-6000</v>
      </c>
      <c r="K71" s="68">
        <f t="shared" si="12"/>
        <v>100000</v>
      </c>
      <c r="L71" s="69">
        <f t="shared" si="12"/>
        <v>55000</v>
      </c>
      <c r="M71" s="69">
        <f t="shared" si="12"/>
        <v>0</v>
      </c>
      <c r="N71" s="69"/>
      <c r="O71" s="69"/>
      <c r="P71" s="69"/>
      <c r="Q71" s="69">
        <f t="shared" si="12"/>
        <v>100000</v>
      </c>
      <c r="R71" s="69">
        <f t="shared" si="12"/>
        <v>100000</v>
      </c>
      <c r="S71" s="69">
        <f t="shared" si="12"/>
        <v>41000</v>
      </c>
      <c r="T71" s="70">
        <f t="shared" si="12"/>
        <v>0</v>
      </c>
    </row>
    <row r="72" spans="2:20" x14ac:dyDescent="0.25">
      <c r="B72">
        <v>1</v>
      </c>
      <c r="C72" s="71">
        <f>-D72</f>
        <v>50000</v>
      </c>
      <c r="D72" s="72">
        <v>-50000</v>
      </c>
      <c r="E72" s="72"/>
      <c r="F72" s="72"/>
      <c r="G72" s="72"/>
      <c r="H72" s="72"/>
      <c r="I72" s="72"/>
      <c r="J72" s="73"/>
      <c r="K72" s="71"/>
      <c r="L72" s="72"/>
      <c r="M72" s="72"/>
      <c r="N72" s="72"/>
      <c r="O72" s="72"/>
      <c r="P72" s="72"/>
      <c r="Q72" s="72"/>
      <c r="R72" s="72"/>
      <c r="S72" s="72"/>
      <c r="T72" s="73"/>
    </row>
    <row r="73" spans="2:20" x14ac:dyDescent="0.25">
      <c r="B73">
        <f>B72+1</f>
        <v>2</v>
      </c>
      <c r="C73" s="71">
        <v>200000</v>
      </c>
      <c r="D73" s="72">
        <v>50000</v>
      </c>
      <c r="E73" s="72">
        <v>-150000</v>
      </c>
      <c r="F73" s="72"/>
      <c r="G73" s="72"/>
      <c r="H73" s="72"/>
      <c r="I73" s="72"/>
      <c r="J73" s="73"/>
      <c r="K73" s="71"/>
      <c r="L73" s="72"/>
      <c r="M73" s="72"/>
      <c r="N73" s="72"/>
      <c r="O73" s="72"/>
      <c r="P73" s="72"/>
      <c r="Q73" s="72"/>
      <c r="R73" s="72"/>
      <c r="S73" s="72"/>
      <c r="T73" s="73">
        <f>SUM(C73:E73)</f>
        <v>100000</v>
      </c>
    </row>
    <row r="74" spans="2:20" x14ac:dyDescent="0.25">
      <c r="B74">
        <f t="shared" ref="B74:B80" si="13">B73+1</f>
        <v>3</v>
      </c>
      <c r="C74" s="71">
        <v>-155000</v>
      </c>
      <c r="D74" s="72"/>
      <c r="E74" s="72"/>
      <c r="F74" s="72"/>
      <c r="G74" s="72"/>
      <c r="H74" s="72"/>
      <c r="I74" s="72"/>
      <c r="J74" s="73"/>
      <c r="K74" s="71">
        <f>-K71</f>
        <v>-100000</v>
      </c>
      <c r="L74" s="72">
        <f>-L71</f>
        <v>-55000</v>
      </c>
      <c r="M74" s="72"/>
      <c r="N74" s="72"/>
      <c r="O74" s="72"/>
      <c r="P74" s="72"/>
      <c r="Q74" s="72"/>
      <c r="R74" s="72"/>
      <c r="S74" s="72"/>
      <c r="T74" s="73"/>
    </row>
    <row r="75" spans="2:20" x14ac:dyDescent="0.25">
      <c r="B75">
        <f t="shared" si="13"/>
        <v>4</v>
      </c>
      <c r="C75" s="71">
        <v>-2000</v>
      </c>
      <c r="D75" s="72"/>
      <c r="E75" s="72"/>
      <c r="F75" s="72"/>
      <c r="G75" s="72"/>
      <c r="H75" s="72"/>
      <c r="I75" s="72"/>
      <c r="J75" s="73"/>
      <c r="K75" s="71"/>
      <c r="L75" s="72"/>
      <c r="M75" s="72"/>
      <c r="N75" s="72"/>
      <c r="O75" s="72"/>
      <c r="P75" s="72"/>
      <c r="Q75" s="72"/>
      <c r="R75" s="72"/>
      <c r="S75" s="72"/>
      <c r="T75" s="73">
        <f>C75</f>
        <v>-2000</v>
      </c>
    </row>
    <row r="76" spans="2:20" x14ac:dyDescent="0.25">
      <c r="B76">
        <f t="shared" si="13"/>
        <v>5</v>
      </c>
      <c r="C76" s="71">
        <v>-50000</v>
      </c>
      <c r="D76" s="72"/>
      <c r="E76" s="72">
        <v>200000</v>
      </c>
      <c r="F76" s="72"/>
      <c r="G76" s="72"/>
      <c r="H76" s="72"/>
      <c r="I76" s="72"/>
      <c r="J76" s="73"/>
      <c r="K76" s="71">
        <v>150000</v>
      </c>
      <c r="L76" s="72"/>
      <c r="M76" s="72"/>
      <c r="N76" s="72"/>
      <c r="O76" s="72"/>
      <c r="P76" s="72"/>
      <c r="Q76" s="72"/>
      <c r="R76" s="72"/>
      <c r="S76" s="72"/>
      <c r="T76" s="73"/>
    </row>
    <row r="77" spans="2:20" x14ac:dyDescent="0.25">
      <c r="B77">
        <f t="shared" si="13"/>
        <v>6</v>
      </c>
      <c r="C77" s="71">
        <v>-40000</v>
      </c>
      <c r="D77" s="72"/>
      <c r="E77" s="72"/>
      <c r="F77" s="72"/>
      <c r="G77" s="72"/>
      <c r="H77" s="72"/>
      <c r="I77" s="72"/>
      <c r="J77" s="73"/>
      <c r="K77" s="71"/>
      <c r="L77" s="72"/>
      <c r="M77" s="72"/>
      <c r="N77" s="72"/>
      <c r="O77" s="72"/>
      <c r="P77" s="72"/>
      <c r="Q77" s="72">
        <v>-40000</v>
      </c>
      <c r="R77" s="72"/>
      <c r="S77" s="72"/>
      <c r="T77" s="73"/>
    </row>
    <row r="78" spans="2:20" x14ac:dyDescent="0.25">
      <c r="B78">
        <f t="shared" si="13"/>
        <v>7</v>
      </c>
      <c r="C78" s="71"/>
      <c r="D78" s="72"/>
      <c r="E78" s="72"/>
      <c r="F78" s="72"/>
      <c r="G78" s="72"/>
      <c r="H78" s="72"/>
      <c r="I78" s="72"/>
      <c r="J78" s="73">
        <v>-3000</v>
      </c>
      <c r="K78" s="71"/>
      <c r="L78" s="72"/>
      <c r="M78" s="72"/>
      <c r="N78" s="72"/>
      <c r="O78" s="72"/>
      <c r="P78" s="72"/>
      <c r="Q78" s="72"/>
      <c r="R78" s="72"/>
      <c r="S78" s="72"/>
      <c r="T78" s="73">
        <f>J78</f>
        <v>-3000</v>
      </c>
    </row>
    <row r="79" spans="2:20" x14ac:dyDescent="0.25">
      <c r="B79">
        <f t="shared" si="13"/>
        <v>8</v>
      </c>
      <c r="C79" s="71"/>
      <c r="D79" s="72"/>
      <c r="E79" s="72"/>
      <c r="F79" s="72"/>
      <c r="G79" s="72"/>
      <c r="H79" s="72"/>
      <c r="I79" s="72"/>
      <c r="J79" s="73"/>
      <c r="K79" s="71"/>
      <c r="L79" s="72">
        <f>-T79</f>
        <v>50000</v>
      </c>
      <c r="M79" s="72"/>
      <c r="N79" s="72"/>
      <c r="O79" s="72"/>
      <c r="P79" s="72"/>
      <c r="Q79" s="72"/>
      <c r="R79" s="72"/>
      <c r="S79" s="72"/>
      <c r="T79" s="73">
        <v>-50000</v>
      </c>
    </row>
    <row r="80" spans="2:20" x14ac:dyDescent="0.25">
      <c r="B80">
        <f t="shared" si="13"/>
        <v>9</v>
      </c>
      <c r="C80" s="71"/>
      <c r="D80" s="72"/>
      <c r="E80" s="72"/>
      <c r="F80" s="72"/>
      <c r="G80" s="72"/>
      <c r="H80" s="72"/>
      <c r="I80" s="72"/>
      <c r="J80" s="73"/>
      <c r="K80" s="71"/>
      <c r="L80" s="72">
        <f t="shared" ref="L80" si="14">-T80</f>
        <v>25000</v>
      </c>
      <c r="M80" s="72"/>
      <c r="N80" s="72"/>
      <c r="O80" s="72"/>
      <c r="P80" s="72"/>
      <c r="Q80" s="72"/>
      <c r="R80" s="72"/>
      <c r="S80" s="72"/>
      <c r="T80" s="73">
        <v>-25000</v>
      </c>
    </row>
    <row r="81" spans="2:20" x14ac:dyDescent="0.25">
      <c r="B81" t="s">
        <v>13</v>
      </c>
      <c r="C81" s="71"/>
      <c r="D81" s="72"/>
      <c r="E81" s="72"/>
      <c r="F81" s="72"/>
      <c r="G81" s="72"/>
      <c r="H81" s="72"/>
      <c r="I81" s="72"/>
      <c r="J81" s="73"/>
      <c r="K81" s="71"/>
      <c r="L81" s="72"/>
      <c r="M81" s="72"/>
      <c r="N81" s="72"/>
      <c r="O81" s="72"/>
      <c r="P81" s="72"/>
      <c r="Q81" s="72"/>
      <c r="R81" s="72"/>
      <c r="S81" s="72">
        <f>-T81</f>
        <v>20000</v>
      </c>
      <c r="T81" s="73">
        <f>-SUM(T72:T80)</f>
        <v>-20000</v>
      </c>
    </row>
    <row r="82" spans="2:20" x14ac:dyDescent="0.25">
      <c r="B82" s="1" t="s">
        <v>133</v>
      </c>
      <c r="C82" s="74">
        <f>SUM(C71:C81)</f>
        <v>5000</v>
      </c>
      <c r="D82" s="75">
        <f>SUM(D71:D81)</f>
        <v>50000</v>
      </c>
      <c r="E82" s="75">
        <f>SUM(E71:E81)</f>
        <v>200000</v>
      </c>
      <c r="F82" s="75"/>
      <c r="G82" s="75"/>
      <c r="H82" s="75">
        <f t="shared" ref="H82:M82" si="15">SUM(H71:H81)</f>
        <v>20000</v>
      </c>
      <c r="I82" s="75">
        <f t="shared" si="15"/>
        <v>180000</v>
      </c>
      <c r="J82" s="76">
        <f t="shared" si="15"/>
        <v>-9000</v>
      </c>
      <c r="K82" s="74">
        <f t="shared" si="15"/>
        <v>150000</v>
      </c>
      <c r="L82" s="75">
        <f t="shared" si="15"/>
        <v>75000</v>
      </c>
      <c r="M82" s="75">
        <f t="shared" si="15"/>
        <v>0</v>
      </c>
      <c r="N82" s="75"/>
      <c r="O82" s="75"/>
      <c r="P82" s="75"/>
      <c r="Q82" s="75">
        <f>SUM(Q71:Q81)</f>
        <v>60000</v>
      </c>
      <c r="R82" s="75">
        <f>SUM(R71:R81)</f>
        <v>100000</v>
      </c>
      <c r="S82" s="75">
        <f>SUM(S71:S81)</f>
        <v>61000</v>
      </c>
      <c r="T82" s="76">
        <f>SUM(T71:T81)</f>
        <v>0</v>
      </c>
    </row>
    <row r="84" spans="2:20" x14ac:dyDescent="0.25">
      <c r="C84" s="77" t="s">
        <v>60</v>
      </c>
      <c r="D84" s="78">
        <f>SUM(C82:J82)</f>
        <v>446000</v>
      </c>
      <c r="E84" s="79"/>
      <c r="F84" s="84"/>
      <c r="G84" s="84"/>
      <c r="I84" t="s">
        <v>135</v>
      </c>
      <c r="J84" s="72">
        <f>(SUM(R82:S82,R63,S63)/2)</f>
        <v>151000</v>
      </c>
      <c r="L84">
        <f>J84*12%</f>
        <v>18120</v>
      </c>
    </row>
    <row r="85" spans="2:20" x14ac:dyDescent="0.25">
      <c r="C85" s="80" t="s">
        <v>129</v>
      </c>
      <c r="D85" s="81">
        <f>SUM(K82:T82)</f>
        <v>446000</v>
      </c>
      <c r="E85" s="82">
        <f>D85-D84</f>
        <v>0</v>
      </c>
      <c r="F85" s="85"/>
      <c r="G85" s="85"/>
      <c r="I85" t="s">
        <v>136</v>
      </c>
      <c r="J85" s="72">
        <f>S81</f>
        <v>20000</v>
      </c>
      <c r="K85" s="83">
        <f>J85/J84</f>
        <v>0.13245033112582782</v>
      </c>
    </row>
    <row r="87" spans="2:20" x14ac:dyDescent="0.25">
      <c r="C87" s="127" t="s">
        <v>158</v>
      </c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</row>
    <row r="88" spans="2:20" x14ac:dyDescent="0.25">
      <c r="C88" s="128" t="s">
        <v>126</v>
      </c>
      <c r="D88" s="129"/>
      <c r="E88" s="129"/>
      <c r="F88" s="129"/>
      <c r="G88" s="129"/>
      <c r="H88" s="129"/>
      <c r="I88" s="129"/>
      <c r="J88" s="130"/>
      <c r="K88" s="128" t="s">
        <v>127</v>
      </c>
      <c r="L88" s="129"/>
      <c r="M88" s="129"/>
      <c r="N88" s="129"/>
      <c r="O88" s="129"/>
      <c r="P88" s="129"/>
      <c r="Q88" s="129"/>
      <c r="R88" s="129"/>
      <c r="S88" s="129"/>
      <c r="T88" s="130"/>
    </row>
    <row r="89" spans="2:20" ht="30" x14ac:dyDescent="0.25">
      <c r="C89" s="65" t="s">
        <v>128</v>
      </c>
      <c r="D89" s="66" t="s">
        <v>62</v>
      </c>
      <c r="E89" s="66" t="s">
        <v>63</v>
      </c>
      <c r="F89" s="66"/>
      <c r="G89" s="66"/>
      <c r="H89" s="66" t="s">
        <v>65</v>
      </c>
      <c r="I89" s="66" t="s">
        <v>9</v>
      </c>
      <c r="J89" s="67"/>
      <c r="K89" s="65" t="s">
        <v>7</v>
      </c>
      <c r="L89" s="66" t="s">
        <v>70</v>
      </c>
      <c r="M89" s="66"/>
      <c r="N89" s="66"/>
      <c r="O89" s="66"/>
      <c r="P89" s="66"/>
      <c r="Q89" s="66" t="s">
        <v>130</v>
      </c>
      <c r="R89" s="66" t="s">
        <v>4</v>
      </c>
      <c r="S89" s="66" t="s">
        <v>72</v>
      </c>
      <c r="T89" s="67"/>
    </row>
    <row r="90" spans="2:20" x14ac:dyDescent="0.25">
      <c r="B90" s="1" t="s">
        <v>132</v>
      </c>
      <c r="C90" s="68">
        <f>C82</f>
        <v>5000</v>
      </c>
      <c r="D90" s="69">
        <f t="shared" ref="D90:T90" si="16">D82</f>
        <v>50000</v>
      </c>
      <c r="E90" s="69">
        <f t="shared" si="16"/>
        <v>200000</v>
      </c>
      <c r="F90" s="69"/>
      <c r="G90" s="69"/>
      <c r="H90" s="69">
        <f t="shared" si="16"/>
        <v>20000</v>
      </c>
      <c r="I90" s="69">
        <f t="shared" si="16"/>
        <v>180000</v>
      </c>
      <c r="J90" s="70">
        <f t="shared" si="16"/>
        <v>-9000</v>
      </c>
      <c r="K90" s="68">
        <f t="shared" si="16"/>
        <v>150000</v>
      </c>
      <c r="L90" s="69">
        <f t="shared" si="16"/>
        <v>75000</v>
      </c>
      <c r="M90" s="69">
        <f t="shared" si="16"/>
        <v>0</v>
      </c>
      <c r="N90" s="69"/>
      <c r="O90" s="69"/>
      <c r="P90" s="69"/>
      <c r="Q90" s="69">
        <f t="shared" si="16"/>
        <v>60000</v>
      </c>
      <c r="R90" s="69">
        <f t="shared" si="16"/>
        <v>100000</v>
      </c>
      <c r="S90" s="69">
        <f t="shared" si="16"/>
        <v>61000</v>
      </c>
      <c r="T90" s="70">
        <f t="shared" si="16"/>
        <v>0</v>
      </c>
    </row>
    <row r="91" spans="2:20" x14ac:dyDescent="0.25">
      <c r="B91">
        <v>1</v>
      </c>
      <c r="C91" s="71">
        <f>-D91</f>
        <v>30000</v>
      </c>
      <c r="D91" s="72">
        <f>-D90*60%</f>
        <v>-30000</v>
      </c>
      <c r="E91" s="72"/>
      <c r="F91" s="72"/>
      <c r="G91" s="72"/>
      <c r="H91" s="72"/>
      <c r="I91" s="72"/>
      <c r="J91" s="73"/>
      <c r="K91" s="71"/>
      <c r="L91" s="72"/>
      <c r="M91" s="72"/>
      <c r="N91" s="72"/>
      <c r="O91" s="72"/>
      <c r="P91" s="72"/>
      <c r="Q91" s="72"/>
      <c r="R91" s="72"/>
      <c r="S91" s="72"/>
      <c r="T91" s="73"/>
    </row>
    <row r="92" spans="2:20" x14ac:dyDescent="0.25">
      <c r="B92">
        <f>B91+1</f>
        <v>2</v>
      </c>
      <c r="C92" s="71">
        <v>200000</v>
      </c>
      <c r="D92" s="72">
        <v>100000</v>
      </c>
      <c r="E92" s="72">
        <f>-E90</f>
        <v>-200000</v>
      </c>
      <c r="F92" s="72"/>
      <c r="G92" s="72"/>
      <c r="H92" s="72"/>
      <c r="I92" s="72"/>
      <c r="J92" s="73"/>
      <c r="K92" s="71"/>
      <c r="L92" s="72"/>
      <c r="M92" s="72"/>
      <c r="N92" s="72"/>
      <c r="O92" s="72"/>
      <c r="P92" s="72"/>
      <c r="Q92" s="72"/>
      <c r="R92" s="72"/>
      <c r="S92" s="72"/>
      <c r="T92" s="73">
        <f>SUM(C92:E92)</f>
        <v>100000</v>
      </c>
    </row>
    <row r="93" spans="2:20" x14ac:dyDescent="0.25">
      <c r="B93">
        <f t="shared" ref="B93:B100" si="17">B92+1</f>
        <v>3</v>
      </c>
      <c r="C93" s="71">
        <f>SUM(K93:L93)</f>
        <v>-180000</v>
      </c>
      <c r="D93" s="72"/>
      <c r="E93" s="72"/>
      <c r="F93" s="72"/>
      <c r="G93" s="72"/>
      <c r="H93" s="72"/>
      <c r="I93" s="72"/>
      <c r="J93" s="73"/>
      <c r="K93" s="71">
        <f>-K90*70%</f>
        <v>-105000</v>
      </c>
      <c r="L93" s="72">
        <f>-L90</f>
        <v>-75000</v>
      </c>
      <c r="M93" s="72"/>
      <c r="N93" s="72"/>
      <c r="O93" s="72"/>
      <c r="P93" s="72"/>
      <c r="Q93" s="72"/>
      <c r="R93" s="72"/>
      <c r="S93" s="72"/>
      <c r="T93" s="73"/>
    </row>
    <row r="94" spans="2:20" x14ac:dyDescent="0.25">
      <c r="B94">
        <f t="shared" si="17"/>
        <v>4</v>
      </c>
      <c r="C94" s="71">
        <v>-1200</v>
      </c>
      <c r="D94" s="72"/>
      <c r="E94" s="72"/>
      <c r="F94" s="72"/>
      <c r="G94" s="72"/>
      <c r="H94" s="72"/>
      <c r="I94" s="72"/>
      <c r="J94" s="73"/>
      <c r="K94" s="71"/>
      <c r="L94" s="72"/>
      <c r="M94" s="72"/>
      <c r="N94" s="72"/>
      <c r="O94" s="72"/>
      <c r="P94" s="72"/>
      <c r="Q94" s="72"/>
      <c r="R94" s="72"/>
      <c r="S94" s="72"/>
      <c r="T94" s="73">
        <f>C94</f>
        <v>-1200</v>
      </c>
    </row>
    <row r="95" spans="2:20" x14ac:dyDescent="0.25">
      <c r="B95">
        <f t="shared" si="17"/>
        <v>5</v>
      </c>
      <c r="C95" s="71">
        <v>-50000</v>
      </c>
      <c r="D95" s="72"/>
      <c r="E95" s="72">
        <v>300000</v>
      </c>
      <c r="F95" s="72"/>
      <c r="G95" s="72"/>
      <c r="H95" s="72"/>
      <c r="I95" s="72"/>
      <c r="J95" s="73"/>
      <c r="K95" s="71">
        <v>250000</v>
      </c>
      <c r="L95" s="72"/>
      <c r="M95" s="72"/>
      <c r="N95" s="72"/>
      <c r="O95" s="72"/>
      <c r="P95" s="72"/>
      <c r="Q95" s="72"/>
      <c r="R95" s="72"/>
      <c r="S95" s="72"/>
      <c r="T95" s="73"/>
    </row>
    <row r="96" spans="2:20" x14ac:dyDescent="0.25">
      <c r="B96">
        <f t="shared" si="17"/>
        <v>6</v>
      </c>
      <c r="C96" s="71"/>
      <c r="D96" s="72"/>
      <c r="E96" s="72"/>
      <c r="F96" s="72"/>
      <c r="G96" s="72"/>
      <c r="H96" s="72"/>
      <c r="I96" s="72"/>
      <c r="J96" s="73">
        <v>-3000</v>
      </c>
      <c r="K96" s="71"/>
      <c r="L96" s="72"/>
      <c r="M96" s="72"/>
      <c r="N96" s="72"/>
      <c r="O96" s="72"/>
      <c r="P96" s="72"/>
      <c r="Q96" s="72"/>
      <c r="R96" s="72"/>
      <c r="S96" s="72"/>
      <c r="T96" s="73">
        <f>J96</f>
        <v>-3000</v>
      </c>
    </row>
    <row r="97" spans="2:20" x14ac:dyDescent="0.25">
      <c r="B97">
        <f t="shared" si="17"/>
        <v>7</v>
      </c>
      <c r="C97" s="71"/>
      <c r="D97" s="72"/>
      <c r="E97" s="72"/>
      <c r="F97" s="72"/>
      <c r="G97" s="72"/>
      <c r="H97" s="72"/>
      <c r="I97" s="72"/>
      <c r="J97" s="73"/>
      <c r="K97" s="71"/>
      <c r="L97" s="72">
        <f>-T97</f>
        <v>45800</v>
      </c>
      <c r="M97" s="72"/>
      <c r="N97" s="72"/>
      <c r="O97" s="72"/>
      <c r="P97" s="72"/>
      <c r="Q97" s="72"/>
      <c r="R97" s="72"/>
      <c r="S97" s="72"/>
      <c r="T97" s="73">
        <f>-70800+25000</f>
        <v>-45800</v>
      </c>
    </row>
    <row r="98" spans="2:20" x14ac:dyDescent="0.25">
      <c r="B98">
        <f t="shared" si="17"/>
        <v>8</v>
      </c>
      <c r="C98" s="71"/>
      <c r="D98" s="72"/>
      <c r="E98" s="72"/>
      <c r="F98" s="72"/>
      <c r="G98" s="72"/>
      <c r="H98" s="72"/>
      <c r="I98" s="72"/>
      <c r="J98" s="73"/>
      <c r="K98" s="71"/>
      <c r="L98" s="72">
        <f t="shared" ref="L98" si="18">-T98</f>
        <v>25000</v>
      </c>
      <c r="M98" s="72"/>
      <c r="N98" s="72"/>
      <c r="O98" s="72"/>
      <c r="P98" s="72"/>
      <c r="Q98" s="72"/>
      <c r="R98" s="72"/>
      <c r="S98" s="72"/>
      <c r="T98" s="73">
        <v>-25000</v>
      </c>
    </row>
    <row r="99" spans="2:20" x14ac:dyDescent="0.25">
      <c r="B99">
        <f t="shared" si="17"/>
        <v>9</v>
      </c>
      <c r="C99" s="71">
        <v>400000</v>
      </c>
      <c r="D99" s="72"/>
      <c r="E99" s="72"/>
      <c r="F99" s="72"/>
      <c r="G99" s="72"/>
      <c r="H99" s="72"/>
      <c r="I99" s="72"/>
      <c r="J99" s="73"/>
      <c r="K99" s="71"/>
      <c r="L99" s="72"/>
      <c r="M99" s="72"/>
      <c r="N99" s="72"/>
      <c r="O99" s="72"/>
      <c r="P99" s="72"/>
      <c r="Q99" s="72">
        <f>C99</f>
        <v>400000</v>
      </c>
      <c r="R99" s="72"/>
      <c r="S99" s="72"/>
      <c r="T99" s="73"/>
    </row>
    <row r="100" spans="2:20" x14ac:dyDescent="0.25">
      <c r="B100">
        <f t="shared" si="17"/>
        <v>10</v>
      </c>
      <c r="C100" s="71">
        <v>-360000</v>
      </c>
      <c r="D100" s="72"/>
      <c r="E100" s="72"/>
      <c r="F100" s="72"/>
      <c r="G100" s="72"/>
      <c r="H100" s="72"/>
      <c r="I100" s="72">
        <f>-C100</f>
        <v>360000</v>
      </c>
      <c r="J100" s="73"/>
      <c r="K100" s="71"/>
      <c r="L100" s="72"/>
      <c r="M100" s="72"/>
      <c r="N100" s="72"/>
      <c r="O100" s="72"/>
      <c r="P100" s="72"/>
      <c r="Q100" s="72"/>
      <c r="R100" s="72"/>
      <c r="S100" s="72"/>
      <c r="T100" s="73"/>
    </row>
    <row r="101" spans="2:20" x14ac:dyDescent="0.25">
      <c r="B101" t="s">
        <v>13</v>
      </c>
      <c r="C101" s="71"/>
      <c r="D101" s="72"/>
      <c r="E101" s="72"/>
      <c r="F101" s="72"/>
      <c r="G101" s="72"/>
      <c r="H101" s="72"/>
      <c r="I101" s="72"/>
      <c r="J101" s="73"/>
      <c r="K101" s="71"/>
      <c r="L101" s="72"/>
      <c r="M101" s="72"/>
      <c r="N101" s="72"/>
      <c r="O101" s="72"/>
      <c r="P101" s="72"/>
      <c r="Q101" s="72"/>
      <c r="R101" s="72"/>
      <c r="S101" s="72">
        <f>-T101</f>
        <v>25000</v>
      </c>
      <c r="T101" s="73">
        <f>-SUM(T91:T100)</f>
        <v>-25000</v>
      </c>
    </row>
    <row r="102" spans="2:20" x14ac:dyDescent="0.25">
      <c r="B102" s="1" t="s">
        <v>133</v>
      </c>
      <c r="C102" s="74">
        <f>SUM(C90:C101)</f>
        <v>43800</v>
      </c>
      <c r="D102" s="75">
        <f>SUM(D90:D101)</f>
        <v>120000</v>
      </c>
      <c r="E102" s="75">
        <f>SUM(E90:E101)</f>
        <v>300000</v>
      </c>
      <c r="F102" s="75"/>
      <c r="G102" s="75"/>
      <c r="H102" s="75">
        <f t="shared" ref="H102:M102" si="19">SUM(H90:H101)</f>
        <v>20000</v>
      </c>
      <c r="I102" s="75">
        <f t="shared" si="19"/>
        <v>540000</v>
      </c>
      <c r="J102" s="76">
        <f t="shared" si="19"/>
        <v>-12000</v>
      </c>
      <c r="K102" s="74">
        <f t="shared" si="19"/>
        <v>295000</v>
      </c>
      <c r="L102" s="75">
        <f t="shared" si="19"/>
        <v>70800</v>
      </c>
      <c r="M102" s="75">
        <f t="shared" si="19"/>
        <v>0</v>
      </c>
      <c r="N102" s="75"/>
      <c r="O102" s="75"/>
      <c r="P102" s="75"/>
      <c r="Q102" s="75">
        <f>SUM(Q90:Q101)</f>
        <v>460000</v>
      </c>
      <c r="R102" s="75">
        <f>SUM(R90:R101)</f>
        <v>100000</v>
      </c>
      <c r="S102" s="75">
        <f>SUM(S90:S101)</f>
        <v>86000</v>
      </c>
      <c r="T102" s="76">
        <f>SUM(T90:T101)</f>
        <v>0</v>
      </c>
    </row>
    <row r="104" spans="2:20" x14ac:dyDescent="0.25">
      <c r="C104" s="77" t="s">
        <v>60</v>
      </c>
      <c r="D104" s="78">
        <f>SUM(C102:J102)</f>
        <v>1011800</v>
      </c>
      <c r="E104" s="79"/>
      <c r="F104" s="84"/>
      <c r="G104" s="84"/>
      <c r="I104" t="s">
        <v>135</v>
      </c>
      <c r="J104" s="72">
        <f>(SUM(R102:S102,R82,S82)/2)</f>
        <v>173500</v>
      </c>
      <c r="L104">
        <f>J104*12%</f>
        <v>20820</v>
      </c>
    </row>
    <row r="105" spans="2:20" x14ac:dyDescent="0.25">
      <c r="C105" s="80" t="s">
        <v>129</v>
      </c>
      <c r="D105" s="81">
        <f>SUM(K102:T102)</f>
        <v>1011800</v>
      </c>
      <c r="E105" s="82">
        <f>D105-D104</f>
        <v>0</v>
      </c>
      <c r="F105" s="85"/>
      <c r="G105" s="85"/>
      <c r="I105" t="s">
        <v>136</v>
      </c>
      <c r="J105" s="72">
        <f>S101</f>
        <v>25000</v>
      </c>
      <c r="K105" s="83">
        <f>J105/J104</f>
        <v>0.14409221902017291</v>
      </c>
    </row>
    <row r="107" spans="2:20" x14ac:dyDescent="0.25">
      <c r="C107" s="127" t="s">
        <v>160</v>
      </c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</row>
    <row r="108" spans="2:20" x14ac:dyDescent="0.25">
      <c r="C108" s="128" t="s">
        <v>126</v>
      </c>
      <c r="D108" s="129"/>
      <c r="E108" s="129"/>
      <c r="F108" s="129"/>
      <c r="G108" s="129"/>
      <c r="H108" s="129"/>
      <c r="I108" s="129"/>
      <c r="J108" s="130"/>
      <c r="K108" s="128" t="s">
        <v>127</v>
      </c>
      <c r="L108" s="129"/>
      <c r="M108" s="129"/>
      <c r="N108" s="129"/>
      <c r="O108" s="129"/>
      <c r="P108" s="129"/>
      <c r="Q108" s="129"/>
      <c r="R108" s="129"/>
      <c r="S108" s="129"/>
      <c r="T108" s="130"/>
    </row>
    <row r="109" spans="2:20" ht="30" x14ac:dyDescent="0.25">
      <c r="C109" s="65" t="s">
        <v>128</v>
      </c>
      <c r="D109" s="66" t="s">
        <v>62</v>
      </c>
      <c r="E109" s="66" t="s">
        <v>63</v>
      </c>
      <c r="F109" s="66" t="s">
        <v>161</v>
      </c>
      <c r="G109" s="66"/>
      <c r="H109" s="66" t="s">
        <v>65</v>
      </c>
      <c r="I109" s="66" t="s">
        <v>9</v>
      </c>
      <c r="J109" s="67"/>
      <c r="K109" s="65" t="s">
        <v>7</v>
      </c>
      <c r="L109" s="66" t="s">
        <v>70</v>
      </c>
      <c r="M109" s="66" t="s">
        <v>177</v>
      </c>
      <c r="N109" s="66"/>
      <c r="O109" s="66"/>
      <c r="P109" s="66" t="s">
        <v>178</v>
      </c>
      <c r="Q109" s="66" t="s">
        <v>130</v>
      </c>
      <c r="R109" s="66" t="s">
        <v>4</v>
      </c>
      <c r="S109" s="66" t="s">
        <v>72</v>
      </c>
      <c r="T109" s="67"/>
    </row>
    <row r="110" spans="2:20" x14ac:dyDescent="0.25">
      <c r="B110" s="1" t="s">
        <v>132</v>
      </c>
      <c r="C110" s="68">
        <f>C102</f>
        <v>43800</v>
      </c>
      <c r="D110" s="69">
        <f t="shared" ref="D110:T110" si="20">D102</f>
        <v>120000</v>
      </c>
      <c r="E110" s="69">
        <f t="shared" si="20"/>
        <v>300000</v>
      </c>
      <c r="F110" s="69">
        <f t="shared" si="20"/>
        <v>0</v>
      </c>
      <c r="G110" s="69"/>
      <c r="H110" s="69">
        <f t="shared" si="20"/>
        <v>20000</v>
      </c>
      <c r="I110" s="69">
        <f t="shared" si="20"/>
        <v>540000</v>
      </c>
      <c r="J110" s="70">
        <f t="shared" si="20"/>
        <v>-12000</v>
      </c>
      <c r="K110" s="68">
        <f t="shared" si="20"/>
        <v>295000</v>
      </c>
      <c r="L110" s="69">
        <f t="shared" si="20"/>
        <v>70800</v>
      </c>
      <c r="M110" s="69">
        <f t="shared" si="20"/>
        <v>0</v>
      </c>
      <c r="N110" s="69"/>
      <c r="O110" s="69"/>
      <c r="P110" s="69">
        <f t="shared" si="20"/>
        <v>0</v>
      </c>
      <c r="Q110" s="69">
        <f t="shared" si="20"/>
        <v>460000</v>
      </c>
      <c r="R110" s="69">
        <f t="shared" si="20"/>
        <v>100000</v>
      </c>
      <c r="S110" s="69">
        <f t="shared" si="20"/>
        <v>86000</v>
      </c>
      <c r="T110" s="70">
        <f t="shared" si="20"/>
        <v>0</v>
      </c>
    </row>
    <row r="111" spans="2:20" x14ac:dyDescent="0.25">
      <c r="B111">
        <v>1</v>
      </c>
      <c r="C111" s="71">
        <v>120000</v>
      </c>
      <c r="D111" s="72">
        <v>-120000</v>
      </c>
      <c r="E111" s="72"/>
      <c r="F111" s="72"/>
      <c r="G111" s="72"/>
      <c r="H111" s="72"/>
      <c r="I111" s="72"/>
      <c r="J111" s="73"/>
      <c r="K111" s="71"/>
      <c r="L111" s="72"/>
      <c r="M111" s="72"/>
      <c r="N111" s="72"/>
      <c r="O111" s="72"/>
      <c r="P111" s="72"/>
      <c r="Q111" s="72"/>
      <c r="R111" s="72"/>
      <c r="S111" s="72"/>
      <c r="T111" s="73"/>
    </row>
    <row r="112" spans="2:20" x14ac:dyDescent="0.25">
      <c r="B112">
        <f>B111+1</f>
        <v>2</v>
      </c>
      <c r="C112" s="71">
        <v>400000</v>
      </c>
      <c r="D112" s="72">
        <v>80000</v>
      </c>
      <c r="E112" s="72">
        <v>-300000</v>
      </c>
      <c r="F112" s="72"/>
      <c r="G112" s="72"/>
      <c r="H112" s="72"/>
      <c r="I112" s="72"/>
      <c r="J112" s="73"/>
      <c r="K112" s="71"/>
      <c r="L112" s="72"/>
      <c r="M112" s="72"/>
      <c r="N112" s="72"/>
      <c r="O112" s="72"/>
      <c r="P112" s="72"/>
      <c r="Q112" s="72"/>
      <c r="R112" s="72"/>
      <c r="S112" s="72"/>
      <c r="T112" s="73">
        <f>SUM(C112:E112)</f>
        <v>180000</v>
      </c>
    </row>
    <row r="113" spans="2:20" x14ac:dyDescent="0.25">
      <c r="B113">
        <f t="shared" ref="B113:B123" si="21">B112+1</f>
        <v>3</v>
      </c>
      <c r="C113" s="71">
        <f>SUM(K113:L113)</f>
        <v>-365800</v>
      </c>
      <c r="D113" s="72"/>
      <c r="E113" s="72"/>
      <c r="F113" s="72"/>
      <c r="G113" s="72"/>
      <c r="H113" s="72"/>
      <c r="I113" s="72"/>
      <c r="J113" s="73"/>
      <c r="K113" s="71">
        <f>-K110</f>
        <v>-295000</v>
      </c>
      <c r="L113" s="72">
        <f>-L110</f>
        <v>-70800</v>
      </c>
      <c r="M113" s="72"/>
      <c r="N113" s="72"/>
      <c r="O113" s="72"/>
      <c r="P113" s="72"/>
      <c r="Q113" s="72"/>
      <c r="R113" s="72"/>
      <c r="S113" s="72"/>
      <c r="T113" s="73"/>
    </row>
    <row r="114" spans="2:20" x14ac:dyDescent="0.25">
      <c r="B114">
        <f t="shared" si="21"/>
        <v>4</v>
      </c>
      <c r="C114" s="71">
        <v>-150000</v>
      </c>
      <c r="D114" s="72"/>
      <c r="E114" s="72">
        <v>350000</v>
      </c>
      <c r="F114" s="72"/>
      <c r="G114" s="72"/>
      <c r="H114" s="72"/>
      <c r="I114" s="72"/>
      <c r="J114" s="73"/>
      <c r="K114" s="71">
        <v>200000</v>
      </c>
      <c r="L114" s="72"/>
      <c r="M114" s="72"/>
      <c r="N114" s="72"/>
      <c r="O114" s="72"/>
      <c r="P114" s="72"/>
      <c r="Q114" s="72"/>
      <c r="R114" s="72"/>
      <c r="S114" s="72"/>
      <c r="T114" s="73"/>
    </row>
    <row r="115" spans="2:20" x14ac:dyDescent="0.25">
      <c r="B115">
        <f t="shared" si="21"/>
        <v>5</v>
      </c>
      <c r="C115" s="71"/>
      <c r="D115" s="72"/>
      <c r="E115" s="72"/>
      <c r="F115" s="72"/>
      <c r="G115" s="72"/>
      <c r="H115" s="72"/>
      <c r="I115" s="72"/>
      <c r="J115" s="73">
        <f>-540000/60</f>
        <v>-9000</v>
      </c>
      <c r="K115" s="71"/>
      <c r="L115" s="72"/>
      <c r="M115" s="72"/>
      <c r="N115" s="72"/>
      <c r="O115" s="72"/>
      <c r="P115" s="72"/>
      <c r="Q115" s="72"/>
      <c r="R115" s="72"/>
      <c r="S115" s="72"/>
      <c r="T115" s="73">
        <f>J115</f>
        <v>-9000</v>
      </c>
    </row>
    <row r="116" spans="2:20" x14ac:dyDescent="0.25">
      <c r="B116">
        <f t="shared" si="21"/>
        <v>6</v>
      </c>
      <c r="C116" s="71"/>
      <c r="D116" s="72"/>
      <c r="E116" s="72"/>
      <c r="F116" s="72"/>
      <c r="G116" s="72"/>
      <c r="H116" s="72"/>
      <c r="I116" s="72"/>
      <c r="J116" s="73"/>
      <c r="K116" s="71"/>
      <c r="L116" s="72">
        <f>-T116</f>
        <v>110000</v>
      </c>
      <c r="M116" s="72"/>
      <c r="N116" s="72"/>
      <c r="O116" s="72"/>
      <c r="P116" s="72"/>
      <c r="Q116" s="72"/>
      <c r="R116" s="72"/>
      <c r="S116" s="72"/>
      <c r="T116" s="73">
        <v>-110000</v>
      </c>
    </row>
    <row r="117" spans="2:20" x14ac:dyDescent="0.25">
      <c r="B117">
        <f t="shared" si="21"/>
        <v>7</v>
      </c>
      <c r="C117" s="71"/>
      <c r="D117" s="72"/>
      <c r="E117" s="72"/>
      <c r="F117" s="72"/>
      <c r="G117" s="72"/>
      <c r="H117" s="72"/>
      <c r="I117" s="72"/>
      <c r="J117" s="73"/>
      <c r="K117" s="71"/>
      <c r="L117" s="72">
        <f t="shared" ref="L117" si="22">-T117</f>
        <v>35000</v>
      </c>
      <c r="M117" s="72"/>
      <c r="N117" s="72"/>
      <c r="O117" s="72"/>
      <c r="P117" s="72"/>
      <c r="Q117" s="72"/>
      <c r="R117" s="72"/>
      <c r="S117" s="72"/>
      <c r="T117" s="73">
        <v>-35000</v>
      </c>
    </row>
    <row r="118" spans="2:20" x14ac:dyDescent="0.25">
      <c r="B118">
        <f t="shared" si="21"/>
        <v>8</v>
      </c>
      <c r="C118" s="71">
        <v>-8000</v>
      </c>
      <c r="D118" s="72"/>
      <c r="E118" s="72"/>
      <c r="F118" s="72"/>
      <c r="G118" s="72"/>
      <c r="H118" s="72"/>
      <c r="I118" s="72"/>
      <c r="J118" s="73"/>
      <c r="K118" s="71"/>
      <c r="L118" s="72"/>
      <c r="M118" s="72"/>
      <c r="N118" s="72"/>
      <c r="O118" s="72"/>
      <c r="P118" s="72"/>
      <c r="Q118" s="72"/>
      <c r="R118" s="72"/>
      <c r="S118" s="72"/>
      <c r="T118" s="73">
        <f>C118</f>
        <v>-8000</v>
      </c>
    </row>
    <row r="119" spans="2:20" x14ac:dyDescent="0.25">
      <c r="B119">
        <f t="shared" si="21"/>
        <v>9</v>
      </c>
      <c r="C119" s="71">
        <v>-12000</v>
      </c>
      <c r="D119" s="72"/>
      <c r="E119" s="72"/>
      <c r="F119" s="72">
        <f>-C119</f>
        <v>12000</v>
      </c>
      <c r="G119" s="72"/>
      <c r="H119" s="72"/>
      <c r="I119" s="72"/>
      <c r="J119" s="73"/>
      <c r="K119" s="71"/>
      <c r="L119" s="72"/>
      <c r="M119" s="72"/>
      <c r="N119" s="72"/>
      <c r="O119" s="72"/>
      <c r="P119" s="72"/>
      <c r="Q119" s="72"/>
      <c r="R119" s="72"/>
      <c r="S119" s="72"/>
      <c r="T119" s="73"/>
    </row>
    <row r="120" spans="2:20" x14ac:dyDescent="0.25">
      <c r="B120">
        <f t="shared" si="21"/>
        <v>10</v>
      </c>
      <c r="C120" s="71">
        <v>80000</v>
      </c>
      <c r="D120" s="72"/>
      <c r="E120" s="72"/>
      <c r="F120" s="72"/>
      <c r="G120" s="72"/>
      <c r="H120" s="72"/>
      <c r="I120" s="72"/>
      <c r="J120" s="73"/>
      <c r="K120" s="71"/>
      <c r="L120" s="72"/>
      <c r="M120" s="72">
        <v>80000</v>
      </c>
      <c r="N120" s="72"/>
      <c r="O120" s="72"/>
      <c r="P120" s="72"/>
      <c r="Q120" s="72"/>
      <c r="R120" s="72"/>
      <c r="S120" s="72"/>
      <c r="T120" s="73"/>
    </row>
    <row r="121" spans="2:20" x14ac:dyDescent="0.25">
      <c r="B121">
        <f t="shared" si="21"/>
        <v>11</v>
      </c>
      <c r="C121" s="71">
        <v>-100000</v>
      </c>
      <c r="D121" s="72"/>
      <c r="E121" s="72"/>
      <c r="F121" s="72"/>
      <c r="G121" s="72"/>
      <c r="H121" s="72"/>
      <c r="I121" s="72"/>
      <c r="J121" s="73"/>
      <c r="K121" s="71"/>
      <c r="L121" s="72"/>
      <c r="M121" s="72"/>
      <c r="N121" s="72"/>
      <c r="O121" s="72"/>
      <c r="P121" s="72"/>
      <c r="Q121" s="72">
        <f>C121</f>
        <v>-100000</v>
      </c>
      <c r="R121" s="72"/>
      <c r="S121" s="72"/>
      <c r="T121" s="73"/>
    </row>
    <row r="122" spans="2:20" x14ac:dyDescent="0.25">
      <c r="B122">
        <f t="shared" si="21"/>
        <v>12</v>
      </c>
      <c r="C122" s="71">
        <f>S122</f>
        <v>-5000</v>
      </c>
      <c r="D122" s="72"/>
      <c r="E122" s="72"/>
      <c r="F122" s="72"/>
      <c r="G122" s="72"/>
      <c r="H122" s="72"/>
      <c r="I122" s="72"/>
      <c r="J122" s="73"/>
      <c r="K122" s="71"/>
      <c r="L122" s="72"/>
      <c r="M122" s="72"/>
      <c r="N122" s="72"/>
      <c r="O122" s="72"/>
      <c r="P122" s="72"/>
      <c r="Q122" s="72"/>
      <c r="R122" s="72"/>
      <c r="S122" s="72">
        <v>-5000</v>
      </c>
      <c r="T122" s="73"/>
    </row>
    <row r="123" spans="2:20" x14ac:dyDescent="0.25">
      <c r="B123">
        <f t="shared" si="21"/>
        <v>13</v>
      </c>
      <c r="C123" s="71"/>
      <c r="D123" s="72"/>
      <c r="E123" s="72"/>
      <c r="F123" s="72"/>
      <c r="G123" s="72"/>
      <c r="H123" s="72"/>
      <c r="I123" s="72"/>
      <c r="J123" s="73"/>
      <c r="K123" s="71"/>
      <c r="L123" s="72"/>
      <c r="M123" s="72"/>
      <c r="N123" s="72"/>
      <c r="O123" s="72"/>
      <c r="P123" s="72"/>
      <c r="Q123" s="72"/>
      <c r="R123" s="72"/>
      <c r="S123" s="72"/>
      <c r="T123" s="73"/>
    </row>
    <row r="124" spans="2:20" x14ac:dyDescent="0.25">
      <c r="B124" t="s">
        <v>13</v>
      </c>
      <c r="C124" s="71"/>
      <c r="D124" s="72"/>
      <c r="E124" s="72"/>
      <c r="F124" s="72"/>
      <c r="G124" s="72"/>
      <c r="H124" s="72"/>
      <c r="I124" s="72"/>
      <c r="J124" s="73"/>
      <c r="K124" s="71"/>
      <c r="L124" s="72"/>
      <c r="M124" s="72"/>
      <c r="N124" s="72"/>
      <c r="O124" s="72"/>
      <c r="P124" s="72"/>
      <c r="Q124" s="72"/>
      <c r="R124" s="72"/>
      <c r="S124" s="72">
        <f>-T124</f>
        <v>18000</v>
      </c>
      <c r="T124" s="73">
        <f>-SUM(T111:T123)</f>
        <v>-18000</v>
      </c>
    </row>
    <row r="125" spans="2:20" x14ac:dyDescent="0.25">
      <c r="B125" s="1" t="s">
        <v>133</v>
      </c>
      <c r="C125" s="74">
        <f>SUM(C110:C124)</f>
        <v>3000</v>
      </c>
      <c r="D125" s="75">
        <f>SUM(D110:D124)</f>
        <v>80000</v>
      </c>
      <c r="E125" s="75">
        <f>SUM(E110:E124)</f>
        <v>350000</v>
      </c>
      <c r="F125" s="75">
        <f>SUM(F110:F124)</f>
        <v>12000</v>
      </c>
      <c r="G125" s="75"/>
      <c r="H125" s="75">
        <f t="shared" ref="H125:M125" si="23">SUM(H110:H124)</f>
        <v>20000</v>
      </c>
      <c r="I125" s="75">
        <f t="shared" si="23"/>
        <v>540000</v>
      </c>
      <c r="J125" s="76">
        <f t="shared" si="23"/>
        <v>-21000</v>
      </c>
      <c r="K125" s="74">
        <f t="shared" si="23"/>
        <v>200000</v>
      </c>
      <c r="L125" s="75">
        <f t="shared" si="23"/>
        <v>145000</v>
      </c>
      <c r="M125" s="75">
        <f t="shared" si="23"/>
        <v>80000</v>
      </c>
      <c r="N125" s="75"/>
      <c r="O125" s="75"/>
      <c r="P125" s="75">
        <f>SUM(P110:P124)</f>
        <v>0</v>
      </c>
      <c r="Q125" s="75">
        <f>SUM(Q110:Q124)</f>
        <v>360000</v>
      </c>
      <c r="R125" s="75">
        <f>SUM(R110:R124)</f>
        <v>100000</v>
      </c>
      <c r="S125" s="75">
        <f>SUM(S110:S124)</f>
        <v>99000</v>
      </c>
      <c r="T125" s="76">
        <f>SUM(T110:T124)</f>
        <v>0</v>
      </c>
    </row>
    <row r="127" spans="2:20" x14ac:dyDescent="0.25">
      <c r="C127" s="77" t="s">
        <v>60</v>
      </c>
      <c r="D127" s="78">
        <f>SUM(C125:J125)</f>
        <v>984000</v>
      </c>
      <c r="E127" s="79"/>
      <c r="I127" t="s">
        <v>135</v>
      </c>
      <c r="J127" s="72">
        <f>(SUM(R125:S125,R102,S102)/2)</f>
        <v>192500</v>
      </c>
      <c r="L127">
        <f>J127*12%</f>
        <v>23100</v>
      </c>
    </row>
    <row r="128" spans="2:20" x14ac:dyDescent="0.25">
      <c r="C128" s="80" t="s">
        <v>129</v>
      </c>
      <c r="D128" s="81">
        <f>SUM(K125:T125)</f>
        <v>984000</v>
      </c>
      <c r="E128" s="82">
        <f>D128-D127</f>
        <v>0</v>
      </c>
      <c r="I128" t="s">
        <v>136</v>
      </c>
      <c r="J128" s="72">
        <f>S124</f>
        <v>18000</v>
      </c>
      <c r="K128" s="83">
        <f>J128/J127</f>
        <v>9.350649350649351E-2</v>
      </c>
    </row>
    <row r="130" spans="2:20" x14ac:dyDescent="0.25">
      <c r="C130" s="127" t="s">
        <v>184</v>
      </c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</row>
    <row r="131" spans="2:20" x14ac:dyDescent="0.25">
      <c r="C131" s="128" t="s">
        <v>126</v>
      </c>
      <c r="D131" s="129"/>
      <c r="E131" s="129"/>
      <c r="F131" s="129"/>
      <c r="G131" s="129"/>
      <c r="H131" s="129"/>
      <c r="I131" s="129"/>
      <c r="J131" s="130"/>
      <c r="K131" s="128" t="s">
        <v>127</v>
      </c>
      <c r="L131" s="129"/>
      <c r="M131" s="129"/>
      <c r="N131" s="129"/>
      <c r="O131" s="129"/>
      <c r="P131" s="129"/>
      <c r="Q131" s="129"/>
      <c r="R131" s="129"/>
      <c r="S131" s="129"/>
      <c r="T131" s="130"/>
    </row>
    <row r="132" spans="2:20" ht="30" x14ac:dyDescent="0.25">
      <c r="C132" s="65" t="s">
        <v>128</v>
      </c>
      <c r="D132" s="66" t="s">
        <v>62</v>
      </c>
      <c r="E132" s="66" t="s">
        <v>63</v>
      </c>
      <c r="F132" s="66" t="s">
        <v>161</v>
      </c>
      <c r="G132" s="66"/>
      <c r="H132" s="66" t="s">
        <v>65</v>
      </c>
      <c r="I132" s="66" t="s">
        <v>9</v>
      </c>
      <c r="J132" s="67"/>
      <c r="K132" s="65" t="s">
        <v>7</v>
      </c>
      <c r="L132" s="66" t="s">
        <v>70</v>
      </c>
      <c r="M132" s="66" t="s">
        <v>177</v>
      </c>
      <c r="N132" s="66"/>
      <c r="O132" s="66"/>
      <c r="P132" s="66" t="s">
        <v>178</v>
      </c>
      <c r="Q132" s="66" t="s">
        <v>130</v>
      </c>
      <c r="R132" s="66" t="s">
        <v>4</v>
      </c>
      <c r="S132" s="66" t="s">
        <v>72</v>
      </c>
      <c r="T132" s="67"/>
    </row>
    <row r="133" spans="2:20" x14ac:dyDescent="0.25">
      <c r="B133" s="1" t="s">
        <v>132</v>
      </c>
      <c r="C133" s="68">
        <f>C125</f>
        <v>3000</v>
      </c>
      <c r="D133" s="69">
        <f t="shared" ref="D133:T133" si="24">D125</f>
        <v>80000</v>
      </c>
      <c r="E133" s="69">
        <f t="shared" si="24"/>
        <v>350000</v>
      </c>
      <c r="F133" s="69">
        <f t="shared" si="24"/>
        <v>12000</v>
      </c>
      <c r="G133" s="69"/>
      <c r="H133" s="69">
        <f t="shared" si="24"/>
        <v>20000</v>
      </c>
      <c r="I133" s="69">
        <f t="shared" si="24"/>
        <v>540000</v>
      </c>
      <c r="J133" s="70">
        <f t="shared" si="24"/>
        <v>-21000</v>
      </c>
      <c r="K133" s="68">
        <f t="shared" si="24"/>
        <v>200000</v>
      </c>
      <c r="L133" s="69">
        <f t="shared" si="24"/>
        <v>145000</v>
      </c>
      <c r="M133" s="69">
        <f t="shared" si="24"/>
        <v>80000</v>
      </c>
      <c r="N133" s="69"/>
      <c r="O133" s="69"/>
      <c r="P133" s="69">
        <f t="shared" si="24"/>
        <v>0</v>
      </c>
      <c r="Q133" s="69">
        <f t="shared" si="24"/>
        <v>360000</v>
      </c>
      <c r="R133" s="69">
        <f t="shared" si="24"/>
        <v>100000</v>
      </c>
      <c r="S133" s="69">
        <f t="shared" si="24"/>
        <v>99000</v>
      </c>
      <c r="T133" s="70">
        <f t="shared" si="24"/>
        <v>0</v>
      </c>
    </row>
    <row r="134" spans="2:20" x14ac:dyDescent="0.25">
      <c r="B134">
        <v>1</v>
      </c>
      <c r="C134" s="71">
        <v>80000</v>
      </c>
      <c r="D134" s="72">
        <f>-C134</f>
        <v>-80000</v>
      </c>
      <c r="E134" s="72"/>
      <c r="F134" s="72"/>
      <c r="G134" s="72"/>
      <c r="H134" s="72"/>
      <c r="I134" s="72"/>
      <c r="J134" s="73"/>
      <c r="K134" s="71"/>
      <c r="L134" s="72"/>
      <c r="M134" s="72"/>
      <c r="N134" s="72"/>
      <c r="O134" s="72"/>
      <c r="P134" s="72"/>
      <c r="Q134" s="72"/>
      <c r="R134" s="72"/>
      <c r="S134" s="72"/>
      <c r="T134" s="73"/>
    </row>
    <row r="135" spans="2:20" x14ac:dyDescent="0.25">
      <c r="B135">
        <f>B134+1</f>
        <v>2</v>
      </c>
      <c r="C135" s="71"/>
      <c r="D135" s="72"/>
      <c r="E135" s="72">
        <f>-E133*20%</f>
        <v>-70000</v>
      </c>
      <c r="F135" s="72"/>
      <c r="G135" s="72"/>
      <c r="H135" s="72"/>
      <c r="I135" s="72"/>
      <c r="J135" s="73"/>
      <c r="K135" s="71"/>
      <c r="L135" s="72"/>
      <c r="M135" s="72">
        <v>-80000</v>
      </c>
      <c r="N135" s="72"/>
      <c r="O135" s="72"/>
      <c r="P135" s="72"/>
      <c r="Q135" s="72"/>
      <c r="R135" s="72"/>
      <c r="S135" s="72"/>
      <c r="T135" s="73">
        <f>-M135+E135</f>
        <v>10000</v>
      </c>
    </row>
    <row r="136" spans="2:20" x14ac:dyDescent="0.25">
      <c r="B136">
        <f t="shared" ref="B136:B144" si="25">B135+1</f>
        <v>3</v>
      </c>
      <c r="C136" s="71">
        <v>300000</v>
      </c>
      <c r="D136" s="72">
        <v>50000</v>
      </c>
      <c r="E136" s="72">
        <f>-E133-E135</f>
        <v>-280000</v>
      </c>
      <c r="F136" s="72"/>
      <c r="G136" s="72"/>
      <c r="H136" s="72"/>
      <c r="I136" s="72"/>
      <c r="J136" s="73"/>
      <c r="K136" s="71"/>
      <c r="L136" s="72"/>
      <c r="M136" s="72"/>
      <c r="N136" s="72"/>
      <c r="O136" s="72"/>
      <c r="P136" s="72"/>
      <c r="Q136" s="72"/>
      <c r="R136" s="72"/>
      <c r="S136" s="72"/>
      <c r="T136" s="73">
        <f>SUM(C136:E136)</f>
        <v>70000</v>
      </c>
    </row>
    <row r="137" spans="2:20" x14ac:dyDescent="0.25">
      <c r="B137">
        <f t="shared" si="25"/>
        <v>4</v>
      </c>
      <c r="C137" s="71">
        <f>SUM(K137:L137)</f>
        <v>-345000</v>
      </c>
      <c r="D137" s="72"/>
      <c r="E137" s="72"/>
      <c r="F137" s="72"/>
      <c r="G137" s="72"/>
      <c r="H137" s="72"/>
      <c r="I137" s="72"/>
      <c r="J137" s="73"/>
      <c r="K137" s="71">
        <v>-200000</v>
      </c>
      <c r="L137" s="72">
        <v>-145000</v>
      </c>
      <c r="M137" s="72"/>
      <c r="N137" s="72"/>
      <c r="O137" s="72"/>
      <c r="P137" s="72"/>
      <c r="Q137" s="72"/>
      <c r="R137" s="72"/>
      <c r="S137" s="72"/>
      <c r="T137" s="73"/>
    </row>
    <row r="138" spans="2:20" x14ac:dyDescent="0.25">
      <c r="B138">
        <f t="shared" si="25"/>
        <v>5</v>
      </c>
      <c r="C138" s="71"/>
      <c r="D138" s="72"/>
      <c r="E138" s="72">
        <v>300000</v>
      </c>
      <c r="F138" s="72"/>
      <c r="G138" s="72"/>
      <c r="H138" s="72"/>
      <c r="I138" s="72"/>
      <c r="J138" s="73"/>
      <c r="K138" s="71">
        <v>300000</v>
      </c>
      <c r="L138" s="72"/>
      <c r="M138" s="72"/>
      <c r="N138" s="72"/>
      <c r="O138" s="72"/>
      <c r="P138" s="72"/>
      <c r="Q138" s="72"/>
      <c r="R138" s="72"/>
      <c r="S138" s="72"/>
      <c r="T138" s="73"/>
    </row>
    <row r="139" spans="2:20" x14ac:dyDescent="0.25">
      <c r="B139">
        <f t="shared" si="25"/>
        <v>6</v>
      </c>
      <c r="C139" s="71"/>
      <c r="D139" s="72"/>
      <c r="E139" s="72"/>
      <c r="F139" s="72"/>
      <c r="G139" s="72"/>
      <c r="H139" s="72"/>
      <c r="I139" s="72"/>
      <c r="J139" s="73">
        <f>-540000/60</f>
        <v>-9000</v>
      </c>
      <c r="K139" s="71"/>
      <c r="L139" s="72"/>
      <c r="M139" s="72"/>
      <c r="N139" s="72"/>
      <c r="O139" s="72"/>
      <c r="P139" s="72"/>
      <c r="Q139" s="72"/>
      <c r="R139" s="72"/>
      <c r="S139" s="72"/>
      <c r="T139" s="73">
        <f>J139</f>
        <v>-9000</v>
      </c>
    </row>
    <row r="140" spans="2:20" x14ac:dyDescent="0.25">
      <c r="B140">
        <f t="shared" si="25"/>
        <v>7</v>
      </c>
      <c r="C140" s="71"/>
      <c r="D140" s="72"/>
      <c r="E140" s="72"/>
      <c r="F140" s="72"/>
      <c r="G140" s="72"/>
      <c r="H140" s="72"/>
      <c r="I140" s="72"/>
      <c r="J140" s="73"/>
      <c r="K140" s="71"/>
      <c r="L140" s="72">
        <f>-T140</f>
        <v>16000</v>
      </c>
      <c r="M140" s="72"/>
      <c r="N140" s="72"/>
      <c r="O140" s="72"/>
      <c r="P140" s="72"/>
      <c r="Q140" s="72"/>
      <c r="R140" s="72"/>
      <c r="S140" s="72"/>
      <c r="T140" s="73">
        <v>-16000</v>
      </c>
    </row>
    <row r="141" spans="2:20" x14ac:dyDescent="0.25">
      <c r="B141">
        <f t="shared" si="25"/>
        <v>8</v>
      </c>
      <c r="C141" s="71"/>
      <c r="D141" s="72"/>
      <c r="E141" s="72"/>
      <c r="F141" s="72"/>
      <c r="G141" s="72"/>
      <c r="H141" s="72"/>
      <c r="I141" s="72"/>
      <c r="J141" s="73"/>
      <c r="K141" s="71"/>
      <c r="L141" s="72">
        <f>-T141</f>
        <v>25000</v>
      </c>
      <c r="M141" s="72"/>
      <c r="N141" s="72"/>
      <c r="O141" s="72"/>
      <c r="P141" s="72"/>
      <c r="Q141" s="72"/>
      <c r="R141" s="72"/>
      <c r="S141" s="72"/>
      <c r="T141" s="73">
        <v>-25000</v>
      </c>
    </row>
    <row r="142" spans="2:20" x14ac:dyDescent="0.25">
      <c r="B142">
        <f t="shared" si="25"/>
        <v>9</v>
      </c>
      <c r="C142" s="71">
        <v>-4000</v>
      </c>
      <c r="D142" s="72"/>
      <c r="E142" s="72"/>
      <c r="F142" s="72"/>
      <c r="G142" s="72"/>
      <c r="H142" s="72"/>
      <c r="I142" s="72"/>
      <c r="J142" s="73"/>
      <c r="K142" s="71"/>
      <c r="L142" s="72"/>
      <c r="M142" s="72"/>
      <c r="N142" s="72"/>
      <c r="O142" s="72"/>
      <c r="P142" s="72"/>
      <c r="Q142" s="72"/>
      <c r="R142" s="72"/>
      <c r="S142" s="72"/>
      <c r="T142" s="73">
        <v>-4000</v>
      </c>
    </row>
    <row r="143" spans="2:20" x14ac:dyDescent="0.25">
      <c r="B143">
        <f t="shared" si="25"/>
        <v>10</v>
      </c>
      <c r="C143" s="71"/>
      <c r="D143" s="72"/>
      <c r="E143" s="72"/>
      <c r="F143" s="72">
        <v>-1000</v>
      </c>
      <c r="G143" s="72"/>
      <c r="H143" s="72"/>
      <c r="I143" s="72"/>
      <c r="J143" s="73"/>
      <c r="K143" s="71"/>
      <c r="L143" s="72"/>
      <c r="M143" s="72"/>
      <c r="N143" s="72"/>
      <c r="O143" s="72"/>
      <c r="P143" s="72"/>
      <c r="Q143" s="72"/>
      <c r="R143" s="72"/>
      <c r="S143" s="72"/>
      <c r="T143" s="73">
        <f>F143</f>
        <v>-1000</v>
      </c>
    </row>
    <row r="144" spans="2:20" x14ac:dyDescent="0.25">
      <c r="B144">
        <f t="shared" si="25"/>
        <v>11</v>
      </c>
      <c r="C144" s="71"/>
      <c r="D144" s="72"/>
      <c r="E144" s="72"/>
      <c r="F144" s="72"/>
      <c r="G144" s="72"/>
      <c r="H144" s="72"/>
      <c r="I144" s="72"/>
      <c r="J144" s="73"/>
      <c r="K144" s="71"/>
      <c r="L144" s="72"/>
      <c r="M144" s="72"/>
      <c r="N144" s="72"/>
      <c r="O144" s="72"/>
      <c r="P144" s="72">
        <v>15000</v>
      </c>
      <c r="Q144" s="72"/>
      <c r="R144" s="72"/>
      <c r="S144" s="72">
        <f>-P144</f>
        <v>-15000</v>
      </c>
      <c r="T144" s="73"/>
    </row>
    <row r="145" spans="2:20" x14ac:dyDescent="0.25">
      <c r="B145" t="s">
        <v>13</v>
      </c>
      <c r="C145" s="71"/>
      <c r="D145" s="72"/>
      <c r="E145" s="72"/>
      <c r="F145" s="72"/>
      <c r="G145" s="72"/>
      <c r="H145" s="72"/>
      <c r="I145" s="72"/>
      <c r="J145" s="73"/>
      <c r="K145" s="71"/>
      <c r="L145" s="72"/>
      <c r="M145" s="72"/>
      <c r="N145" s="72"/>
      <c r="O145" s="72"/>
      <c r="P145" s="72"/>
      <c r="Q145" s="72"/>
      <c r="R145" s="72"/>
      <c r="S145" s="72">
        <f>-T145</f>
        <v>25000</v>
      </c>
      <c r="T145" s="73">
        <f>-SUM(T134:T144)</f>
        <v>-25000</v>
      </c>
    </row>
    <row r="146" spans="2:20" x14ac:dyDescent="0.25">
      <c r="B146" s="1" t="s">
        <v>133</v>
      </c>
      <c r="C146" s="74">
        <f>SUM(C133:C145)</f>
        <v>34000</v>
      </c>
      <c r="D146" s="75">
        <f>SUM(D133:D145)</f>
        <v>50000</v>
      </c>
      <c r="E146" s="75">
        <f>SUM(E133:E145)</f>
        <v>300000</v>
      </c>
      <c r="F146" s="75">
        <f>SUM(F133:F145)</f>
        <v>11000</v>
      </c>
      <c r="G146" s="75"/>
      <c r="H146" s="75">
        <f t="shared" ref="H146:M146" si="26">SUM(H133:H145)</f>
        <v>20000</v>
      </c>
      <c r="I146" s="75">
        <f t="shared" si="26"/>
        <v>540000</v>
      </c>
      <c r="J146" s="76">
        <f t="shared" si="26"/>
        <v>-30000</v>
      </c>
      <c r="K146" s="74">
        <f t="shared" si="26"/>
        <v>300000</v>
      </c>
      <c r="L146" s="75">
        <f t="shared" si="26"/>
        <v>41000</v>
      </c>
      <c r="M146" s="75">
        <f t="shared" si="26"/>
        <v>0</v>
      </c>
      <c r="N146" s="75"/>
      <c r="O146" s="75"/>
      <c r="P146" s="75">
        <f>SUM(P133:P145)</f>
        <v>15000</v>
      </c>
      <c r="Q146" s="75">
        <f>SUM(Q133:Q145)</f>
        <v>360000</v>
      </c>
      <c r="R146" s="75">
        <f>SUM(R133:R145)</f>
        <v>100000</v>
      </c>
      <c r="S146" s="75">
        <f>SUM(S133:S145)</f>
        <v>109000</v>
      </c>
      <c r="T146" s="76">
        <f>SUM(T133:T145)</f>
        <v>0</v>
      </c>
    </row>
    <row r="148" spans="2:20" x14ac:dyDescent="0.25">
      <c r="C148" s="77" t="s">
        <v>60</v>
      </c>
      <c r="D148" s="78">
        <f>SUM(C146:J146)</f>
        <v>925000</v>
      </c>
      <c r="E148" s="79"/>
      <c r="I148" t="s">
        <v>135</v>
      </c>
      <c r="J148" s="72">
        <f>(SUM(R146:S146,R125,S125)/2)</f>
        <v>204000</v>
      </c>
      <c r="L148">
        <f>J148*12%</f>
        <v>24480</v>
      </c>
    </row>
    <row r="149" spans="2:20" x14ac:dyDescent="0.25">
      <c r="C149" s="80" t="s">
        <v>129</v>
      </c>
      <c r="D149" s="81">
        <f>SUM(K146:T146)</f>
        <v>925000</v>
      </c>
      <c r="E149" s="82">
        <f>D149-D148</f>
        <v>0</v>
      </c>
      <c r="I149" t="s">
        <v>136</v>
      </c>
      <c r="J149" s="72">
        <f>S145</f>
        <v>25000</v>
      </c>
      <c r="K149" s="83">
        <f>J149/J148</f>
        <v>0.12254901960784313</v>
      </c>
    </row>
    <row r="151" spans="2:20" x14ac:dyDescent="0.25">
      <c r="C151" s="127" t="s">
        <v>190</v>
      </c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</row>
    <row r="152" spans="2:20" x14ac:dyDescent="0.25">
      <c r="C152" s="128" t="s">
        <v>126</v>
      </c>
      <c r="D152" s="129"/>
      <c r="E152" s="129"/>
      <c r="F152" s="129"/>
      <c r="G152" s="129"/>
      <c r="H152" s="129"/>
      <c r="I152" s="129"/>
      <c r="J152" s="130"/>
      <c r="K152" s="128" t="s">
        <v>127</v>
      </c>
      <c r="L152" s="129"/>
      <c r="M152" s="129"/>
      <c r="N152" s="129"/>
      <c r="O152" s="129"/>
      <c r="P152" s="129"/>
      <c r="Q152" s="129"/>
      <c r="R152" s="129"/>
      <c r="S152" s="129"/>
      <c r="T152" s="130"/>
    </row>
    <row r="153" spans="2:20" ht="30" x14ac:dyDescent="0.25">
      <c r="C153" s="65" t="s">
        <v>128</v>
      </c>
      <c r="D153" s="66" t="s">
        <v>62</v>
      </c>
      <c r="E153" s="66" t="s">
        <v>63</v>
      </c>
      <c r="F153" s="66" t="s">
        <v>161</v>
      </c>
      <c r="G153" s="66"/>
      <c r="H153" s="66" t="s">
        <v>65</v>
      </c>
      <c r="I153" s="66" t="s">
        <v>9</v>
      </c>
      <c r="J153" s="67"/>
      <c r="K153" s="65" t="s">
        <v>7</v>
      </c>
      <c r="L153" s="66" t="s">
        <v>70</v>
      </c>
      <c r="M153" s="66" t="s">
        <v>177</v>
      </c>
      <c r="N153" s="66"/>
      <c r="O153" s="66"/>
      <c r="P153" s="66" t="s">
        <v>178</v>
      </c>
      <c r="Q153" s="66" t="s">
        <v>130</v>
      </c>
      <c r="R153" s="66" t="s">
        <v>4</v>
      </c>
      <c r="S153" s="66" t="s">
        <v>72</v>
      </c>
      <c r="T153" s="67"/>
    </row>
    <row r="154" spans="2:20" x14ac:dyDescent="0.25">
      <c r="B154" s="1" t="s">
        <v>132</v>
      </c>
      <c r="C154" s="68">
        <f>C146</f>
        <v>34000</v>
      </c>
      <c r="D154" s="69">
        <f t="shared" ref="D154:T154" si="27">D146</f>
        <v>50000</v>
      </c>
      <c r="E154" s="69">
        <f t="shared" si="27"/>
        <v>300000</v>
      </c>
      <c r="F154" s="69">
        <f t="shared" si="27"/>
        <v>11000</v>
      </c>
      <c r="G154" s="69"/>
      <c r="H154" s="69">
        <f t="shared" si="27"/>
        <v>20000</v>
      </c>
      <c r="I154" s="69">
        <f t="shared" si="27"/>
        <v>540000</v>
      </c>
      <c r="J154" s="70">
        <f t="shared" si="27"/>
        <v>-30000</v>
      </c>
      <c r="K154" s="68">
        <f t="shared" si="27"/>
        <v>300000</v>
      </c>
      <c r="L154" s="69">
        <f t="shared" si="27"/>
        <v>41000</v>
      </c>
      <c r="M154" s="69">
        <f t="shared" si="27"/>
        <v>0</v>
      </c>
      <c r="N154" s="69"/>
      <c r="O154" s="69"/>
      <c r="P154" s="69">
        <f t="shared" si="27"/>
        <v>15000</v>
      </c>
      <c r="Q154" s="69">
        <f t="shared" si="27"/>
        <v>360000</v>
      </c>
      <c r="R154" s="69">
        <f t="shared" si="27"/>
        <v>100000</v>
      </c>
      <c r="S154" s="69">
        <f t="shared" si="27"/>
        <v>109000</v>
      </c>
      <c r="T154" s="70">
        <f t="shared" si="27"/>
        <v>0</v>
      </c>
    </row>
    <row r="155" spans="2:20" x14ac:dyDescent="0.25">
      <c r="B155">
        <v>1</v>
      </c>
      <c r="C155" s="71">
        <v>350000</v>
      </c>
      <c r="D155" s="72">
        <v>100000</v>
      </c>
      <c r="E155" s="72">
        <v>-300000</v>
      </c>
      <c r="F155" s="72"/>
      <c r="G155" s="72"/>
      <c r="H155" s="72"/>
      <c r="I155" s="72"/>
      <c r="J155" s="73"/>
      <c r="K155" s="71"/>
      <c r="L155" s="72"/>
      <c r="M155" s="72"/>
      <c r="N155" s="72"/>
      <c r="O155" s="72"/>
      <c r="P155" s="72"/>
      <c r="Q155" s="72"/>
      <c r="R155" s="72"/>
      <c r="S155" s="72"/>
      <c r="T155" s="73">
        <f>SUM(C155:E155)</f>
        <v>150000</v>
      </c>
    </row>
    <row r="156" spans="2:20" x14ac:dyDescent="0.25">
      <c r="B156">
        <f>B155+1</f>
        <v>2</v>
      </c>
      <c r="C156" s="71">
        <f>SUM(K156:P156)</f>
        <v>-356000</v>
      </c>
      <c r="D156" s="72"/>
      <c r="E156" s="72"/>
      <c r="F156" s="72"/>
      <c r="G156" s="72"/>
      <c r="H156" s="72"/>
      <c r="I156" s="72"/>
      <c r="J156" s="73"/>
      <c r="K156" s="71">
        <v>-300000</v>
      </c>
      <c r="L156" s="72">
        <v>-41000</v>
      </c>
      <c r="M156" s="72"/>
      <c r="N156" s="72"/>
      <c r="O156" s="72"/>
      <c r="P156" s="72">
        <v>-15000</v>
      </c>
      <c r="Q156" s="72"/>
      <c r="R156" s="72"/>
      <c r="S156" s="72"/>
      <c r="T156" s="73"/>
    </row>
    <row r="157" spans="2:20" x14ac:dyDescent="0.25">
      <c r="B157">
        <f t="shared" ref="B157:B165" si="28">B156+1</f>
        <v>3</v>
      </c>
      <c r="C157" s="71"/>
      <c r="D157" s="72"/>
      <c r="E157" s="72">
        <v>400000</v>
      </c>
      <c r="F157" s="72"/>
      <c r="G157" s="72"/>
      <c r="H157" s="72"/>
      <c r="I157" s="72"/>
      <c r="J157" s="73"/>
      <c r="K157" s="71">
        <v>400000</v>
      </c>
      <c r="L157" s="72"/>
      <c r="M157" s="72"/>
      <c r="N157" s="72"/>
      <c r="O157" s="72"/>
      <c r="P157" s="72"/>
      <c r="Q157" s="72"/>
      <c r="R157" s="72"/>
      <c r="S157" s="72"/>
      <c r="T157" s="73"/>
    </row>
    <row r="158" spans="2:20" x14ac:dyDescent="0.25">
      <c r="B158">
        <f t="shared" si="28"/>
        <v>4</v>
      </c>
      <c r="C158" s="71"/>
      <c r="D158" s="72"/>
      <c r="E158" s="72"/>
      <c r="F158" s="72"/>
      <c r="G158" s="72"/>
      <c r="H158" s="72"/>
      <c r="I158" s="72"/>
      <c r="J158" s="73">
        <f>-540000/60</f>
        <v>-9000</v>
      </c>
      <c r="K158" s="71"/>
      <c r="L158" s="72"/>
      <c r="M158" s="72"/>
      <c r="N158" s="72"/>
      <c r="O158" s="72"/>
      <c r="P158" s="72"/>
      <c r="Q158" s="72"/>
      <c r="R158" s="72"/>
      <c r="S158" s="72"/>
      <c r="T158" s="73">
        <f>J158</f>
        <v>-9000</v>
      </c>
    </row>
    <row r="159" spans="2:20" x14ac:dyDescent="0.25">
      <c r="B159">
        <f t="shared" si="28"/>
        <v>5</v>
      </c>
      <c r="C159" s="71"/>
      <c r="D159" s="72"/>
      <c r="E159" s="72"/>
      <c r="F159" s="72"/>
      <c r="G159" s="72"/>
      <c r="H159" s="72"/>
      <c r="I159" s="72"/>
      <c r="J159" s="73"/>
      <c r="K159" s="71"/>
      <c r="L159" s="72">
        <f>-T159</f>
        <v>86000</v>
      </c>
      <c r="M159" s="72"/>
      <c r="N159" s="72"/>
      <c r="O159" s="72"/>
      <c r="P159" s="72"/>
      <c r="Q159" s="72"/>
      <c r="R159" s="72"/>
      <c r="S159" s="72"/>
      <c r="T159" s="73">
        <f>-106000+25000-5000</f>
        <v>-86000</v>
      </c>
    </row>
    <row r="160" spans="2:20" x14ac:dyDescent="0.25">
      <c r="B160">
        <f t="shared" si="28"/>
        <v>6</v>
      </c>
      <c r="C160" s="71"/>
      <c r="D160" s="72"/>
      <c r="E160" s="72"/>
      <c r="F160" s="72"/>
      <c r="G160" s="72"/>
      <c r="H160" s="72"/>
      <c r="I160" s="72"/>
      <c r="J160" s="73"/>
      <c r="K160" s="71"/>
      <c r="L160" s="72">
        <f t="shared" ref="L160" si="29">-T160</f>
        <v>25000</v>
      </c>
      <c r="M160" s="72"/>
      <c r="N160" s="72"/>
      <c r="O160" s="72"/>
      <c r="P160" s="72"/>
      <c r="Q160" s="72"/>
      <c r="R160" s="72"/>
      <c r="S160" s="72"/>
      <c r="T160" s="73">
        <v>-25000</v>
      </c>
    </row>
    <row r="161" spans="2:20" x14ac:dyDescent="0.25">
      <c r="B161">
        <f t="shared" si="28"/>
        <v>7</v>
      </c>
      <c r="C161" s="71"/>
      <c r="D161" s="72"/>
      <c r="E161" s="72"/>
      <c r="F161" s="72">
        <v>-1000</v>
      </c>
      <c r="G161" s="72"/>
      <c r="H161" s="72"/>
      <c r="I161" s="72"/>
      <c r="J161" s="73"/>
      <c r="K161" s="71"/>
      <c r="L161" s="72"/>
      <c r="M161" s="72"/>
      <c r="N161" s="72"/>
      <c r="O161" s="72"/>
      <c r="P161" s="72"/>
      <c r="Q161" s="72"/>
      <c r="R161" s="72"/>
      <c r="S161" s="72"/>
      <c r="T161" s="73">
        <f>F161</f>
        <v>-1000</v>
      </c>
    </row>
    <row r="162" spans="2:20" x14ac:dyDescent="0.25">
      <c r="B162">
        <f t="shared" si="28"/>
        <v>8</v>
      </c>
      <c r="C162" s="71">
        <f>T162</f>
        <v>-4000</v>
      </c>
      <c r="D162" s="72"/>
      <c r="E162" s="72"/>
      <c r="F162" s="72"/>
      <c r="G162" s="72"/>
      <c r="H162" s="72"/>
      <c r="I162" s="72"/>
      <c r="J162" s="73"/>
      <c r="K162" s="71"/>
      <c r="L162" s="72"/>
      <c r="M162" s="72"/>
      <c r="N162" s="72"/>
      <c r="O162" s="72"/>
      <c r="P162" s="72"/>
      <c r="Q162" s="72"/>
      <c r="R162" s="72"/>
      <c r="S162" s="72"/>
      <c r="T162" s="73">
        <v>-4000</v>
      </c>
    </row>
    <row r="163" spans="2:20" x14ac:dyDescent="0.25">
      <c r="B163">
        <f t="shared" si="28"/>
        <v>9</v>
      </c>
      <c r="C163" s="71"/>
      <c r="D163" s="72"/>
      <c r="E163" s="72"/>
      <c r="F163" s="72"/>
      <c r="G163" s="72"/>
      <c r="H163" s="72"/>
      <c r="I163" s="72"/>
      <c r="J163" s="73"/>
      <c r="K163" s="71"/>
      <c r="L163" s="72"/>
      <c r="M163" s="72"/>
      <c r="N163" s="72"/>
      <c r="O163" s="72"/>
      <c r="P163" s="72">
        <f>-S163</f>
        <v>50000</v>
      </c>
      <c r="Q163" s="72"/>
      <c r="R163" s="72"/>
      <c r="S163" s="72">
        <v>-50000</v>
      </c>
      <c r="T163" s="73"/>
    </row>
    <row r="164" spans="2:20" x14ac:dyDescent="0.25">
      <c r="B164">
        <f t="shared" si="28"/>
        <v>10</v>
      </c>
      <c r="C164" s="71"/>
      <c r="D164" s="72"/>
      <c r="E164" s="72"/>
      <c r="F164" s="72"/>
      <c r="G164" s="72"/>
      <c r="H164" s="72"/>
      <c r="I164" s="72"/>
      <c r="J164" s="73"/>
      <c r="K164" s="71"/>
      <c r="L164" s="72"/>
      <c r="M164" s="72"/>
      <c r="N164" s="72"/>
      <c r="O164" s="72"/>
      <c r="P164" s="72"/>
      <c r="Q164" s="72"/>
      <c r="R164" s="72"/>
      <c r="S164" s="72"/>
      <c r="T164" s="73"/>
    </row>
    <row r="165" spans="2:20" x14ac:dyDescent="0.25">
      <c r="B165">
        <f t="shared" si="28"/>
        <v>11</v>
      </c>
      <c r="C165" s="71"/>
      <c r="D165" s="72"/>
      <c r="E165" s="72"/>
      <c r="F165" s="72"/>
      <c r="G165" s="72"/>
      <c r="H165" s="72"/>
      <c r="I165" s="72"/>
      <c r="J165" s="73"/>
      <c r="K165" s="71"/>
      <c r="L165" s="72"/>
      <c r="M165" s="72"/>
      <c r="N165" s="72"/>
      <c r="O165" s="72"/>
      <c r="P165" s="72"/>
      <c r="Q165" s="72"/>
      <c r="R165" s="72"/>
      <c r="S165" s="72"/>
      <c r="T165" s="73"/>
    </row>
    <row r="166" spans="2:20" x14ac:dyDescent="0.25">
      <c r="B166" t="s">
        <v>13</v>
      </c>
      <c r="C166" s="71"/>
      <c r="D166" s="72"/>
      <c r="E166" s="72"/>
      <c r="F166" s="72"/>
      <c r="G166" s="72"/>
      <c r="H166" s="72"/>
      <c r="I166" s="72"/>
      <c r="J166" s="73"/>
      <c r="K166" s="71"/>
      <c r="L166" s="72"/>
      <c r="M166" s="72"/>
      <c r="N166" s="72"/>
      <c r="O166" s="72"/>
      <c r="P166" s="72"/>
      <c r="Q166" s="72"/>
      <c r="R166" s="72"/>
      <c r="S166" s="72">
        <f>-T166</f>
        <v>25000</v>
      </c>
      <c r="T166" s="73">
        <f>-SUM(T155:T165)</f>
        <v>-25000</v>
      </c>
    </row>
    <row r="167" spans="2:20" x14ac:dyDescent="0.25">
      <c r="B167" s="1" t="s">
        <v>133</v>
      </c>
      <c r="C167" s="74">
        <f>SUM(C154:C166)</f>
        <v>24000</v>
      </c>
      <c r="D167" s="75">
        <f>SUM(D154:D166)</f>
        <v>150000</v>
      </c>
      <c r="E167" s="75">
        <f>SUM(E154:E166)</f>
        <v>400000</v>
      </c>
      <c r="F167" s="75">
        <f>SUM(F154:F166)</f>
        <v>10000</v>
      </c>
      <c r="G167" s="75"/>
      <c r="H167" s="75">
        <f t="shared" ref="H167:M167" si="30">SUM(H154:H166)</f>
        <v>20000</v>
      </c>
      <c r="I167" s="75">
        <f t="shared" si="30"/>
        <v>540000</v>
      </c>
      <c r="J167" s="76">
        <f t="shared" si="30"/>
        <v>-39000</v>
      </c>
      <c r="K167" s="74">
        <f t="shared" si="30"/>
        <v>400000</v>
      </c>
      <c r="L167" s="75">
        <f t="shared" si="30"/>
        <v>111000</v>
      </c>
      <c r="M167" s="75">
        <f t="shared" si="30"/>
        <v>0</v>
      </c>
      <c r="N167" s="75"/>
      <c r="O167" s="75"/>
      <c r="P167" s="75">
        <f>SUM(P154:P166)</f>
        <v>50000</v>
      </c>
      <c r="Q167" s="75">
        <f>SUM(Q154:Q166)</f>
        <v>360000</v>
      </c>
      <c r="R167" s="75">
        <f>SUM(R154:R166)</f>
        <v>100000</v>
      </c>
      <c r="S167" s="75">
        <f>SUM(S154:S166)</f>
        <v>84000</v>
      </c>
      <c r="T167" s="76">
        <f>SUM(T154:T166)</f>
        <v>0</v>
      </c>
    </row>
    <row r="169" spans="2:20" x14ac:dyDescent="0.25">
      <c r="C169" s="77" t="s">
        <v>60</v>
      </c>
      <c r="D169" s="78">
        <f>SUM(C167:J167)</f>
        <v>1105000</v>
      </c>
      <c r="E169" s="79"/>
      <c r="I169" t="s">
        <v>135</v>
      </c>
      <c r="J169" s="72">
        <f>(SUM(R167:S167,R146,S146)/2)</f>
        <v>196500</v>
      </c>
      <c r="L169">
        <f>J169*12%</f>
        <v>23580</v>
      </c>
    </row>
    <row r="170" spans="2:20" x14ac:dyDescent="0.25">
      <c r="C170" s="80" t="s">
        <v>129</v>
      </c>
      <c r="D170" s="81">
        <f>SUM(K167:T167)</f>
        <v>1105000</v>
      </c>
      <c r="E170" s="82">
        <f>D170-D169</f>
        <v>0</v>
      </c>
      <c r="I170" t="s">
        <v>136</v>
      </c>
      <c r="J170" s="72">
        <f>S166</f>
        <v>25000</v>
      </c>
      <c r="K170" s="83">
        <f>J170/J169</f>
        <v>0.1272264631043257</v>
      </c>
    </row>
    <row r="172" spans="2:20" x14ac:dyDescent="0.25">
      <c r="C172" s="127" t="s">
        <v>196</v>
      </c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</row>
    <row r="173" spans="2:20" x14ac:dyDescent="0.25">
      <c r="C173" s="128" t="s">
        <v>126</v>
      </c>
      <c r="D173" s="129"/>
      <c r="E173" s="129"/>
      <c r="F173" s="129"/>
      <c r="G173" s="129"/>
      <c r="H173" s="129"/>
      <c r="I173" s="129"/>
      <c r="J173" s="130"/>
      <c r="K173" s="128" t="s">
        <v>127</v>
      </c>
      <c r="L173" s="129"/>
      <c r="M173" s="129"/>
      <c r="N173" s="129"/>
      <c r="O173" s="129"/>
      <c r="P173" s="129"/>
      <c r="Q173" s="129"/>
      <c r="R173" s="129"/>
      <c r="S173" s="129"/>
      <c r="T173" s="130"/>
    </row>
    <row r="174" spans="2:20" ht="30" x14ac:dyDescent="0.25">
      <c r="C174" s="65" t="s">
        <v>128</v>
      </c>
      <c r="D174" s="66" t="s">
        <v>62</v>
      </c>
      <c r="E174" s="66" t="s">
        <v>63</v>
      </c>
      <c r="F174" s="66" t="s">
        <v>161</v>
      </c>
      <c r="G174" s="66" t="s">
        <v>17</v>
      </c>
      <c r="H174" s="66" t="s">
        <v>65</v>
      </c>
      <c r="I174" s="66" t="s">
        <v>9</v>
      </c>
      <c r="J174" s="67"/>
      <c r="K174" s="65" t="s">
        <v>7</v>
      </c>
      <c r="L174" s="66" t="s">
        <v>70</v>
      </c>
      <c r="M174" s="66" t="s">
        <v>177</v>
      </c>
      <c r="N174" s="66"/>
      <c r="O174" s="66" t="s">
        <v>115</v>
      </c>
      <c r="P174" s="66" t="s">
        <v>178</v>
      </c>
      <c r="Q174" s="66" t="s">
        <v>130</v>
      </c>
      <c r="R174" s="66" t="s">
        <v>4</v>
      </c>
      <c r="S174" s="66" t="s">
        <v>72</v>
      </c>
      <c r="T174" s="67"/>
    </row>
    <row r="175" spans="2:20" x14ac:dyDescent="0.25">
      <c r="B175" s="1" t="s">
        <v>132</v>
      </c>
      <c r="C175" s="68">
        <f>C167</f>
        <v>24000</v>
      </c>
      <c r="D175" s="69">
        <f t="shared" ref="D175:T175" si="31">D167</f>
        <v>150000</v>
      </c>
      <c r="E175" s="69">
        <f t="shared" si="31"/>
        <v>400000</v>
      </c>
      <c r="F175" s="69">
        <f t="shared" si="31"/>
        <v>10000</v>
      </c>
      <c r="G175" s="69">
        <f t="shared" si="31"/>
        <v>0</v>
      </c>
      <c r="H175" s="69">
        <f t="shared" si="31"/>
        <v>20000</v>
      </c>
      <c r="I175" s="69">
        <f t="shared" si="31"/>
        <v>540000</v>
      </c>
      <c r="J175" s="70">
        <f t="shared" si="31"/>
        <v>-39000</v>
      </c>
      <c r="K175" s="68">
        <f t="shared" si="31"/>
        <v>400000</v>
      </c>
      <c r="L175" s="69">
        <f t="shared" si="31"/>
        <v>111000</v>
      </c>
      <c r="M175" s="69">
        <f t="shared" si="31"/>
        <v>0</v>
      </c>
      <c r="N175" s="69"/>
      <c r="O175" s="69">
        <f t="shared" si="31"/>
        <v>0</v>
      </c>
      <c r="P175" s="69">
        <f t="shared" si="31"/>
        <v>50000</v>
      </c>
      <c r="Q175" s="69">
        <f t="shared" si="31"/>
        <v>360000</v>
      </c>
      <c r="R175" s="69">
        <f t="shared" si="31"/>
        <v>100000</v>
      </c>
      <c r="S175" s="69">
        <f t="shared" si="31"/>
        <v>84000</v>
      </c>
      <c r="T175" s="70">
        <f t="shared" si="31"/>
        <v>0</v>
      </c>
    </row>
    <row r="176" spans="2:20" x14ac:dyDescent="0.25">
      <c r="B176">
        <v>1</v>
      </c>
      <c r="C176" s="71">
        <v>450000</v>
      </c>
      <c r="D176" s="72">
        <v>200000</v>
      </c>
      <c r="E176" s="72">
        <v>-400000</v>
      </c>
      <c r="F176" s="72"/>
      <c r="G176" s="72"/>
      <c r="H176" s="72"/>
      <c r="I176" s="72"/>
      <c r="J176" s="73"/>
      <c r="K176" s="71"/>
      <c r="L176" s="72"/>
      <c r="M176" s="72"/>
      <c r="N176" s="72"/>
      <c r="O176" s="72"/>
      <c r="P176" s="72"/>
      <c r="Q176" s="72"/>
      <c r="R176" s="72"/>
      <c r="S176" s="72"/>
      <c r="T176" s="73">
        <f>SUM(C176:E176)</f>
        <v>250000</v>
      </c>
    </row>
    <row r="177" spans="2:20" x14ac:dyDescent="0.25">
      <c r="B177">
        <f>B176+1</f>
        <v>2</v>
      </c>
      <c r="C177" s="71">
        <f>-D177</f>
        <v>150000</v>
      </c>
      <c r="D177" s="72">
        <v>-150000</v>
      </c>
      <c r="E177" s="72"/>
      <c r="F177" s="72"/>
      <c r="G177" s="72"/>
      <c r="H177" s="72"/>
      <c r="I177" s="72"/>
      <c r="J177" s="73"/>
      <c r="K177" s="71"/>
      <c r="L177" s="72"/>
      <c r="M177" s="72"/>
      <c r="N177" s="72"/>
      <c r="O177" s="72"/>
      <c r="P177" s="72"/>
      <c r="Q177" s="72"/>
      <c r="R177" s="72"/>
      <c r="S177" s="72"/>
      <c r="T177" s="73"/>
    </row>
    <row r="178" spans="2:20" x14ac:dyDescent="0.25">
      <c r="B178">
        <f t="shared" ref="B178:B187" si="32">B177+1</f>
        <v>3</v>
      </c>
      <c r="C178" s="71">
        <f>SUM(K178:P178)</f>
        <v>-561000</v>
      </c>
      <c r="D178" s="72"/>
      <c r="E178" s="72"/>
      <c r="F178" s="72"/>
      <c r="G178" s="72"/>
      <c r="H178" s="72"/>
      <c r="I178" s="72"/>
      <c r="J178" s="73"/>
      <c r="K178" s="71">
        <f>-K175</f>
        <v>-400000</v>
      </c>
      <c r="L178" s="72">
        <f>-L175</f>
        <v>-111000</v>
      </c>
      <c r="M178" s="72"/>
      <c r="N178" s="72"/>
      <c r="O178" s="72"/>
      <c r="P178" s="72">
        <f>-P175</f>
        <v>-50000</v>
      </c>
      <c r="Q178" s="72"/>
      <c r="R178" s="72"/>
      <c r="S178" s="72"/>
      <c r="T178" s="73"/>
    </row>
    <row r="179" spans="2:20" x14ac:dyDescent="0.25">
      <c r="B179">
        <f t="shared" si="32"/>
        <v>4</v>
      </c>
      <c r="C179" s="71"/>
      <c r="D179" s="72"/>
      <c r="E179" s="72">
        <f>500000-G179</f>
        <v>450000</v>
      </c>
      <c r="F179" s="72"/>
      <c r="G179" s="72">
        <f>500000*10%</f>
        <v>50000</v>
      </c>
      <c r="H179" s="72"/>
      <c r="I179" s="72"/>
      <c r="J179" s="73"/>
      <c r="K179" s="71">
        <v>500000</v>
      </c>
      <c r="L179" s="72"/>
      <c r="M179" s="72"/>
      <c r="N179" s="72"/>
      <c r="O179" s="72"/>
      <c r="P179" s="72"/>
      <c r="Q179" s="72"/>
      <c r="R179" s="72"/>
      <c r="S179" s="72"/>
      <c r="T179" s="73"/>
    </row>
    <row r="180" spans="2:20" x14ac:dyDescent="0.25">
      <c r="B180">
        <f t="shared" si="32"/>
        <v>5</v>
      </c>
      <c r="C180" s="71"/>
      <c r="D180" s="72"/>
      <c r="E180" s="72"/>
      <c r="F180" s="72"/>
      <c r="G180" s="72"/>
      <c r="H180" s="72"/>
      <c r="I180" s="72"/>
      <c r="J180" s="73">
        <f>-540000/60</f>
        <v>-9000</v>
      </c>
      <c r="K180" s="71"/>
      <c r="L180" s="72"/>
      <c r="M180" s="72"/>
      <c r="N180" s="72"/>
      <c r="O180" s="72"/>
      <c r="P180" s="72"/>
      <c r="Q180" s="72"/>
      <c r="R180" s="72"/>
      <c r="S180" s="72"/>
      <c r="T180" s="73">
        <f>J180</f>
        <v>-9000</v>
      </c>
    </row>
    <row r="181" spans="2:20" x14ac:dyDescent="0.25">
      <c r="B181">
        <f t="shared" si="32"/>
        <v>6</v>
      </c>
      <c r="C181" s="71"/>
      <c r="D181" s="72"/>
      <c r="E181" s="72"/>
      <c r="F181" s="72"/>
      <c r="G181" s="72"/>
      <c r="H181" s="72"/>
      <c r="I181" s="72"/>
      <c r="J181" s="73"/>
      <c r="K181" s="71"/>
      <c r="L181" s="72">
        <f>-T181</f>
        <v>164500</v>
      </c>
      <c r="M181" s="72"/>
      <c r="N181" s="72"/>
      <c r="O181" s="72"/>
      <c r="P181" s="72"/>
      <c r="Q181" s="72"/>
      <c r="R181" s="72"/>
      <c r="S181" s="72"/>
      <c r="T181" s="73">
        <f>-131600/0.8</f>
        <v>-164500</v>
      </c>
    </row>
    <row r="182" spans="2:20" x14ac:dyDescent="0.25">
      <c r="B182">
        <f t="shared" si="32"/>
        <v>7</v>
      </c>
      <c r="C182" s="71"/>
      <c r="D182" s="72"/>
      <c r="E182" s="72"/>
      <c r="F182" s="72"/>
      <c r="G182" s="72"/>
      <c r="H182" s="72"/>
      <c r="I182" s="72"/>
      <c r="J182" s="73"/>
      <c r="K182" s="71"/>
      <c r="L182" s="72">
        <f t="shared" ref="L182" si="33">-T182</f>
        <v>30000</v>
      </c>
      <c r="M182" s="72"/>
      <c r="N182" s="72"/>
      <c r="O182" s="72"/>
      <c r="P182" s="72"/>
      <c r="Q182" s="72"/>
      <c r="R182" s="72"/>
      <c r="S182" s="72"/>
      <c r="T182" s="73">
        <v>-30000</v>
      </c>
    </row>
    <row r="183" spans="2:20" x14ac:dyDescent="0.25">
      <c r="B183">
        <f t="shared" si="32"/>
        <v>8</v>
      </c>
      <c r="C183" s="71"/>
      <c r="D183" s="72"/>
      <c r="E183" s="72"/>
      <c r="F183" s="72">
        <v>-1000</v>
      </c>
      <c r="G183" s="72"/>
      <c r="H183" s="72"/>
      <c r="I183" s="72"/>
      <c r="J183" s="73"/>
      <c r="K183" s="71"/>
      <c r="L183" s="72"/>
      <c r="M183" s="72"/>
      <c r="N183" s="72"/>
      <c r="O183" s="72"/>
      <c r="P183" s="72"/>
      <c r="Q183" s="72"/>
      <c r="R183" s="72"/>
      <c r="S183" s="72"/>
      <c r="T183" s="73">
        <f>F183</f>
        <v>-1000</v>
      </c>
    </row>
    <row r="184" spans="2:20" x14ac:dyDescent="0.25">
      <c r="B184">
        <f t="shared" si="32"/>
        <v>9</v>
      </c>
      <c r="C184" s="71">
        <f>T184</f>
        <v>-8000</v>
      </c>
      <c r="D184" s="72"/>
      <c r="E184" s="72"/>
      <c r="F184" s="72"/>
      <c r="G184" s="72"/>
      <c r="H184" s="72"/>
      <c r="I184" s="72"/>
      <c r="J184" s="73"/>
      <c r="K184" s="71"/>
      <c r="L184" s="72"/>
      <c r="M184" s="72"/>
      <c r="N184" s="72"/>
      <c r="O184" s="72"/>
      <c r="P184" s="72"/>
      <c r="Q184" s="72"/>
      <c r="R184" s="72"/>
      <c r="S184" s="72"/>
      <c r="T184" s="73">
        <v>-8000</v>
      </c>
    </row>
    <row r="185" spans="2:20" x14ac:dyDescent="0.25">
      <c r="B185">
        <f t="shared" si="32"/>
        <v>10</v>
      </c>
      <c r="C185" s="71">
        <v>800000</v>
      </c>
      <c r="D185" s="72"/>
      <c r="E185" s="72"/>
      <c r="F185" s="72"/>
      <c r="G185" s="72"/>
      <c r="H185" s="72"/>
      <c r="I185" s="72"/>
      <c r="J185" s="73"/>
      <c r="K185" s="71"/>
      <c r="L185" s="72"/>
      <c r="M185" s="72"/>
      <c r="N185" s="72"/>
      <c r="O185" s="72"/>
      <c r="P185" s="72"/>
      <c r="Q185" s="72"/>
      <c r="R185" s="72">
        <f>C185</f>
        <v>800000</v>
      </c>
      <c r="S185" s="72"/>
      <c r="T185" s="73"/>
    </row>
    <row r="186" spans="2:20" x14ac:dyDescent="0.25">
      <c r="B186">
        <f t="shared" si="32"/>
        <v>11</v>
      </c>
      <c r="C186" s="71">
        <v>-360000</v>
      </c>
      <c r="D186" s="72"/>
      <c r="E186" s="72"/>
      <c r="F186" s="72"/>
      <c r="G186" s="72"/>
      <c r="H186" s="72"/>
      <c r="I186" s="72"/>
      <c r="J186" s="73"/>
      <c r="K186" s="71"/>
      <c r="L186" s="72"/>
      <c r="M186" s="72"/>
      <c r="N186" s="72"/>
      <c r="O186" s="72"/>
      <c r="P186" s="72"/>
      <c r="Q186" s="72">
        <v>-360000</v>
      </c>
      <c r="R186" s="72"/>
      <c r="S186" s="72"/>
      <c r="T186" s="73"/>
    </row>
    <row r="187" spans="2:20" x14ac:dyDescent="0.25">
      <c r="B187">
        <f t="shared" si="32"/>
        <v>12</v>
      </c>
      <c r="C187" s="71"/>
      <c r="D187" s="72"/>
      <c r="E187" s="72"/>
      <c r="F187" s="72"/>
      <c r="G187" s="72"/>
      <c r="H187" s="72"/>
      <c r="I187" s="72"/>
      <c r="J187" s="73"/>
      <c r="K187" s="71"/>
      <c r="L187" s="72"/>
      <c r="M187" s="72"/>
      <c r="N187" s="72"/>
      <c r="O187" s="72">
        <f>-T187</f>
        <v>7500</v>
      </c>
      <c r="P187" s="72"/>
      <c r="Q187" s="72"/>
      <c r="R187" s="72"/>
      <c r="S187" s="72"/>
      <c r="T187" s="73">
        <f>-SUM(T176:T186)*20%</f>
        <v>-7500</v>
      </c>
    </row>
    <row r="188" spans="2:20" x14ac:dyDescent="0.25">
      <c r="B188" t="s">
        <v>13</v>
      </c>
      <c r="C188" s="71"/>
      <c r="D188" s="72"/>
      <c r="E188" s="72"/>
      <c r="F188" s="72"/>
      <c r="G188" s="72"/>
      <c r="H188" s="72"/>
      <c r="I188" s="72"/>
      <c r="J188" s="73"/>
      <c r="K188" s="71"/>
      <c r="L188" s="72"/>
      <c r="M188" s="72"/>
      <c r="N188" s="72"/>
      <c r="O188" s="72"/>
      <c r="P188" s="72"/>
      <c r="Q188" s="72"/>
      <c r="R188" s="72"/>
      <c r="S188" s="72">
        <f>-T188</f>
        <v>30000</v>
      </c>
      <c r="T188" s="73">
        <f>-SUM(T176:T187)</f>
        <v>-30000</v>
      </c>
    </row>
    <row r="189" spans="2:20" x14ac:dyDescent="0.25">
      <c r="B189" s="1" t="s">
        <v>133</v>
      </c>
      <c r="C189" s="74">
        <f t="shared" ref="C189:M189" si="34">SUM(C175:C188)</f>
        <v>495000</v>
      </c>
      <c r="D189" s="75">
        <f t="shared" si="34"/>
        <v>200000</v>
      </c>
      <c r="E189" s="75">
        <f t="shared" si="34"/>
        <v>450000</v>
      </c>
      <c r="F189" s="75">
        <f t="shared" si="34"/>
        <v>9000</v>
      </c>
      <c r="G189" s="75">
        <f t="shared" si="34"/>
        <v>50000</v>
      </c>
      <c r="H189" s="75">
        <f t="shared" si="34"/>
        <v>20000</v>
      </c>
      <c r="I189" s="75">
        <f t="shared" si="34"/>
        <v>540000</v>
      </c>
      <c r="J189" s="76">
        <f t="shared" si="34"/>
        <v>-48000</v>
      </c>
      <c r="K189" s="74">
        <f t="shared" si="34"/>
        <v>500000</v>
      </c>
      <c r="L189" s="75">
        <f t="shared" si="34"/>
        <v>194500</v>
      </c>
      <c r="M189" s="75">
        <f t="shared" si="34"/>
        <v>0</v>
      </c>
      <c r="N189" s="75"/>
      <c r="O189" s="75">
        <f t="shared" ref="O189:T189" si="35">SUM(O175:O188)</f>
        <v>7500</v>
      </c>
      <c r="P189" s="75">
        <f t="shared" si="35"/>
        <v>0</v>
      </c>
      <c r="Q189" s="75">
        <f t="shared" si="35"/>
        <v>0</v>
      </c>
      <c r="R189" s="75">
        <f t="shared" si="35"/>
        <v>900000</v>
      </c>
      <c r="S189" s="75">
        <f t="shared" si="35"/>
        <v>114000</v>
      </c>
      <c r="T189" s="76">
        <f t="shared" si="35"/>
        <v>0</v>
      </c>
    </row>
    <row r="191" spans="2:20" x14ac:dyDescent="0.25">
      <c r="C191" s="77" t="s">
        <v>60</v>
      </c>
      <c r="D191" s="78">
        <f>SUM(C189:J189)</f>
        <v>1716000</v>
      </c>
      <c r="E191" s="79"/>
      <c r="I191" t="s">
        <v>135</v>
      </c>
      <c r="J191" s="72">
        <f>(SUM(R189:S189,R167,S167)/2)</f>
        <v>599000</v>
      </c>
      <c r="L191">
        <f>J191*12%</f>
        <v>71880</v>
      </c>
    </row>
    <row r="192" spans="2:20" x14ac:dyDescent="0.25">
      <c r="C192" s="80" t="s">
        <v>129</v>
      </c>
      <c r="D192" s="81">
        <f>SUM(K189:T189)</f>
        <v>1716000</v>
      </c>
      <c r="E192" s="82">
        <f>D192-D191</f>
        <v>0</v>
      </c>
      <c r="I192" t="s">
        <v>136</v>
      </c>
      <c r="J192" s="72">
        <f>S188</f>
        <v>30000</v>
      </c>
      <c r="K192" s="83">
        <f>J192/J191</f>
        <v>5.0083472454090151E-2</v>
      </c>
    </row>
    <row r="198" spans="2:20" x14ac:dyDescent="0.25">
      <c r="C198" s="127" t="s">
        <v>204</v>
      </c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</row>
    <row r="199" spans="2:20" x14ac:dyDescent="0.25">
      <c r="C199" s="128" t="s">
        <v>126</v>
      </c>
      <c r="D199" s="129"/>
      <c r="E199" s="129"/>
      <c r="F199" s="129"/>
      <c r="G199" s="129"/>
      <c r="H199" s="129"/>
      <c r="I199" s="129"/>
      <c r="J199" s="130"/>
      <c r="K199" s="128" t="s">
        <v>127</v>
      </c>
      <c r="L199" s="129"/>
      <c r="M199" s="129"/>
      <c r="N199" s="129"/>
      <c r="O199" s="129"/>
      <c r="P199" s="129"/>
      <c r="Q199" s="129"/>
      <c r="R199" s="129"/>
      <c r="S199" s="129"/>
      <c r="T199" s="130"/>
    </row>
    <row r="200" spans="2:20" ht="30" x14ac:dyDescent="0.25">
      <c r="C200" s="65" t="s">
        <v>128</v>
      </c>
      <c r="D200" s="66" t="s">
        <v>62</v>
      </c>
      <c r="E200" s="66" t="s">
        <v>63</v>
      </c>
      <c r="F200" s="66" t="s">
        <v>161</v>
      </c>
      <c r="G200" s="66" t="s">
        <v>17</v>
      </c>
      <c r="H200" s="66" t="s">
        <v>65</v>
      </c>
      <c r="I200" s="66" t="s">
        <v>9</v>
      </c>
      <c r="J200" s="67"/>
      <c r="K200" s="65" t="s">
        <v>7</v>
      </c>
      <c r="L200" s="66" t="s">
        <v>70</v>
      </c>
      <c r="M200" s="66" t="s">
        <v>177</v>
      </c>
      <c r="N200" s="66" t="s">
        <v>116</v>
      </c>
      <c r="O200" s="66" t="s">
        <v>115</v>
      </c>
      <c r="P200" s="66" t="s">
        <v>178</v>
      </c>
      <c r="Q200" s="66" t="s">
        <v>130</v>
      </c>
      <c r="R200" s="66" t="s">
        <v>4</v>
      </c>
      <c r="S200" s="66" t="s">
        <v>72</v>
      </c>
      <c r="T200" s="67"/>
    </row>
    <row r="201" spans="2:20" x14ac:dyDescent="0.25">
      <c r="B201" s="1" t="s">
        <v>132</v>
      </c>
      <c r="C201" s="68">
        <f t="shared" ref="C201:T201" si="36">C189</f>
        <v>495000</v>
      </c>
      <c r="D201" s="69">
        <f t="shared" si="36"/>
        <v>200000</v>
      </c>
      <c r="E201" s="69">
        <f t="shared" si="36"/>
        <v>450000</v>
      </c>
      <c r="F201" s="69">
        <f t="shared" si="36"/>
        <v>9000</v>
      </c>
      <c r="G201" s="69">
        <f t="shared" si="36"/>
        <v>50000</v>
      </c>
      <c r="H201" s="69">
        <f t="shared" si="36"/>
        <v>20000</v>
      </c>
      <c r="I201" s="69">
        <f t="shared" si="36"/>
        <v>540000</v>
      </c>
      <c r="J201" s="70">
        <f t="shared" si="36"/>
        <v>-48000</v>
      </c>
      <c r="K201" s="68">
        <f t="shared" si="36"/>
        <v>500000</v>
      </c>
      <c r="L201" s="69">
        <f t="shared" si="36"/>
        <v>194500</v>
      </c>
      <c r="M201" s="69">
        <f t="shared" si="36"/>
        <v>0</v>
      </c>
      <c r="N201" s="69">
        <f t="shared" si="36"/>
        <v>0</v>
      </c>
      <c r="O201" s="69">
        <f t="shared" si="36"/>
        <v>7500</v>
      </c>
      <c r="P201" s="69">
        <f t="shared" si="36"/>
        <v>0</v>
      </c>
      <c r="Q201" s="69">
        <f t="shared" si="36"/>
        <v>0</v>
      </c>
      <c r="R201" s="69">
        <f t="shared" si="36"/>
        <v>900000</v>
      </c>
      <c r="S201" s="69">
        <f t="shared" si="36"/>
        <v>114000</v>
      </c>
      <c r="T201" s="70">
        <f t="shared" si="36"/>
        <v>0</v>
      </c>
    </row>
    <row r="202" spans="2:20" x14ac:dyDescent="0.25">
      <c r="B202">
        <v>1</v>
      </c>
      <c r="C202" s="71">
        <v>200000</v>
      </c>
      <c r="D202" s="72">
        <f>-C202</f>
        <v>-200000</v>
      </c>
      <c r="E202" s="72"/>
      <c r="F202" s="72"/>
      <c r="G202" s="72"/>
      <c r="H202" s="72"/>
      <c r="I202" s="72"/>
      <c r="J202" s="73"/>
      <c r="K202" s="71"/>
      <c r="L202" s="72"/>
      <c r="M202" s="72"/>
      <c r="N202" s="72"/>
      <c r="O202" s="72"/>
      <c r="P202" s="72"/>
      <c r="Q202" s="72"/>
      <c r="R202" s="72"/>
      <c r="S202" s="72"/>
      <c r="T202" s="73"/>
    </row>
    <row r="203" spans="2:20" x14ac:dyDescent="0.25">
      <c r="B203">
        <f t="shared" ref="B203:B212" si="37">B202+1</f>
        <v>2</v>
      </c>
      <c r="C203" s="71">
        <v>500000</v>
      </c>
      <c r="D203" s="72">
        <v>300000</v>
      </c>
      <c r="E203" s="72">
        <v>-450000</v>
      </c>
      <c r="F203" s="72"/>
      <c r="G203" s="72"/>
      <c r="H203" s="72"/>
      <c r="I203" s="72"/>
      <c r="J203" s="73"/>
      <c r="K203" s="71"/>
      <c r="L203" s="72"/>
      <c r="M203" s="72"/>
      <c r="N203" s="72">
        <v>160000</v>
      </c>
      <c r="O203" s="72"/>
      <c r="P203" s="72"/>
      <c r="Q203" s="72"/>
      <c r="R203" s="72"/>
      <c r="S203" s="72"/>
      <c r="T203" s="73">
        <f>SUM(C203:E203)-N203</f>
        <v>190000</v>
      </c>
    </row>
    <row r="204" spans="2:20" x14ac:dyDescent="0.25">
      <c r="B204">
        <f t="shared" si="37"/>
        <v>3</v>
      </c>
      <c r="C204" s="71">
        <f>SUM(K204:O204)</f>
        <v>-702000</v>
      </c>
      <c r="D204" s="72"/>
      <c r="E204" s="72"/>
      <c r="F204" s="72"/>
      <c r="G204" s="72"/>
      <c r="H204" s="72"/>
      <c r="I204" s="72"/>
      <c r="J204" s="73"/>
      <c r="K204" s="71">
        <f>-K201</f>
        <v>-500000</v>
      </c>
      <c r="L204" s="72">
        <f>-L201</f>
        <v>-194500</v>
      </c>
      <c r="M204" s="72"/>
      <c r="N204" s="72"/>
      <c r="O204" s="72">
        <f>-O201</f>
        <v>-7500</v>
      </c>
      <c r="P204" s="72"/>
      <c r="Q204" s="72"/>
      <c r="R204" s="72"/>
      <c r="S204" s="72"/>
      <c r="T204" s="73"/>
    </row>
    <row r="205" spans="2:20" x14ac:dyDescent="0.25">
      <c r="B205">
        <f t="shared" si="37"/>
        <v>4</v>
      </c>
      <c r="C205" s="71"/>
      <c r="D205" s="72"/>
      <c r="E205" s="72">
        <f>500000-G205</f>
        <v>400000</v>
      </c>
      <c r="F205" s="72"/>
      <c r="G205" s="94">
        <f>500000*20%</f>
        <v>100000</v>
      </c>
      <c r="H205" s="72"/>
      <c r="I205" s="72"/>
      <c r="J205" s="73"/>
      <c r="K205" s="71">
        <v>500000</v>
      </c>
      <c r="L205" s="72"/>
      <c r="M205" s="72"/>
      <c r="N205" s="72"/>
      <c r="O205" s="72"/>
      <c r="P205" s="72"/>
      <c r="Q205" s="72"/>
      <c r="R205" s="72"/>
      <c r="S205" s="72"/>
      <c r="T205" s="73"/>
    </row>
    <row r="206" spans="2:20" x14ac:dyDescent="0.25">
      <c r="B206">
        <f t="shared" si="37"/>
        <v>5</v>
      </c>
      <c r="C206" s="71"/>
      <c r="D206" s="72"/>
      <c r="E206" s="72"/>
      <c r="F206" s="72"/>
      <c r="G206" s="72"/>
      <c r="H206" s="72"/>
      <c r="I206" s="72"/>
      <c r="J206" s="73">
        <f>-540000/60</f>
        <v>-9000</v>
      </c>
      <c r="K206" s="71"/>
      <c r="L206" s="72"/>
      <c r="M206" s="72"/>
      <c r="N206" s="72"/>
      <c r="O206" s="72"/>
      <c r="P206" s="72"/>
      <c r="Q206" s="72"/>
      <c r="R206" s="72"/>
      <c r="S206" s="72"/>
      <c r="T206" s="73">
        <f>J206</f>
        <v>-9000</v>
      </c>
    </row>
    <row r="207" spans="2:20" x14ac:dyDescent="0.25">
      <c r="B207">
        <f t="shared" si="37"/>
        <v>6</v>
      </c>
      <c r="C207" s="71"/>
      <c r="D207" s="72"/>
      <c r="E207" s="72"/>
      <c r="F207" s="72"/>
      <c r="G207" s="72"/>
      <c r="H207" s="72"/>
      <c r="I207" s="72"/>
      <c r="J207" s="73"/>
      <c r="K207" s="71"/>
      <c r="L207" s="72">
        <v>150000</v>
      </c>
      <c r="M207" s="72"/>
      <c r="N207" s="72"/>
      <c r="O207" s="72"/>
      <c r="P207" s="72"/>
      <c r="Q207" s="72"/>
      <c r="R207" s="72"/>
      <c r="S207" s="72"/>
      <c r="T207" s="73">
        <f>-L207</f>
        <v>-150000</v>
      </c>
    </row>
    <row r="208" spans="2:20" x14ac:dyDescent="0.25">
      <c r="B208">
        <f t="shared" si="37"/>
        <v>7</v>
      </c>
      <c r="C208" s="71"/>
      <c r="D208" s="72"/>
      <c r="E208" s="72"/>
      <c r="F208" s="72"/>
      <c r="G208" s="72"/>
      <c r="H208" s="72"/>
      <c r="I208" s="72"/>
      <c r="J208" s="73"/>
      <c r="K208" s="71"/>
      <c r="L208" s="72">
        <f>-T208</f>
        <v>30000</v>
      </c>
      <c r="M208" s="72"/>
      <c r="N208" s="72"/>
      <c r="O208" s="72"/>
      <c r="P208" s="72"/>
      <c r="Q208" s="72"/>
      <c r="R208" s="72"/>
      <c r="S208" s="72"/>
      <c r="T208" s="73">
        <v>-30000</v>
      </c>
    </row>
    <row r="209" spans="2:20" x14ac:dyDescent="0.25">
      <c r="B209">
        <f t="shared" si="37"/>
        <v>8</v>
      </c>
      <c r="C209" s="71"/>
      <c r="D209" s="72"/>
      <c r="E209" s="72"/>
      <c r="F209" s="72">
        <v>-1000</v>
      </c>
      <c r="G209" s="72"/>
      <c r="H209" s="72"/>
      <c r="I209" s="72"/>
      <c r="J209" s="73"/>
      <c r="K209" s="71"/>
      <c r="L209" s="72"/>
      <c r="M209" s="72"/>
      <c r="N209" s="72"/>
      <c r="O209" s="72"/>
      <c r="P209" s="72"/>
      <c r="Q209" s="72"/>
      <c r="R209" s="72"/>
      <c r="S209" s="72"/>
      <c r="T209" s="73">
        <f>F209</f>
        <v>-1000</v>
      </c>
    </row>
    <row r="210" spans="2:20" x14ac:dyDescent="0.25">
      <c r="B210">
        <f t="shared" si="37"/>
        <v>9</v>
      </c>
      <c r="C210" s="71"/>
      <c r="D210" s="72"/>
      <c r="E210" s="72"/>
      <c r="F210" s="72"/>
      <c r="G210" s="72"/>
      <c r="H210" s="72"/>
      <c r="I210" s="72"/>
      <c r="J210" s="73"/>
      <c r="K210" s="71"/>
      <c r="L210" s="72"/>
      <c r="M210" s="72"/>
      <c r="N210" s="72"/>
      <c r="O210" s="72">
        <f>-T210</f>
        <v>0</v>
      </c>
      <c r="P210" s="72"/>
      <c r="Q210" s="72"/>
      <c r="R210" s="72"/>
      <c r="S210" s="72"/>
      <c r="T210" s="73">
        <f>-SUM(T203:T209)*20%</f>
        <v>0</v>
      </c>
    </row>
    <row r="211" spans="2:20" x14ac:dyDescent="0.25">
      <c r="B211">
        <f t="shared" si="37"/>
        <v>10</v>
      </c>
      <c r="C211" s="71"/>
      <c r="D211" s="72"/>
      <c r="E211" s="72"/>
      <c r="F211" s="72"/>
      <c r="G211" s="72">
        <v>-150000</v>
      </c>
      <c r="H211" s="72"/>
      <c r="I211" s="72"/>
      <c r="J211" s="73"/>
      <c r="K211" s="71"/>
      <c r="L211" s="72"/>
      <c r="M211" s="72"/>
      <c r="N211" s="72">
        <v>-150000</v>
      </c>
      <c r="O211" s="72"/>
      <c r="P211" s="72"/>
      <c r="Q211" s="72"/>
      <c r="R211" s="72"/>
      <c r="S211" s="72"/>
      <c r="T211" s="73"/>
    </row>
    <row r="212" spans="2:20" x14ac:dyDescent="0.25">
      <c r="B212">
        <f t="shared" si="37"/>
        <v>11</v>
      </c>
      <c r="C212" s="71"/>
      <c r="D212" s="72"/>
      <c r="E212" s="72"/>
      <c r="F212" s="72"/>
      <c r="G212" s="72"/>
      <c r="H212" s="72"/>
      <c r="I212" s="72"/>
      <c r="J212" s="73"/>
      <c r="K212" s="71"/>
      <c r="L212" s="72"/>
      <c r="M212" s="72"/>
      <c r="N212" s="72"/>
      <c r="O212" s="72"/>
      <c r="P212" s="72">
        <v>20000</v>
      </c>
      <c r="Q212" s="72"/>
      <c r="R212" s="72"/>
      <c r="S212" s="72">
        <v>-20000</v>
      </c>
      <c r="T212" s="73"/>
    </row>
    <row r="213" spans="2:20" x14ac:dyDescent="0.25">
      <c r="B213" t="s">
        <v>13</v>
      </c>
      <c r="C213" s="71"/>
      <c r="D213" s="72"/>
      <c r="E213" s="72"/>
      <c r="F213" s="72"/>
      <c r="G213" s="72"/>
      <c r="H213" s="72"/>
      <c r="I213" s="72"/>
      <c r="J213" s="73"/>
      <c r="K213" s="71"/>
      <c r="L213" s="72"/>
      <c r="M213" s="72"/>
      <c r="N213" s="72"/>
      <c r="O213" s="72"/>
      <c r="P213" s="72"/>
      <c r="Q213" s="72"/>
      <c r="R213" s="72"/>
      <c r="S213" s="72">
        <f>-T213</f>
        <v>0</v>
      </c>
      <c r="T213" s="73">
        <f>-SUM(T202:T212)</f>
        <v>0</v>
      </c>
    </row>
    <row r="214" spans="2:20" x14ac:dyDescent="0.25">
      <c r="B214" s="1" t="s">
        <v>133</v>
      </c>
      <c r="C214" s="74">
        <f t="shared" ref="C214:T214" si="38">SUM(C201:C213)</f>
        <v>493000</v>
      </c>
      <c r="D214" s="75">
        <f t="shared" si="38"/>
        <v>300000</v>
      </c>
      <c r="E214" s="75">
        <f t="shared" si="38"/>
        <v>400000</v>
      </c>
      <c r="F214" s="75">
        <f t="shared" si="38"/>
        <v>8000</v>
      </c>
      <c r="G214" s="75">
        <f t="shared" si="38"/>
        <v>0</v>
      </c>
      <c r="H214" s="75">
        <f t="shared" si="38"/>
        <v>20000</v>
      </c>
      <c r="I214" s="75">
        <f t="shared" si="38"/>
        <v>540000</v>
      </c>
      <c r="J214" s="76">
        <f t="shared" si="38"/>
        <v>-57000</v>
      </c>
      <c r="K214" s="74">
        <f t="shared" si="38"/>
        <v>500000</v>
      </c>
      <c r="L214" s="75">
        <f t="shared" si="38"/>
        <v>180000</v>
      </c>
      <c r="M214" s="75">
        <f t="shared" si="38"/>
        <v>0</v>
      </c>
      <c r="N214" s="75">
        <f t="shared" si="38"/>
        <v>10000</v>
      </c>
      <c r="O214" s="75">
        <f t="shared" si="38"/>
        <v>0</v>
      </c>
      <c r="P214" s="75">
        <f t="shared" si="38"/>
        <v>20000</v>
      </c>
      <c r="Q214" s="75">
        <f t="shared" si="38"/>
        <v>0</v>
      </c>
      <c r="R214" s="75">
        <f t="shared" si="38"/>
        <v>900000</v>
      </c>
      <c r="S214" s="75">
        <f t="shared" si="38"/>
        <v>94000</v>
      </c>
      <c r="T214" s="76">
        <f t="shared" si="38"/>
        <v>0</v>
      </c>
    </row>
    <row r="216" spans="2:20" x14ac:dyDescent="0.25">
      <c r="C216" s="77" t="s">
        <v>60</v>
      </c>
      <c r="D216" s="78">
        <f>SUM(C214:J214)</f>
        <v>1704000</v>
      </c>
      <c r="E216" s="79"/>
      <c r="I216" t="s">
        <v>135</v>
      </c>
      <c r="J216" s="72">
        <f>(SUM(R214:S214,R189,S189)/2)</f>
        <v>1004000</v>
      </c>
      <c r="L216">
        <f>J216*5%</f>
        <v>50200</v>
      </c>
    </row>
    <row r="217" spans="2:20" x14ac:dyDescent="0.25">
      <c r="C217" s="80" t="s">
        <v>129</v>
      </c>
      <c r="D217" s="81">
        <f>SUM(K214:T214)</f>
        <v>1704000</v>
      </c>
      <c r="E217" s="82">
        <f>D217-D216</f>
        <v>0</v>
      </c>
      <c r="I217" t="s">
        <v>136</v>
      </c>
      <c r="J217" s="72">
        <f>S213</f>
        <v>0</v>
      </c>
      <c r="K217" s="83">
        <f>J217/J216</f>
        <v>0</v>
      </c>
    </row>
    <row r="219" spans="2:20" x14ac:dyDescent="0.25">
      <c r="C219" s="127" t="s">
        <v>210</v>
      </c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</row>
    <row r="220" spans="2:20" x14ac:dyDescent="0.25">
      <c r="C220" s="128" t="s">
        <v>126</v>
      </c>
      <c r="D220" s="129"/>
      <c r="E220" s="129"/>
      <c r="F220" s="129"/>
      <c r="G220" s="129"/>
      <c r="H220" s="129"/>
      <c r="I220" s="129"/>
      <c r="J220" s="130"/>
      <c r="K220" s="128" t="s">
        <v>127</v>
      </c>
      <c r="L220" s="129"/>
      <c r="M220" s="129"/>
      <c r="N220" s="129"/>
      <c r="O220" s="129"/>
      <c r="P220" s="129"/>
      <c r="Q220" s="129"/>
      <c r="R220" s="129"/>
      <c r="S220" s="129"/>
      <c r="T220" s="130"/>
    </row>
    <row r="221" spans="2:20" ht="30" x14ac:dyDescent="0.25">
      <c r="C221" s="65" t="s">
        <v>128</v>
      </c>
      <c r="D221" s="66" t="s">
        <v>62</v>
      </c>
      <c r="E221" s="66" t="s">
        <v>63</v>
      </c>
      <c r="F221" s="66" t="s">
        <v>161</v>
      </c>
      <c r="G221" s="66" t="s">
        <v>17</v>
      </c>
      <c r="H221" s="66" t="s">
        <v>65</v>
      </c>
      <c r="I221" s="66" t="s">
        <v>9</v>
      </c>
      <c r="J221" s="67"/>
      <c r="K221" s="65" t="s">
        <v>7</v>
      </c>
      <c r="L221" s="66" t="s">
        <v>70</v>
      </c>
      <c r="M221" s="66" t="s">
        <v>177</v>
      </c>
      <c r="N221" s="66" t="s">
        <v>116</v>
      </c>
      <c r="O221" s="66" t="s">
        <v>115</v>
      </c>
      <c r="P221" s="66" t="s">
        <v>178</v>
      </c>
      <c r="Q221" s="66" t="s">
        <v>130</v>
      </c>
      <c r="R221" s="66" t="s">
        <v>4</v>
      </c>
      <c r="S221" s="66" t="s">
        <v>72</v>
      </c>
      <c r="T221" s="67"/>
    </row>
    <row r="222" spans="2:20" x14ac:dyDescent="0.25">
      <c r="B222" s="1" t="s">
        <v>132</v>
      </c>
      <c r="C222" s="68">
        <f>C214</f>
        <v>493000</v>
      </c>
      <c r="D222" s="69">
        <f t="shared" ref="D222:T222" si="39">D214</f>
        <v>300000</v>
      </c>
      <c r="E222" s="69">
        <f t="shared" si="39"/>
        <v>400000</v>
      </c>
      <c r="F222" s="69">
        <f t="shared" si="39"/>
        <v>8000</v>
      </c>
      <c r="G222" s="69">
        <f t="shared" si="39"/>
        <v>0</v>
      </c>
      <c r="H222" s="69">
        <f t="shared" si="39"/>
        <v>20000</v>
      </c>
      <c r="I222" s="69">
        <f t="shared" si="39"/>
        <v>540000</v>
      </c>
      <c r="J222" s="70">
        <f t="shared" si="39"/>
        <v>-57000</v>
      </c>
      <c r="K222" s="68">
        <f t="shared" si="39"/>
        <v>500000</v>
      </c>
      <c r="L222" s="69">
        <f t="shared" si="39"/>
        <v>180000</v>
      </c>
      <c r="M222" s="69">
        <f t="shared" si="39"/>
        <v>0</v>
      </c>
      <c r="N222" s="69">
        <f t="shared" si="39"/>
        <v>10000</v>
      </c>
      <c r="O222" s="69">
        <f t="shared" si="39"/>
        <v>0</v>
      </c>
      <c r="P222" s="69">
        <f t="shared" si="39"/>
        <v>20000</v>
      </c>
      <c r="Q222" s="69">
        <f t="shared" si="39"/>
        <v>0</v>
      </c>
      <c r="R222" s="69">
        <f t="shared" si="39"/>
        <v>900000</v>
      </c>
      <c r="S222" s="69">
        <f t="shared" si="39"/>
        <v>94000</v>
      </c>
      <c r="T222" s="70">
        <f t="shared" si="39"/>
        <v>0</v>
      </c>
    </row>
    <row r="223" spans="2:20" x14ac:dyDescent="0.25">
      <c r="B223">
        <v>1</v>
      </c>
      <c r="C223" s="71">
        <v>300000</v>
      </c>
      <c r="D223" s="72">
        <f>-C223</f>
        <v>-300000</v>
      </c>
      <c r="E223" s="72"/>
      <c r="F223" s="72"/>
      <c r="G223" s="72"/>
      <c r="H223" s="72"/>
      <c r="I223" s="72"/>
      <c r="J223" s="73"/>
      <c r="K223" s="71"/>
      <c r="L223" s="72"/>
      <c r="M223" s="72"/>
      <c r="N223" s="72"/>
      <c r="O223" s="72"/>
      <c r="P223" s="72"/>
      <c r="Q223" s="72"/>
      <c r="R223" s="72"/>
      <c r="S223" s="72"/>
      <c r="T223" s="73"/>
    </row>
    <row r="224" spans="2:20" x14ac:dyDescent="0.25">
      <c r="B224">
        <f t="shared" ref="B224:B237" si="40">B223+1</f>
        <v>2</v>
      </c>
      <c r="C224" s="71">
        <v>450000</v>
      </c>
      <c r="D224" s="72">
        <v>200000</v>
      </c>
      <c r="E224" s="72">
        <v>-400000</v>
      </c>
      <c r="F224" s="72"/>
      <c r="G224" s="72"/>
      <c r="H224" s="72"/>
      <c r="I224" s="72"/>
      <c r="J224" s="73"/>
      <c r="K224" s="71"/>
      <c r="L224" s="72"/>
      <c r="M224" s="72"/>
      <c r="N224" s="72">
        <f>650000*20%</f>
        <v>130000</v>
      </c>
      <c r="O224" s="72"/>
      <c r="P224" s="72"/>
      <c r="Q224" s="72"/>
      <c r="R224" s="72"/>
      <c r="S224" s="72"/>
      <c r="T224" s="73">
        <f>SUM(C224:E224)-N224</f>
        <v>120000</v>
      </c>
    </row>
    <row r="225" spans="2:20" x14ac:dyDescent="0.25">
      <c r="B225">
        <f t="shared" si="40"/>
        <v>3</v>
      </c>
      <c r="C225" s="71">
        <f>SUM(K225:P225)</f>
        <v>-700000</v>
      </c>
      <c r="D225" s="72"/>
      <c r="E225" s="72"/>
      <c r="F225" s="72"/>
      <c r="G225" s="72"/>
      <c r="H225" s="72"/>
      <c r="I225" s="72"/>
      <c r="J225" s="73"/>
      <c r="K225" s="71">
        <f>-K222</f>
        <v>-500000</v>
      </c>
      <c r="L225" s="72">
        <f>-L222</f>
        <v>-180000</v>
      </c>
      <c r="M225" s="72"/>
      <c r="N225" s="72"/>
      <c r="O225" s="72">
        <f t="shared" ref="O225:P225" si="41">-O222</f>
        <v>0</v>
      </c>
      <c r="P225" s="72">
        <f t="shared" si="41"/>
        <v>-20000</v>
      </c>
      <c r="Q225" s="72"/>
      <c r="R225" s="72"/>
      <c r="S225" s="72"/>
      <c r="T225" s="73"/>
    </row>
    <row r="226" spans="2:20" x14ac:dyDescent="0.25">
      <c r="B226">
        <f t="shared" si="40"/>
        <v>4</v>
      </c>
      <c r="C226" s="71">
        <v>-100000</v>
      </c>
      <c r="D226" s="72"/>
      <c r="E226" s="72">
        <f>600000*0.8</f>
        <v>480000</v>
      </c>
      <c r="F226" s="72"/>
      <c r="G226" s="72">
        <f>600000*0.2</f>
        <v>120000</v>
      </c>
      <c r="H226" s="72"/>
      <c r="I226" s="72"/>
      <c r="J226" s="73"/>
      <c r="K226" s="71">
        <v>500000</v>
      </c>
      <c r="L226" s="72"/>
      <c r="M226" s="72"/>
      <c r="N226" s="72"/>
      <c r="O226" s="72"/>
      <c r="P226" s="72"/>
      <c r="Q226" s="72"/>
      <c r="R226" s="72"/>
      <c r="S226" s="72"/>
      <c r="T226" s="73"/>
    </row>
    <row r="227" spans="2:20" x14ac:dyDescent="0.25">
      <c r="B227">
        <f t="shared" si="40"/>
        <v>5</v>
      </c>
      <c r="C227" s="71"/>
      <c r="D227" s="72"/>
      <c r="E227" s="72"/>
      <c r="F227" s="72"/>
      <c r="G227" s="72"/>
      <c r="H227" s="72"/>
      <c r="I227" s="72"/>
      <c r="J227" s="73">
        <f>-540000/60</f>
        <v>-9000</v>
      </c>
      <c r="K227" s="71"/>
      <c r="L227" s="72"/>
      <c r="M227" s="72"/>
      <c r="N227" s="72"/>
      <c r="O227" s="72"/>
      <c r="P227" s="72"/>
      <c r="Q227" s="72"/>
      <c r="R227" s="72"/>
      <c r="S227" s="72"/>
      <c r="T227" s="73">
        <f>J227</f>
        <v>-9000</v>
      </c>
    </row>
    <row r="228" spans="2:20" x14ac:dyDescent="0.25">
      <c r="B228">
        <f t="shared" si="40"/>
        <v>6</v>
      </c>
      <c r="C228" s="71"/>
      <c r="D228" s="72"/>
      <c r="E228" s="72"/>
      <c r="F228" s="72"/>
      <c r="G228" s="72"/>
      <c r="H228" s="72"/>
      <c r="I228" s="72"/>
      <c r="J228" s="73"/>
      <c r="K228" s="71"/>
      <c r="L228" s="72">
        <f>-T228</f>
        <v>48750</v>
      </c>
      <c r="M228" s="72"/>
      <c r="N228" s="72"/>
      <c r="O228" s="72"/>
      <c r="P228" s="72"/>
      <c r="Q228" s="72"/>
      <c r="R228" s="72"/>
      <c r="S228" s="72"/>
      <c r="T228" s="73">
        <f>-34000/0.8-5000/0.8</f>
        <v>-48750</v>
      </c>
    </row>
    <row r="229" spans="2:20" x14ac:dyDescent="0.25">
      <c r="B229">
        <f t="shared" si="40"/>
        <v>7</v>
      </c>
      <c r="C229" s="71"/>
      <c r="D229" s="72"/>
      <c r="E229" s="72"/>
      <c r="F229" s="72"/>
      <c r="G229" s="72"/>
      <c r="H229" s="72"/>
      <c r="I229" s="72"/>
      <c r="J229" s="73"/>
      <c r="K229" s="71"/>
      <c r="L229" s="72">
        <f>-T229</f>
        <v>30000</v>
      </c>
      <c r="M229" s="72"/>
      <c r="N229" s="72"/>
      <c r="O229" s="72"/>
      <c r="P229" s="72"/>
      <c r="Q229" s="72"/>
      <c r="R229" s="72"/>
      <c r="S229" s="72"/>
      <c r="T229" s="73">
        <v>-30000</v>
      </c>
    </row>
    <row r="230" spans="2:20" x14ac:dyDescent="0.25">
      <c r="B230">
        <f t="shared" si="40"/>
        <v>8</v>
      </c>
      <c r="C230" s="71"/>
      <c r="D230" s="72"/>
      <c r="E230" s="72"/>
      <c r="F230" s="72">
        <v>-1000</v>
      </c>
      <c r="G230" s="72"/>
      <c r="H230" s="72"/>
      <c r="I230" s="72"/>
      <c r="J230" s="73"/>
      <c r="K230" s="71"/>
      <c r="L230" s="72"/>
      <c r="M230" s="72"/>
      <c r="N230" s="72"/>
      <c r="O230" s="72"/>
      <c r="P230" s="72"/>
      <c r="Q230" s="72"/>
      <c r="R230" s="72"/>
      <c r="S230" s="72"/>
      <c r="T230" s="73">
        <f>F230</f>
        <v>-1000</v>
      </c>
    </row>
    <row r="231" spans="2:20" x14ac:dyDescent="0.25">
      <c r="B231">
        <f t="shared" si="40"/>
        <v>9</v>
      </c>
      <c r="C231" s="71"/>
      <c r="D231" s="72"/>
      <c r="E231" s="72"/>
      <c r="F231" s="72"/>
      <c r="G231" s="72">
        <v>-120000</v>
      </c>
      <c r="H231" s="72"/>
      <c r="I231" s="72"/>
      <c r="J231" s="73"/>
      <c r="K231" s="71"/>
      <c r="L231" s="72"/>
      <c r="M231" s="72"/>
      <c r="N231" s="72">
        <v>-120000</v>
      </c>
      <c r="O231" s="72"/>
      <c r="P231" s="72"/>
      <c r="Q231" s="72"/>
      <c r="R231" s="72"/>
      <c r="S231" s="72"/>
      <c r="T231" s="73"/>
    </row>
    <row r="232" spans="2:20" x14ac:dyDescent="0.25">
      <c r="B232">
        <f t="shared" si="40"/>
        <v>10</v>
      </c>
      <c r="C232" s="71"/>
      <c r="D232" s="72"/>
      <c r="E232" s="72"/>
      <c r="F232" s="72"/>
      <c r="G232" s="72"/>
      <c r="H232" s="72"/>
      <c r="I232" s="72"/>
      <c r="J232" s="73"/>
      <c r="K232" s="71"/>
      <c r="L232" s="72"/>
      <c r="M232" s="72"/>
      <c r="N232" s="72"/>
      <c r="O232" s="72">
        <f>-T232</f>
        <v>6250</v>
      </c>
      <c r="P232" s="72"/>
      <c r="Q232" s="72"/>
      <c r="R232" s="72"/>
      <c r="S232" s="72"/>
      <c r="T232" s="73">
        <f>-SUM(T224:T231)*20%</f>
        <v>-6250</v>
      </c>
    </row>
    <row r="233" spans="2:20" x14ac:dyDescent="0.25">
      <c r="B233">
        <f t="shared" si="40"/>
        <v>11</v>
      </c>
      <c r="C233" s="71"/>
      <c r="D233" s="72"/>
      <c r="E233" s="72"/>
      <c r="F233" s="72"/>
      <c r="G233" s="72"/>
      <c r="H233" s="72"/>
      <c r="I233" s="72"/>
      <c r="J233" s="73"/>
      <c r="K233" s="71"/>
      <c r="L233" s="72"/>
      <c r="M233" s="72"/>
      <c r="N233" s="72"/>
      <c r="O233" s="72"/>
      <c r="P233" s="72">
        <f>-S233</f>
        <v>30000</v>
      </c>
      <c r="Q233" s="72"/>
      <c r="R233" s="72"/>
      <c r="S233" s="72">
        <v>-30000</v>
      </c>
      <c r="T233" s="73"/>
    </row>
    <row r="234" spans="2:20" x14ac:dyDescent="0.25">
      <c r="B234">
        <f t="shared" si="40"/>
        <v>12</v>
      </c>
      <c r="C234" s="71"/>
      <c r="D234" s="72"/>
      <c r="E234" s="72"/>
      <c r="F234" s="72"/>
      <c r="G234" s="72"/>
      <c r="H234" s="72"/>
      <c r="I234" s="72"/>
      <c r="J234" s="73"/>
      <c r="K234" s="71"/>
      <c r="L234" s="72"/>
      <c r="M234" s="72"/>
      <c r="N234" s="72"/>
      <c r="O234" s="72"/>
      <c r="P234" s="72"/>
      <c r="Q234" s="72"/>
      <c r="R234" s="72"/>
      <c r="S234" s="72"/>
      <c r="T234" s="73"/>
    </row>
    <row r="235" spans="2:20" x14ac:dyDescent="0.25">
      <c r="B235">
        <f t="shared" si="40"/>
        <v>13</v>
      </c>
      <c r="C235" s="71"/>
      <c r="D235" s="72"/>
      <c r="E235" s="72"/>
      <c r="F235" s="72"/>
      <c r="G235" s="72"/>
      <c r="H235" s="72"/>
      <c r="I235" s="72"/>
      <c r="J235" s="73"/>
      <c r="K235" s="71"/>
      <c r="L235" s="72"/>
      <c r="M235" s="72"/>
      <c r="N235" s="72"/>
      <c r="O235" s="72">
        <f>-T235</f>
        <v>5000</v>
      </c>
      <c r="P235" s="72"/>
      <c r="Q235" s="72"/>
      <c r="R235" s="72"/>
      <c r="S235" s="72"/>
      <c r="T235" s="73">
        <f>-SUM(T224:T234)*20%</f>
        <v>-5000</v>
      </c>
    </row>
    <row r="236" spans="2:20" x14ac:dyDescent="0.25">
      <c r="B236">
        <f t="shared" si="40"/>
        <v>14</v>
      </c>
      <c r="C236" s="71"/>
      <c r="D236" s="72"/>
      <c r="E236" s="72"/>
      <c r="F236" s="72"/>
      <c r="G236" s="72"/>
      <c r="H236" s="72"/>
      <c r="I236" s="72"/>
      <c r="J236" s="73"/>
      <c r="K236" s="71"/>
      <c r="L236" s="72"/>
      <c r="M236" s="72"/>
      <c r="N236" s="72"/>
      <c r="O236" s="72"/>
      <c r="P236" s="72"/>
      <c r="Q236" s="72"/>
      <c r="R236" s="72"/>
      <c r="S236" s="72"/>
      <c r="T236" s="73"/>
    </row>
    <row r="237" spans="2:20" x14ac:dyDescent="0.25">
      <c r="B237">
        <f t="shared" si="40"/>
        <v>15</v>
      </c>
      <c r="C237" s="71"/>
      <c r="D237" s="72"/>
      <c r="E237" s="72"/>
      <c r="F237" s="72"/>
      <c r="G237" s="72"/>
      <c r="H237" s="72"/>
      <c r="I237" s="72"/>
      <c r="J237" s="73"/>
      <c r="K237" s="71"/>
      <c r="L237" s="72"/>
      <c r="M237" s="72"/>
      <c r="N237" s="72"/>
      <c r="O237" s="72"/>
      <c r="P237" s="72"/>
      <c r="Q237" s="72"/>
      <c r="R237" s="72"/>
      <c r="S237" s="72"/>
      <c r="T237" s="73"/>
    </row>
    <row r="238" spans="2:20" x14ac:dyDescent="0.25">
      <c r="B238" t="s">
        <v>13</v>
      </c>
      <c r="C238" s="71"/>
      <c r="D238" s="72"/>
      <c r="E238" s="72"/>
      <c r="F238" s="72"/>
      <c r="G238" s="72"/>
      <c r="H238" s="72"/>
      <c r="I238" s="72"/>
      <c r="J238" s="73"/>
      <c r="K238" s="71"/>
      <c r="L238" s="72"/>
      <c r="M238" s="72"/>
      <c r="N238" s="72"/>
      <c r="O238" s="72"/>
      <c r="P238" s="72"/>
      <c r="Q238" s="72"/>
      <c r="R238" s="72"/>
      <c r="S238" s="72">
        <f>-T238</f>
        <v>20000</v>
      </c>
      <c r="T238" s="73">
        <f>-SUM(T223:T237)</f>
        <v>-20000</v>
      </c>
    </row>
    <row r="239" spans="2:20" x14ac:dyDescent="0.25">
      <c r="B239" s="1" t="s">
        <v>133</v>
      </c>
      <c r="C239" s="74">
        <f t="shared" ref="C239:T239" si="42">SUM(C222:C238)</f>
        <v>443000</v>
      </c>
      <c r="D239" s="75">
        <f t="shared" si="42"/>
        <v>200000</v>
      </c>
      <c r="E239" s="75">
        <f t="shared" si="42"/>
        <v>480000</v>
      </c>
      <c r="F239" s="75">
        <f t="shared" si="42"/>
        <v>7000</v>
      </c>
      <c r="G239" s="75">
        <f t="shared" si="42"/>
        <v>0</v>
      </c>
      <c r="H239" s="75">
        <f t="shared" si="42"/>
        <v>20000</v>
      </c>
      <c r="I239" s="75">
        <f t="shared" si="42"/>
        <v>540000</v>
      </c>
      <c r="J239" s="76">
        <f t="shared" si="42"/>
        <v>-66000</v>
      </c>
      <c r="K239" s="74">
        <f t="shared" si="42"/>
        <v>500000</v>
      </c>
      <c r="L239" s="75">
        <f t="shared" si="42"/>
        <v>78750</v>
      </c>
      <c r="M239" s="75">
        <f t="shared" si="42"/>
        <v>0</v>
      </c>
      <c r="N239" s="75">
        <f t="shared" si="42"/>
        <v>20000</v>
      </c>
      <c r="O239" s="75">
        <f t="shared" si="42"/>
        <v>11250</v>
      </c>
      <c r="P239" s="75">
        <f t="shared" si="42"/>
        <v>30000</v>
      </c>
      <c r="Q239" s="75">
        <f t="shared" si="42"/>
        <v>0</v>
      </c>
      <c r="R239" s="75">
        <f t="shared" si="42"/>
        <v>900000</v>
      </c>
      <c r="S239" s="75">
        <f t="shared" si="42"/>
        <v>84000</v>
      </c>
      <c r="T239" s="76">
        <f t="shared" si="42"/>
        <v>0</v>
      </c>
    </row>
    <row r="241" spans="3:12" x14ac:dyDescent="0.25">
      <c r="C241" s="77" t="s">
        <v>60</v>
      </c>
      <c r="D241" s="78">
        <f>SUM(C239:J239)</f>
        <v>1624000</v>
      </c>
      <c r="E241" s="79"/>
      <c r="I241" t="s">
        <v>135</v>
      </c>
      <c r="J241" s="72">
        <f>(SUM(R239:S239,R214,S214)/2)</f>
        <v>989000</v>
      </c>
      <c r="L241">
        <f>J241*5%</f>
        <v>49450</v>
      </c>
    </row>
    <row r="242" spans="3:12" x14ac:dyDescent="0.25">
      <c r="C242" s="80" t="s">
        <v>129</v>
      </c>
      <c r="D242" s="81">
        <f>SUM(K239:T239)</f>
        <v>1624000</v>
      </c>
      <c r="E242" s="82">
        <f>D242-D241</f>
        <v>0</v>
      </c>
      <c r="I242" t="s">
        <v>136</v>
      </c>
      <c r="J242" s="72">
        <f>S238</f>
        <v>20000</v>
      </c>
      <c r="K242" s="83">
        <f>J242/J241</f>
        <v>2.0222446916076844E-2</v>
      </c>
    </row>
  </sheetData>
  <mergeCells count="36">
    <mergeCell ref="C219:T219"/>
    <mergeCell ref="C220:J220"/>
    <mergeCell ref="K220:T220"/>
    <mergeCell ref="K173:T173"/>
    <mergeCell ref="C173:J173"/>
    <mergeCell ref="C172:T172"/>
    <mergeCell ref="C198:T198"/>
    <mergeCell ref="C199:J199"/>
    <mergeCell ref="K199:T199"/>
    <mergeCell ref="C130:T130"/>
    <mergeCell ref="C131:J131"/>
    <mergeCell ref="K131:T131"/>
    <mergeCell ref="K152:T152"/>
    <mergeCell ref="C152:J152"/>
    <mergeCell ref="C151:T151"/>
    <mergeCell ref="C87:T87"/>
    <mergeCell ref="K108:T108"/>
    <mergeCell ref="C108:J108"/>
    <mergeCell ref="C107:T107"/>
    <mergeCell ref="C88:J88"/>
    <mergeCell ref="K88:T88"/>
    <mergeCell ref="K3:T3"/>
    <mergeCell ref="C2:T2"/>
    <mergeCell ref="C15:T15"/>
    <mergeCell ref="C16:J16"/>
    <mergeCell ref="K16:T16"/>
    <mergeCell ref="C3:J3"/>
    <mergeCell ref="C68:T68"/>
    <mergeCell ref="C69:J69"/>
    <mergeCell ref="C31:T31"/>
    <mergeCell ref="C32:J32"/>
    <mergeCell ref="K32:T32"/>
    <mergeCell ref="C50:T50"/>
    <mergeCell ref="C51:J51"/>
    <mergeCell ref="K51:T51"/>
    <mergeCell ref="K69:T6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65" zoomScale="115" zoomScaleNormal="115" workbookViewId="0">
      <selection activeCell="F95" sqref="F95"/>
    </sheetView>
  </sheetViews>
  <sheetFormatPr defaultRowHeight="15" x14ac:dyDescent="0.25"/>
  <cols>
    <col min="1" max="1" width="2.28515625" style="112" customWidth="1"/>
    <col min="2" max="3" width="12.28515625" style="95" bestFit="1" customWidth="1"/>
    <col min="4" max="4" width="2.28515625" style="112" customWidth="1"/>
    <col min="5" max="5" width="4.140625" style="112" bestFit="1" customWidth="1"/>
    <col min="6" max="6" width="14.42578125" style="95" customWidth="1"/>
    <col min="7" max="7" width="12.28515625" style="95" bestFit="1" customWidth="1"/>
    <col min="8" max="8" width="4.140625" style="112" bestFit="1" customWidth="1"/>
    <col min="9" max="9" width="3.140625" style="112" bestFit="1" customWidth="1"/>
    <col min="10" max="10" width="11.140625" style="95" bestFit="1" customWidth="1"/>
    <col min="11" max="11" width="9.140625" style="95"/>
    <col min="12" max="12" width="3.140625" style="112" bestFit="1" customWidth="1"/>
    <col min="13" max="13" width="3" style="112" bestFit="1" customWidth="1"/>
    <col min="14" max="15" width="9.140625" style="95"/>
    <col min="16" max="16" width="8.5703125" style="95" customWidth="1"/>
    <col min="17" max="17" width="14.28515625" style="95" customWidth="1"/>
    <col min="18" max="19" width="9.140625" style="95"/>
    <col min="20" max="21" width="3.28515625" style="95" customWidth="1"/>
    <col min="22" max="23" width="9.140625" style="95"/>
    <col min="24" max="24" width="3" style="95" customWidth="1"/>
    <col min="25" max="16384" width="9.140625" style="95"/>
  </cols>
  <sheetData>
    <row r="2" spans="1:11" x14ac:dyDescent="0.25">
      <c r="B2" s="96" t="s">
        <v>0</v>
      </c>
      <c r="C2" s="97">
        <f>B14+F10+J9+B18+F18-K20+B29+F30-C39</f>
        <v>280000</v>
      </c>
    </row>
    <row r="4" spans="1:11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1" x14ac:dyDescent="0.25">
      <c r="A5" s="112">
        <v>1</v>
      </c>
      <c r="B5" s="95">
        <v>100000</v>
      </c>
      <c r="C5" s="100">
        <v>20000</v>
      </c>
      <c r="D5" s="112">
        <v>2</v>
      </c>
      <c r="G5" s="101"/>
      <c r="I5" s="112">
        <v>3</v>
      </c>
      <c r="J5" s="102">
        <v>50000</v>
      </c>
      <c r="K5" s="100"/>
    </row>
    <row r="6" spans="1:11" x14ac:dyDescent="0.25">
      <c r="A6" s="112">
        <v>4</v>
      </c>
      <c r="B6" s="95">
        <v>150000</v>
      </c>
      <c r="C6" s="101">
        <v>20000</v>
      </c>
      <c r="D6" s="112">
        <v>3</v>
      </c>
      <c r="F6" s="103"/>
      <c r="G6" s="104"/>
      <c r="J6" s="102"/>
      <c r="K6" s="101"/>
    </row>
    <row r="7" spans="1:11" x14ac:dyDescent="0.25">
      <c r="C7" s="101"/>
      <c r="F7" s="105"/>
      <c r="G7" s="104"/>
      <c r="J7" s="103"/>
      <c r="K7" s="104"/>
    </row>
    <row r="8" spans="1:11" x14ac:dyDescent="0.25">
      <c r="C8" s="101"/>
      <c r="G8" s="101"/>
      <c r="J8" s="106"/>
      <c r="K8" s="107"/>
    </row>
    <row r="9" spans="1:11" x14ac:dyDescent="0.25">
      <c r="B9" s="102"/>
      <c r="C9" s="101"/>
      <c r="F9" s="103"/>
      <c r="G9" s="104"/>
      <c r="J9" s="102">
        <f>SUM(J5:J8)</f>
        <v>50000</v>
      </c>
      <c r="K9" s="101"/>
    </row>
    <row r="10" spans="1:11" x14ac:dyDescent="0.25">
      <c r="C10" s="101"/>
      <c r="F10" s="102"/>
      <c r="G10" s="101"/>
      <c r="K10" s="101"/>
    </row>
    <row r="11" spans="1:11" x14ac:dyDescent="0.25">
      <c r="C11" s="101"/>
      <c r="F11" s="102"/>
      <c r="G11" s="101"/>
      <c r="K11" s="101"/>
    </row>
    <row r="12" spans="1:11" x14ac:dyDescent="0.25">
      <c r="C12" s="104"/>
      <c r="F12" s="102"/>
      <c r="G12" s="101"/>
      <c r="J12" s="102"/>
      <c r="K12" s="101"/>
    </row>
    <row r="13" spans="1:11" x14ac:dyDescent="0.25">
      <c r="B13" s="106">
        <f>SUM(B5:B12)</f>
        <v>250000</v>
      </c>
      <c r="C13" s="107">
        <f>SUM(C5:C12)</f>
        <v>40000</v>
      </c>
      <c r="F13" s="102"/>
      <c r="G13" s="101"/>
      <c r="J13" s="102"/>
      <c r="K13" s="101"/>
    </row>
    <row r="14" spans="1:11" x14ac:dyDescent="0.25">
      <c r="B14" s="102">
        <f>B13-C13</f>
        <v>210000</v>
      </c>
      <c r="C14" s="101"/>
      <c r="F14" s="102"/>
      <c r="G14" s="101"/>
      <c r="J14" s="102"/>
      <c r="K14" s="101"/>
    </row>
    <row r="15" spans="1:11" x14ac:dyDescent="0.25">
      <c r="B15" s="102"/>
      <c r="C15" s="101"/>
      <c r="F15" s="102"/>
      <c r="G15" s="101"/>
      <c r="J15" s="102"/>
      <c r="K15" s="101"/>
    </row>
    <row r="17" spans="1:11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1" x14ac:dyDescent="0.25">
      <c r="A18" s="112">
        <v>2</v>
      </c>
      <c r="B18" s="106">
        <v>20000</v>
      </c>
      <c r="C18" s="107"/>
      <c r="F18" s="103"/>
      <c r="G18" s="104"/>
      <c r="K18" s="100"/>
    </row>
    <row r="19" spans="1:11" x14ac:dyDescent="0.25">
      <c r="B19" s="102"/>
      <c r="C19" s="101"/>
      <c r="F19" s="102"/>
      <c r="G19" s="101"/>
      <c r="J19" s="103"/>
      <c r="K19" s="104"/>
    </row>
    <row r="20" spans="1:11" x14ac:dyDescent="0.25">
      <c r="B20" s="102"/>
      <c r="C20" s="101"/>
      <c r="F20" s="102"/>
      <c r="G20" s="101"/>
      <c r="J20" s="102"/>
      <c r="K20" s="101"/>
    </row>
    <row r="21" spans="1:11" x14ac:dyDescent="0.25">
      <c r="B21" s="102"/>
      <c r="C21" s="101"/>
      <c r="F21" s="102"/>
      <c r="G21" s="101"/>
      <c r="K21" s="101"/>
    </row>
    <row r="22" spans="1:11" x14ac:dyDescent="0.25">
      <c r="B22" s="102"/>
      <c r="C22" s="101"/>
      <c r="F22" s="102"/>
      <c r="G22" s="101"/>
      <c r="J22" s="102"/>
      <c r="K22" s="101"/>
    </row>
    <row r="23" spans="1:11" x14ac:dyDescent="0.25">
      <c r="B23" s="102"/>
      <c r="C23" s="101"/>
      <c r="F23" s="102"/>
      <c r="G23" s="101"/>
      <c r="J23" s="102"/>
      <c r="K23" s="101"/>
    </row>
    <row r="24" spans="1:11" x14ac:dyDescent="0.25">
      <c r="B24" s="102"/>
      <c r="C24" s="101"/>
      <c r="F24" s="102"/>
      <c r="G24" s="101"/>
      <c r="J24" s="102"/>
      <c r="K24" s="101"/>
    </row>
    <row r="25" spans="1:11" x14ac:dyDescent="0.25">
      <c r="B25" s="102"/>
      <c r="C25" s="101"/>
      <c r="F25" s="102"/>
      <c r="G25" s="101"/>
      <c r="J25" s="102"/>
      <c r="K25" s="101"/>
    </row>
    <row r="26" spans="1:11" x14ac:dyDescent="0.25">
      <c r="B26" s="102"/>
      <c r="C26" s="102"/>
      <c r="F26" s="102"/>
      <c r="G26" s="102"/>
      <c r="J26" s="102"/>
      <c r="K26" s="102"/>
    </row>
    <row r="27" spans="1:11" x14ac:dyDescent="0.25">
      <c r="B27" s="99" t="s">
        <v>14</v>
      </c>
      <c r="C27" s="99"/>
      <c r="F27" s="99"/>
      <c r="G27" s="99"/>
      <c r="J27" s="99"/>
      <c r="K27" s="99"/>
    </row>
    <row r="28" spans="1:11" x14ac:dyDescent="0.25">
      <c r="B28" s="106"/>
      <c r="C28" s="107"/>
      <c r="F28" s="102"/>
      <c r="G28" s="101"/>
      <c r="K28" s="101"/>
    </row>
    <row r="29" spans="1:11" x14ac:dyDescent="0.25">
      <c r="B29" s="102"/>
      <c r="C29" s="101"/>
      <c r="F29" s="103"/>
      <c r="G29" s="104"/>
      <c r="J29" s="102"/>
      <c r="K29" s="101"/>
    </row>
    <row r="30" spans="1:11" x14ac:dyDescent="0.25">
      <c r="B30" s="102"/>
      <c r="C30" s="101"/>
      <c r="F30" s="102"/>
      <c r="G30" s="101"/>
      <c r="K30" s="101"/>
    </row>
    <row r="31" spans="1:11" x14ac:dyDescent="0.25">
      <c r="B31" s="102"/>
      <c r="C31" s="101"/>
      <c r="F31" s="102"/>
      <c r="G31" s="101"/>
      <c r="J31" s="102"/>
      <c r="K31" s="101"/>
    </row>
    <row r="32" spans="1:11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F38" s="102"/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3"/>
    </row>
    <row r="47" spans="2:11" x14ac:dyDescent="0.25">
      <c r="B47" s="96" t="s">
        <v>2</v>
      </c>
      <c r="F47" s="97">
        <f>C54+G53+K54+G60+K63+G72+K73</f>
        <v>280000</v>
      </c>
      <c r="G47" s="109">
        <f>C2-F47</f>
        <v>0</v>
      </c>
      <c r="H47" s="113"/>
    </row>
    <row r="49" spans="2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2:19" x14ac:dyDescent="0.25">
      <c r="C50" s="100">
        <v>30000</v>
      </c>
      <c r="D50" s="112">
        <v>3</v>
      </c>
      <c r="G50" s="100">
        <v>150000</v>
      </c>
      <c r="H50" s="112">
        <v>4</v>
      </c>
      <c r="K50" s="100"/>
    </row>
    <row r="51" spans="2:19" x14ac:dyDescent="0.25">
      <c r="B51" s="102"/>
      <c r="C51" s="101"/>
      <c r="F51" s="103"/>
      <c r="G51" s="104"/>
      <c r="H51" s="113"/>
      <c r="J51" s="102"/>
      <c r="K51" s="101"/>
    </row>
    <row r="52" spans="2:19" x14ac:dyDescent="0.25">
      <c r="B52" s="103"/>
      <c r="C52" s="104"/>
      <c r="F52" s="106"/>
      <c r="G52" s="107"/>
      <c r="J52" s="103"/>
      <c r="K52" s="104"/>
    </row>
    <row r="53" spans="2:19" x14ac:dyDescent="0.25">
      <c r="B53" s="106"/>
      <c r="C53" s="107"/>
      <c r="F53" s="102"/>
      <c r="G53" s="101">
        <f>SUM(G50:G52)</f>
        <v>150000</v>
      </c>
      <c r="J53" s="106"/>
      <c r="K53" s="107"/>
    </row>
    <row r="54" spans="2:19" x14ac:dyDescent="0.25">
      <c r="B54" s="102"/>
      <c r="C54" s="101">
        <f>SUM(C50:C53)</f>
        <v>30000</v>
      </c>
      <c r="F54" s="102"/>
      <c r="G54" s="101"/>
      <c r="K54" s="101"/>
    </row>
    <row r="55" spans="2:19" x14ac:dyDescent="0.25">
      <c r="B55" s="102"/>
      <c r="C55" s="101"/>
      <c r="F55" s="102"/>
      <c r="G55" s="101"/>
      <c r="J55" s="102"/>
      <c r="K55" s="101"/>
    </row>
    <row r="56" spans="2:19" x14ac:dyDescent="0.25">
      <c r="B56" s="102"/>
      <c r="C56" s="101"/>
      <c r="F56" s="102"/>
      <c r="G56" s="101"/>
      <c r="J56" s="102"/>
      <c r="K56" s="101"/>
    </row>
    <row r="57" spans="2:19" x14ac:dyDescent="0.25">
      <c r="B57" s="102"/>
      <c r="C57" s="101"/>
      <c r="F57" s="102"/>
      <c r="G57" s="101"/>
      <c r="J57" s="102"/>
      <c r="K57" s="101"/>
    </row>
    <row r="58" spans="2:19" x14ac:dyDescent="0.25">
      <c r="B58" s="102"/>
      <c r="C58" s="102"/>
      <c r="F58" s="102"/>
      <c r="G58" s="102"/>
      <c r="J58" s="102"/>
      <c r="K58" s="102"/>
      <c r="N58" s="102"/>
      <c r="O58" s="102"/>
      <c r="S58" s="102"/>
    </row>
    <row r="59" spans="2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102"/>
      <c r="O59" s="102"/>
      <c r="S59" s="102"/>
    </row>
    <row r="60" spans="2:19" x14ac:dyDescent="0.25">
      <c r="B60" s="106"/>
      <c r="C60" s="107"/>
      <c r="F60" s="103"/>
      <c r="G60" s="104">
        <v>100000</v>
      </c>
      <c r="H60" s="112">
        <v>1</v>
      </c>
      <c r="K60" s="100"/>
      <c r="N60" s="102"/>
      <c r="O60" s="102"/>
      <c r="S60" s="102"/>
    </row>
    <row r="61" spans="2:19" x14ac:dyDescent="0.25">
      <c r="B61" s="102"/>
      <c r="C61" s="100"/>
      <c r="F61" s="102"/>
      <c r="G61" s="101"/>
      <c r="J61" s="103"/>
      <c r="K61" s="104"/>
      <c r="N61" s="102"/>
      <c r="O61" s="102"/>
      <c r="S61" s="102"/>
    </row>
    <row r="62" spans="2:19" x14ac:dyDescent="0.25">
      <c r="B62" s="102"/>
      <c r="C62" s="101"/>
      <c r="F62" s="102"/>
      <c r="G62" s="101"/>
      <c r="J62" s="106"/>
      <c r="K62" s="107"/>
      <c r="N62" s="102"/>
      <c r="O62" s="102"/>
      <c r="S62" s="102"/>
    </row>
    <row r="63" spans="2:19" x14ac:dyDescent="0.25">
      <c r="C63" s="101"/>
      <c r="F63" s="102"/>
      <c r="G63" s="101"/>
      <c r="K63" s="101"/>
      <c r="N63" s="102"/>
      <c r="O63" s="102"/>
      <c r="S63" s="102"/>
    </row>
    <row r="64" spans="2:19" x14ac:dyDescent="0.25">
      <c r="B64" s="102"/>
      <c r="C64" s="101"/>
      <c r="F64" s="102"/>
      <c r="G64" s="101"/>
      <c r="J64" s="102"/>
      <c r="K64" s="101"/>
      <c r="N64" s="102"/>
      <c r="O64" s="102"/>
      <c r="S64" s="102"/>
    </row>
    <row r="65" spans="2:19" x14ac:dyDescent="0.25">
      <c r="B65" s="102"/>
      <c r="C65" s="101"/>
      <c r="F65" s="102"/>
      <c r="G65" s="101"/>
      <c r="K65" s="101"/>
      <c r="N65" s="102"/>
      <c r="O65" s="102"/>
      <c r="S65" s="102"/>
    </row>
    <row r="66" spans="2:19" x14ac:dyDescent="0.25">
      <c r="B66" s="102"/>
      <c r="C66" s="101"/>
      <c r="F66" s="102"/>
      <c r="G66" s="101"/>
      <c r="K66" s="101"/>
      <c r="N66" s="102"/>
      <c r="O66" s="102"/>
      <c r="S66" s="102"/>
    </row>
    <row r="67" spans="2:19" x14ac:dyDescent="0.25">
      <c r="B67" s="102"/>
      <c r="C67" s="101"/>
      <c r="F67" s="102"/>
      <c r="G67" s="101"/>
      <c r="K67" s="101"/>
      <c r="N67" s="102"/>
      <c r="O67" s="102"/>
      <c r="S67" s="102"/>
    </row>
    <row r="68" spans="2:19" x14ac:dyDescent="0.25">
      <c r="B68" s="102"/>
      <c r="C68" s="102"/>
      <c r="F68" s="102"/>
      <c r="G68" s="102"/>
      <c r="K68" s="102"/>
      <c r="N68" s="102"/>
      <c r="O68" s="102"/>
      <c r="S68" s="102"/>
    </row>
    <row r="69" spans="2:19" x14ac:dyDescent="0.25">
      <c r="F69" s="99" t="s">
        <v>18</v>
      </c>
      <c r="G69" s="99"/>
      <c r="J69" s="99" t="s">
        <v>19</v>
      </c>
      <c r="K69" s="99"/>
      <c r="N69" s="102"/>
      <c r="O69" s="102"/>
      <c r="S69" s="102"/>
    </row>
    <row r="70" spans="2:19" x14ac:dyDescent="0.25">
      <c r="F70" s="102"/>
      <c r="G70" s="100"/>
      <c r="J70" s="110"/>
      <c r="K70" s="100"/>
      <c r="N70" s="102"/>
      <c r="O70" s="102"/>
      <c r="S70" s="102"/>
    </row>
    <row r="71" spans="2:19" x14ac:dyDescent="0.25">
      <c r="F71" s="103"/>
      <c r="G71" s="104"/>
      <c r="J71" s="103"/>
      <c r="K71" s="104"/>
      <c r="N71" s="102"/>
      <c r="O71" s="102"/>
      <c r="S71" s="102"/>
    </row>
    <row r="72" spans="2:19" x14ac:dyDescent="0.25">
      <c r="F72" s="102"/>
      <c r="G72" s="101"/>
      <c r="J72" s="106"/>
      <c r="K72" s="107"/>
      <c r="N72" s="102"/>
      <c r="O72" s="102"/>
      <c r="S72" s="102"/>
    </row>
    <row r="73" spans="2:19" x14ac:dyDescent="0.25">
      <c r="G73" s="101"/>
      <c r="K73" s="101"/>
      <c r="N73" s="102"/>
      <c r="O73" s="102"/>
      <c r="S73" s="102"/>
    </row>
    <row r="74" spans="2:19" x14ac:dyDescent="0.25">
      <c r="F74" s="102"/>
      <c r="G74" s="101"/>
      <c r="J74" s="102"/>
      <c r="K74" s="101"/>
      <c r="N74" s="102"/>
      <c r="O74" s="102"/>
      <c r="S74" s="102"/>
    </row>
    <row r="75" spans="2:19" x14ac:dyDescent="0.25">
      <c r="F75" s="102"/>
      <c r="G75" s="101"/>
      <c r="J75" s="102"/>
      <c r="K75" s="101"/>
      <c r="N75" s="102"/>
      <c r="O75" s="102"/>
      <c r="S75" s="102"/>
    </row>
    <row r="76" spans="2:19" x14ac:dyDescent="0.25">
      <c r="F76" s="102"/>
      <c r="G76" s="101"/>
      <c r="J76" s="102"/>
      <c r="K76" s="101"/>
      <c r="N76" s="102"/>
      <c r="O76" s="102"/>
      <c r="S76" s="102"/>
    </row>
    <row r="77" spans="2:19" x14ac:dyDescent="0.25">
      <c r="B77" s="102"/>
      <c r="F77" s="102"/>
      <c r="G77" s="101"/>
      <c r="J77" s="102"/>
      <c r="K77" s="101"/>
      <c r="N77" s="102"/>
      <c r="O77" s="102"/>
      <c r="S77" s="102"/>
    </row>
    <row r="78" spans="2:19" x14ac:dyDescent="0.25">
      <c r="F78" s="102"/>
      <c r="G78" s="101"/>
      <c r="J78" s="102"/>
      <c r="K78" s="102"/>
      <c r="N78" s="102"/>
      <c r="O78" s="102"/>
      <c r="S78" s="102"/>
    </row>
    <row r="79" spans="2:19" x14ac:dyDescent="0.25">
      <c r="B79" s="96" t="s">
        <v>3</v>
      </c>
    </row>
    <row r="81" spans="1:4" x14ac:dyDescent="0.25">
      <c r="A81"/>
      <c r="B81" s="131" t="s">
        <v>3</v>
      </c>
      <c r="C81" s="131"/>
      <c r="D81"/>
    </row>
    <row r="82" spans="1:4" x14ac:dyDescent="0.25">
      <c r="A82"/>
      <c r="B82" s="111"/>
      <c r="C82" s="100"/>
      <c r="D82"/>
    </row>
    <row r="83" spans="1:4" x14ac:dyDescent="0.25">
      <c r="A83"/>
      <c r="B83" s="102"/>
      <c r="C83" s="101"/>
      <c r="D83"/>
    </row>
    <row r="84" spans="1:4" x14ac:dyDescent="0.25">
      <c r="A84"/>
      <c r="B84" s="102"/>
      <c r="C84" s="101"/>
      <c r="D84"/>
    </row>
    <row r="85" spans="1:4" x14ac:dyDescent="0.25">
      <c r="A85"/>
      <c r="B85" s="102"/>
      <c r="C85" s="101"/>
      <c r="D85"/>
    </row>
    <row r="86" spans="1:4" x14ac:dyDescent="0.25">
      <c r="A86"/>
      <c r="C86" s="101"/>
      <c r="D86"/>
    </row>
    <row r="87" spans="1:4" x14ac:dyDescent="0.25">
      <c r="A87"/>
      <c r="B87" s="102"/>
      <c r="C87" s="101"/>
      <c r="D87"/>
    </row>
    <row r="88" spans="1:4" x14ac:dyDescent="0.25">
      <c r="A88"/>
      <c r="B88" s="103"/>
      <c r="C88" s="104"/>
      <c r="D88"/>
    </row>
    <row r="89" spans="1:4" x14ac:dyDescent="0.25">
      <c r="A89"/>
      <c r="B89" s="106"/>
      <c r="C89" s="107"/>
      <c r="D89"/>
    </row>
    <row r="90" spans="1:4" x14ac:dyDescent="0.25">
      <c r="A90"/>
      <c r="B90" s="106"/>
      <c r="C90" s="107"/>
      <c r="D90"/>
    </row>
    <row r="91" spans="1:4" x14ac:dyDescent="0.25">
      <c r="A91"/>
      <c r="B91" s="102"/>
      <c r="C91" s="101"/>
      <c r="D91"/>
    </row>
    <row r="92" spans="1:4" x14ac:dyDescent="0.25">
      <c r="A92"/>
      <c r="C92" s="101"/>
      <c r="D92"/>
    </row>
    <row r="93" spans="1:4" x14ac:dyDescent="0.25">
      <c r="A93"/>
      <c r="C93" s="101"/>
      <c r="D93"/>
    </row>
    <row r="94" spans="1:4" x14ac:dyDescent="0.25">
      <c r="A94"/>
      <c r="C94" s="101"/>
      <c r="D94"/>
    </row>
    <row r="95" spans="1:4" x14ac:dyDescent="0.25">
      <c r="A95"/>
      <c r="C95" s="101"/>
      <c r="D95"/>
    </row>
    <row r="96" spans="1:4" x14ac:dyDescent="0.25">
      <c r="A96"/>
      <c r="C96" s="101"/>
      <c r="D96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63" workbookViewId="0">
      <selection activeCell="A81" sqref="A81:D96"/>
    </sheetView>
  </sheetViews>
  <sheetFormatPr defaultRowHeight="15" x14ac:dyDescent="0.25"/>
  <cols>
    <col min="1" max="1" width="3.140625" bestFit="1" customWidth="1"/>
    <col min="2" max="2" width="13.85546875" style="95" customWidth="1"/>
    <col min="3" max="3" width="11.5703125" style="95" customWidth="1"/>
    <col min="4" max="5" width="4.140625" bestFit="1" customWidth="1"/>
    <col min="6" max="6" width="12.42578125" style="95" customWidth="1"/>
    <col min="7" max="7" width="11.7109375" style="95" customWidth="1"/>
    <col min="8" max="8" width="4.140625" bestFit="1" customWidth="1"/>
    <col min="9" max="9" width="3.140625" customWidth="1"/>
    <col min="10" max="10" width="11.5703125" style="95" customWidth="1"/>
    <col min="11" max="11" width="10.5703125" style="95" bestFit="1" customWidth="1"/>
    <col min="12" max="12" width="3.140625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B14+F8+J9+B18+F18-K20+B29+F30-C39</f>
        <v>329000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210000</v>
      </c>
      <c r="C5" s="100">
        <v>10000</v>
      </c>
      <c r="D5">
        <v>2</v>
      </c>
      <c r="E5">
        <v>1</v>
      </c>
      <c r="F5" s="95">
        <v>10000</v>
      </c>
      <c r="G5" s="101"/>
      <c r="I5" t="s">
        <v>132</v>
      </c>
      <c r="J5" s="102">
        <v>50000</v>
      </c>
      <c r="K5" s="100">
        <v>40000</v>
      </c>
      <c r="L5">
        <v>1</v>
      </c>
    </row>
    <row r="6" spans="1:12" x14ac:dyDescent="0.25">
      <c r="A6">
        <v>1</v>
      </c>
      <c r="B6" s="95">
        <v>50000</v>
      </c>
      <c r="C6" s="101">
        <v>8000</v>
      </c>
      <c r="D6">
        <v>3</v>
      </c>
      <c r="F6" s="103"/>
      <c r="G6" s="104"/>
      <c r="I6">
        <v>2</v>
      </c>
      <c r="J6" s="102">
        <v>80000</v>
      </c>
      <c r="K6" s="101"/>
    </row>
    <row r="7" spans="1:12" x14ac:dyDescent="0.25">
      <c r="C7" s="101">
        <v>30000</v>
      </c>
      <c r="D7">
        <v>4</v>
      </c>
      <c r="F7" s="105"/>
      <c r="G7" s="104"/>
      <c r="J7" s="103"/>
      <c r="K7" s="104"/>
    </row>
    <row r="8" spans="1:12" x14ac:dyDescent="0.25">
      <c r="C8" s="101">
        <v>180000</v>
      </c>
      <c r="D8">
        <v>5</v>
      </c>
      <c r="F8" s="95">
        <f>SUM(F5:F7)</f>
        <v>10000</v>
      </c>
      <c r="G8" s="101"/>
      <c r="J8" s="106">
        <f>SUM(J5:J7)</f>
        <v>130000</v>
      </c>
      <c r="K8" s="107">
        <f>SUM(K5:K7)</f>
        <v>40000</v>
      </c>
    </row>
    <row r="9" spans="1:12" x14ac:dyDescent="0.25">
      <c r="B9" s="102"/>
      <c r="C9" s="101">
        <v>3000</v>
      </c>
      <c r="D9">
        <v>6</v>
      </c>
      <c r="F9" s="103"/>
      <c r="G9" s="104"/>
      <c r="J9" s="102">
        <f>J8-K8</f>
        <v>90000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260000</v>
      </c>
      <c r="C13" s="107">
        <f>SUM(C5:C12)</f>
        <v>231000</v>
      </c>
      <c r="F13" s="102"/>
      <c r="G13" s="101"/>
      <c r="J13" s="102"/>
      <c r="K13" s="101"/>
    </row>
    <row r="14" spans="1:12" x14ac:dyDescent="0.25">
      <c r="B14" s="102">
        <f>B13-C13</f>
        <v>29000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1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1" x14ac:dyDescent="0.25">
      <c r="A18" t="s">
        <v>132</v>
      </c>
      <c r="B18" s="106">
        <v>20000</v>
      </c>
      <c r="C18" s="107"/>
      <c r="E18">
        <v>5</v>
      </c>
      <c r="F18" s="103">
        <v>180000</v>
      </c>
      <c r="G18" s="104"/>
      <c r="K18" s="100"/>
    </row>
    <row r="19" spans="1:11" x14ac:dyDescent="0.25">
      <c r="B19" s="102"/>
      <c r="C19" s="101"/>
      <c r="F19" s="102"/>
      <c r="G19" s="101"/>
      <c r="J19" s="103"/>
      <c r="K19" s="104"/>
    </row>
    <row r="20" spans="1:11" x14ac:dyDescent="0.25">
      <c r="B20" s="102"/>
      <c r="C20" s="101"/>
      <c r="F20" s="102"/>
      <c r="G20" s="101"/>
      <c r="J20" s="102"/>
      <c r="K20" s="101"/>
    </row>
    <row r="21" spans="1:11" x14ac:dyDescent="0.25">
      <c r="B21" s="102"/>
      <c r="C21" s="101"/>
      <c r="F21" s="102"/>
      <c r="G21" s="101"/>
      <c r="K21" s="101"/>
    </row>
    <row r="22" spans="1:11" x14ac:dyDescent="0.25">
      <c r="B22" s="102"/>
      <c r="C22" s="101"/>
      <c r="F22" s="102"/>
      <c r="G22" s="101"/>
      <c r="J22" s="102"/>
      <c r="K22" s="101"/>
    </row>
    <row r="23" spans="1:11" x14ac:dyDescent="0.25">
      <c r="B23" s="102"/>
      <c r="C23" s="101"/>
      <c r="F23" s="102"/>
      <c r="G23" s="101"/>
      <c r="J23" s="102"/>
      <c r="K23" s="101"/>
    </row>
    <row r="24" spans="1:11" x14ac:dyDescent="0.25">
      <c r="B24" s="102"/>
      <c r="C24" s="101"/>
      <c r="F24" s="102"/>
      <c r="G24" s="101"/>
      <c r="J24" s="102"/>
      <c r="K24" s="101"/>
    </row>
    <row r="25" spans="1:11" x14ac:dyDescent="0.25">
      <c r="B25" s="102"/>
      <c r="C25" s="101"/>
      <c r="F25" s="102"/>
      <c r="G25" s="101"/>
      <c r="J25" s="102"/>
      <c r="K25" s="101"/>
    </row>
    <row r="26" spans="1:11" x14ac:dyDescent="0.25">
      <c r="B26" s="102"/>
      <c r="C26" s="102"/>
      <c r="F26" s="102"/>
      <c r="G26" s="102"/>
      <c r="J26" s="102"/>
      <c r="K26" s="102"/>
    </row>
    <row r="27" spans="1:11" x14ac:dyDescent="0.25">
      <c r="B27" s="99" t="s">
        <v>14</v>
      </c>
      <c r="C27" s="99"/>
      <c r="F27" s="99"/>
      <c r="G27" s="99"/>
      <c r="J27" s="99"/>
      <c r="K27" s="99"/>
    </row>
    <row r="28" spans="1:11" x14ac:dyDescent="0.25">
      <c r="B28" s="106"/>
      <c r="C28" s="107"/>
      <c r="F28" s="102"/>
      <c r="G28" s="101"/>
      <c r="K28" s="101"/>
    </row>
    <row r="29" spans="1:11" x14ac:dyDescent="0.25">
      <c r="B29" s="102"/>
      <c r="C29" s="101"/>
      <c r="F29" s="103"/>
      <c r="G29" s="104"/>
      <c r="J29" s="102"/>
      <c r="K29" s="101"/>
    </row>
    <row r="30" spans="1:11" x14ac:dyDescent="0.25">
      <c r="B30" s="102"/>
      <c r="C30" s="101"/>
      <c r="F30" s="102"/>
      <c r="G30" s="101"/>
      <c r="K30" s="101"/>
    </row>
    <row r="31" spans="1:11" x14ac:dyDescent="0.25">
      <c r="B31" s="102"/>
      <c r="C31" s="101"/>
      <c r="F31" s="102"/>
      <c r="G31" s="101"/>
      <c r="J31" s="102"/>
      <c r="K31" s="101"/>
    </row>
    <row r="32" spans="1:11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F38" s="102"/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2"/>
    </row>
    <row r="47" spans="2:11" x14ac:dyDescent="0.25">
      <c r="B47" s="96" t="s">
        <v>2</v>
      </c>
      <c r="F47" s="97">
        <f>C54+G53+K54+G60+K63+G72+K73</f>
        <v>329000</v>
      </c>
      <c r="G47" s="109">
        <f>C2-F47</f>
        <v>0</v>
      </c>
      <c r="H47" s="2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4</v>
      </c>
      <c r="B50" s="95">
        <v>30000</v>
      </c>
      <c r="C50" s="100">
        <v>30000</v>
      </c>
      <c r="D50" t="s">
        <v>132</v>
      </c>
      <c r="G50" s="100">
        <v>150000</v>
      </c>
      <c r="H50" t="s">
        <v>132</v>
      </c>
      <c r="K50" s="100"/>
    </row>
    <row r="51" spans="1:19" x14ac:dyDescent="0.25">
      <c r="B51" s="102"/>
      <c r="C51" s="101">
        <v>70000</v>
      </c>
      <c r="D51">
        <v>2</v>
      </c>
      <c r="F51" s="103"/>
      <c r="G51" s="104"/>
      <c r="H51" s="2"/>
      <c r="J51" s="102"/>
      <c r="K51" s="101"/>
    </row>
    <row r="52" spans="1:19" x14ac:dyDescent="0.25">
      <c r="B52" s="103"/>
      <c r="C52" s="104"/>
      <c r="F52" s="106"/>
      <c r="G52" s="107"/>
      <c r="J52" s="103"/>
      <c r="K52" s="104"/>
    </row>
    <row r="53" spans="1:19" x14ac:dyDescent="0.25">
      <c r="B53" s="106">
        <f>SUM(B50:B52)</f>
        <v>30000</v>
      </c>
      <c r="C53" s="107">
        <f>SUM(C50:C52)</f>
        <v>100000</v>
      </c>
      <c r="F53" s="102"/>
      <c r="G53" s="101">
        <f>SUM(G50:G52)</f>
        <v>150000</v>
      </c>
      <c r="J53" s="106"/>
      <c r="K53" s="107"/>
    </row>
    <row r="54" spans="1:19" x14ac:dyDescent="0.25">
      <c r="B54" s="102"/>
      <c r="C54" s="101">
        <f>C53-B53</f>
        <v>70000</v>
      </c>
      <c r="F54" s="102"/>
      <c r="G54" s="101"/>
      <c r="K54" s="101"/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B60" s="106"/>
      <c r="C60" s="107"/>
      <c r="F60" s="103"/>
      <c r="G60" s="104">
        <v>100000</v>
      </c>
      <c r="H60" t="s">
        <v>132</v>
      </c>
      <c r="K60" s="100">
        <f>B90</f>
        <v>9000</v>
      </c>
      <c r="L60" t="s">
        <v>12</v>
      </c>
      <c r="N60" s="3"/>
      <c r="O60" s="3"/>
      <c r="S60" s="3"/>
    </row>
    <row r="61" spans="1:19" x14ac:dyDescent="0.25">
      <c r="B61" s="102"/>
      <c r="C61" s="100"/>
      <c r="F61" s="102"/>
      <c r="G61" s="101"/>
      <c r="J61" s="103"/>
      <c r="K61" s="104"/>
      <c r="N61" s="3"/>
      <c r="O61" s="3"/>
      <c r="S61" s="3"/>
    </row>
    <row r="62" spans="1:19" x14ac:dyDescent="0.25">
      <c r="B62" s="102"/>
      <c r="C62" s="101"/>
      <c r="F62" s="102"/>
      <c r="G62" s="101"/>
      <c r="J62" s="106"/>
      <c r="K62" s="107"/>
      <c r="N62" s="3"/>
      <c r="O62" s="3"/>
      <c r="S62" s="3"/>
    </row>
    <row r="63" spans="1:19" x14ac:dyDescent="0.25">
      <c r="C63" s="101"/>
      <c r="F63" s="102"/>
      <c r="G63" s="101"/>
      <c r="K63" s="101">
        <f>SUM(K60:K62)</f>
        <v>9000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/>
      <c r="J70" s="110"/>
      <c r="K70" s="100"/>
      <c r="N70" s="3"/>
      <c r="O70" s="3"/>
      <c r="S70" s="3"/>
    </row>
    <row r="71" spans="2:19" x14ac:dyDescent="0.25">
      <c r="F71" s="103"/>
      <c r="G71" s="104"/>
      <c r="J71" s="103"/>
      <c r="K71" s="104"/>
      <c r="N71" s="3"/>
      <c r="O71" s="3"/>
      <c r="S71" s="3"/>
    </row>
    <row r="72" spans="2:19" x14ac:dyDescent="0.25">
      <c r="F72" s="102"/>
      <c r="G72" s="101"/>
      <c r="J72" s="106"/>
      <c r="K72" s="107"/>
      <c r="N72" s="3"/>
      <c r="O72" s="3"/>
      <c r="S72" s="3"/>
    </row>
    <row r="73" spans="2:19" x14ac:dyDescent="0.25">
      <c r="G73" s="101"/>
      <c r="K73" s="101"/>
      <c r="N73" s="3"/>
      <c r="O73" s="3"/>
      <c r="S73" s="3"/>
    </row>
    <row r="74" spans="2:19" x14ac:dyDescent="0.25">
      <c r="F74" s="102"/>
      <c r="G74" s="101"/>
      <c r="J74" s="102"/>
      <c r="K74" s="101"/>
      <c r="N74" s="3"/>
      <c r="O74" s="3"/>
      <c r="S74" s="3"/>
    </row>
    <row r="75" spans="2:19" x14ac:dyDescent="0.25">
      <c r="F75" s="102"/>
      <c r="G75" s="101"/>
      <c r="J75" s="102"/>
      <c r="K75" s="101"/>
      <c r="N75" s="3"/>
      <c r="O75" s="3"/>
      <c r="S75" s="3"/>
    </row>
    <row r="76" spans="2:19" x14ac:dyDescent="0.25"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F77" s="102"/>
      <c r="G77" s="101"/>
      <c r="J77" s="102"/>
      <c r="K77" s="101"/>
      <c r="N77" s="3"/>
      <c r="O77" s="3"/>
      <c r="S77" s="3"/>
    </row>
    <row r="78" spans="2:19" x14ac:dyDescent="0.25">
      <c r="F78" s="102"/>
      <c r="G78" s="101"/>
      <c r="J78" s="102"/>
      <c r="K78" s="102"/>
      <c r="N78" s="3"/>
      <c r="O78" s="3"/>
      <c r="S78" s="3"/>
    </row>
    <row r="79" spans="2:19" x14ac:dyDescent="0.25">
      <c r="B79" s="96" t="s">
        <v>3</v>
      </c>
    </row>
    <row r="81" spans="1:10" x14ac:dyDescent="0.25">
      <c r="B81" s="131" t="s">
        <v>3</v>
      </c>
      <c r="C81" s="131"/>
    </row>
    <row r="82" spans="1:10" x14ac:dyDescent="0.25">
      <c r="A82">
        <v>3</v>
      </c>
      <c r="B82" s="111">
        <v>8000</v>
      </c>
      <c r="C82" s="100">
        <v>20000</v>
      </c>
      <c r="D82">
        <v>1</v>
      </c>
      <c r="J82" s="102"/>
    </row>
    <row r="83" spans="1:10" x14ac:dyDescent="0.25">
      <c r="A83">
        <v>6</v>
      </c>
      <c r="B83" s="102">
        <v>3000</v>
      </c>
      <c r="C83" s="101"/>
      <c r="J83" s="102"/>
    </row>
    <row r="84" spans="1:10" x14ac:dyDescent="0.25">
      <c r="B84" s="102"/>
      <c r="C84" s="101"/>
      <c r="J84" s="102"/>
    </row>
    <row r="85" spans="1:10" x14ac:dyDescent="0.25">
      <c r="B85" s="102"/>
      <c r="C85" s="101"/>
    </row>
    <row r="86" spans="1:10" x14ac:dyDescent="0.25">
      <c r="C86" s="101"/>
    </row>
    <row r="87" spans="1:10" x14ac:dyDescent="0.25">
      <c r="B87" s="102"/>
      <c r="C87" s="101"/>
    </row>
    <row r="88" spans="1:10" x14ac:dyDescent="0.25">
      <c r="B88" s="103"/>
      <c r="C88" s="104"/>
    </row>
    <row r="89" spans="1:10" x14ac:dyDescent="0.25">
      <c r="B89" s="106">
        <f>SUM(B82:B88)</f>
        <v>11000</v>
      </c>
      <c r="C89" s="107">
        <f>SUM(C82:C88)</f>
        <v>20000</v>
      </c>
    </row>
    <row r="90" spans="1:10" x14ac:dyDescent="0.25">
      <c r="A90" t="s">
        <v>12</v>
      </c>
      <c r="B90" s="106">
        <f>C90</f>
        <v>9000</v>
      </c>
      <c r="C90" s="107">
        <f>C89-B89</f>
        <v>9000</v>
      </c>
    </row>
    <row r="91" spans="1:10" x14ac:dyDescent="0.25">
      <c r="B91" s="102"/>
      <c r="C91" s="101"/>
    </row>
    <row r="92" spans="1:10" x14ac:dyDescent="0.25">
      <c r="C92" s="101"/>
    </row>
    <row r="93" spans="1:10" x14ac:dyDescent="0.25">
      <c r="C93" s="101"/>
    </row>
    <row r="94" spans="1:10" x14ac:dyDescent="0.25">
      <c r="C94" s="101"/>
    </row>
    <row r="95" spans="1:10" x14ac:dyDescent="0.25">
      <c r="C95" s="101"/>
    </row>
    <row r="96" spans="1:10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40" workbookViewId="0">
      <selection activeCell="F59" sqref="F59:H67"/>
    </sheetView>
  </sheetViews>
  <sheetFormatPr defaultRowHeight="15" x14ac:dyDescent="0.25"/>
  <cols>
    <col min="1" max="1" width="3.140625" bestFit="1" customWidth="1"/>
    <col min="2" max="2" width="11.5703125" style="95" bestFit="1" customWidth="1"/>
    <col min="3" max="3" width="11.42578125" style="95" customWidth="1"/>
    <col min="4" max="5" width="4.140625" bestFit="1" customWidth="1"/>
    <col min="6" max="7" width="11.5703125" style="95" bestFit="1" customWidth="1"/>
    <col min="8" max="8" width="4.140625" bestFit="1" customWidth="1"/>
    <col min="9" max="9" width="3.140625" bestFit="1" customWidth="1"/>
    <col min="10" max="10" width="11.5703125" style="95" bestFit="1" customWidth="1"/>
    <col min="11" max="11" width="10.5703125" style="95" bestFit="1" customWidth="1"/>
    <col min="12" max="12" width="3.140625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B14+F8+J9+B18+F18-K20+B29+F30-C39</f>
        <v>354000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29000</v>
      </c>
      <c r="C5" s="100">
        <v>70000</v>
      </c>
      <c r="D5">
        <v>3</v>
      </c>
      <c r="E5" t="s">
        <v>132</v>
      </c>
      <c r="F5" s="95">
        <v>10000</v>
      </c>
      <c r="G5" s="101">
        <v>10000</v>
      </c>
      <c r="H5" s="2">
        <v>1</v>
      </c>
      <c r="I5" t="s">
        <v>132</v>
      </c>
      <c r="J5" s="102">
        <v>90000</v>
      </c>
      <c r="K5" s="100">
        <v>90000</v>
      </c>
      <c r="L5" s="2">
        <v>2</v>
      </c>
    </row>
    <row r="6" spans="1:12" x14ac:dyDescent="0.25">
      <c r="A6">
        <v>1</v>
      </c>
      <c r="B6" s="95">
        <v>10000</v>
      </c>
      <c r="C6" s="101">
        <v>2000</v>
      </c>
      <c r="D6">
        <v>4</v>
      </c>
      <c r="E6">
        <v>2</v>
      </c>
      <c r="F6" s="103">
        <v>20000</v>
      </c>
      <c r="G6" s="104"/>
      <c r="I6">
        <v>5</v>
      </c>
      <c r="J6" s="102">
        <v>100000</v>
      </c>
      <c r="K6" s="101"/>
    </row>
    <row r="7" spans="1:12" x14ac:dyDescent="0.25">
      <c r="A7">
        <v>2</v>
      </c>
      <c r="B7" s="95">
        <v>130000</v>
      </c>
      <c r="C7" s="101">
        <v>10000</v>
      </c>
      <c r="D7">
        <v>5</v>
      </c>
      <c r="F7" s="105">
        <f>SUM(F5:F6)</f>
        <v>30000</v>
      </c>
      <c r="G7" s="104">
        <f>SUM(G5:G6)</f>
        <v>10000</v>
      </c>
      <c r="J7" s="103"/>
      <c r="K7" s="104"/>
    </row>
    <row r="8" spans="1:12" x14ac:dyDescent="0.25">
      <c r="C8" s="101">
        <v>50000</v>
      </c>
      <c r="D8">
        <v>6</v>
      </c>
      <c r="F8" s="95">
        <f>F7-G7</f>
        <v>20000</v>
      </c>
      <c r="G8" s="101"/>
      <c r="J8" s="106">
        <f>SUM(J5:J7)</f>
        <v>190000</v>
      </c>
      <c r="K8" s="107">
        <f>SUM(K5:K7)</f>
        <v>90000</v>
      </c>
    </row>
    <row r="9" spans="1:12" x14ac:dyDescent="0.25">
      <c r="B9" s="102"/>
      <c r="C9" s="101"/>
      <c r="F9" s="102"/>
      <c r="G9" s="101"/>
      <c r="J9" s="102">
        <f>J8-K8</f>
        <v>100000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169000</v>
      </c>
      <c r="C13" s="107">
        <f>SUM(C5:C12)</f>
        <v>132000</v>
      </c>
      <c r="F13" s="102"/>
      <c r="G13" s="101"/>
      <c r="J13" s="102"/>
      <c r="K13" s="101"/>
    </row>
    <row r="14" spans="1:12" x14ac:dyDescent="0.25">
      <c r="B14" s="102">
        <f>B13-C13</f>
        <v>37000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3">
        <v>180000</v>
      </c>
      <c r="G18" s="104"/>
      <c r="K18" s="100">
        <v>3000</v>
      </c>
      <c r="L18">
        <v>7</v>
      </c>
    </row>
    <row r="19" spans="1:12" x14ac:dyDescent="0.25">
      <c r="B19" s="102"/>
      <c r="C19" s="101"/>
      <c r="F19" s="102"/>
      <c r="G19" s="101"/>
      <c r="J19" s="103"/>
      <c r="K19" s="104"/>
    </row>
    <row r="20" spans="1:12" x14ac:dyDescent="0.25">
      <c r="B20" s="102"/>
      <c r="C20" s="101"/>
      <c r="F20" s="102"/>
      <c r="G20" s="101"/>
      <c r="J20" s="102"/>
      <c r="K20" s="101">
        <f>SUM(K18:K19)</f>
        <v>3000</v>
      </c>
    </row>
    <row r="21" spans="1:12" x14ac:dyDescent="0.25">
      <c r="B21" s="102"/>
      <c r="C21" s="101"/>
      <c r="F21" s="102"/>
      <c r="G21" s="101"/>
      <c r="K21" s="101"/>
    </row>
    <row r="22" spans="1:12" x14ac:dyDescent="0.25">
      <c r="B22" s="102"/>
      <c r="C22" s="101"/>
      <c r="F22" s="102"/>
      <c r="G22" s="101"/>
      <c r="J22" s="102"/>
      <c r="K22" s="101"/>
    </row>
    <row r="23" spans="1:12" x14ac:dyDescent="0.25">
      <c r="B23" s="102"/>
      <c r="C23" s="101"/>
      <c r="F23" s="102"/>
      <c r="G23" s="101"/>
      <c r="J23" s="102"/>
      <c r="K23" s="101"/>
    </row>
    <row r="24" spans="1:12" x14ac:dyDescent="0.25">
      <c r="B24" s="102"/>
      <c r="C24" s="101"/>
      <c r="F24" s="102"/>
      <c r="G24" s="101"/>
      <c r="J24" s="102"/>
      <c r="K24" s="101"/>
    </row>
    <row r="25" spans="1:12" x14ac:dyDescent="0.25">
      <c r="B25" s="102"/>
      <c r="C25" s="101"/>
      <c r="F25" s="102"/>
      <c r="G25" s="101"/>
      <c r="J25" s="102"/>
      <c r="K25" s="101"/>
    </row>
    <row r="26" spans="1:12" x14ac:dyDescent="0.25">
      <c r="B26" s="102"/>
      <c r="C26" s="102"/>
      <c r="F26" s="102"/>
      <c r="G26" s="102"/>
      <c r="J26" s="102"/>
      <c r="K26" s="102"/>
    </row>
    <row r="27" spans="1:12" x14ac:dyDescent="0.25">
      <c r="B27" s="99" t="s">
        <v>14</v>
      </c>
      <c r="C27" s="99"/>
      <c r="F27" s="99"/>
      <c r="G27" s="99"/>
      <c r="J27" s="99"/>
      <c r="K27" s="99"/>
    </row>
    <row r="28" spans="1:12" x14ac:dyDescent="0.25">
      <c r="B28" s="106"/>
      <c r="C28" s="107"/>
      <c r="F28" s="102"/>
      <c r="G28" s="101"/>
      <c r="K28" s="101"/>
    </row>
    <row r="29" spans="1:12" x14ac:dyDescent="0.25">
      <c r="B29" s="102"/>
      <c r="C29" s="101"/>
      <c r="F29" s="103"/>
      <c r="G29" s="104"/>
      <c r="J29" s="102"/>
      <c r="K29" s="101"/>
    </row>
    <row r="30" spans="1:12" x14ac:dyDescent="0.25">
      <c r="B30" s="102"/>
      <c r="C30" s="101"/>
      <c r="F30" s="102"/>
      <c r="G30" s="101"/>
      <c r="K30" s="101"/>
    </row>
    <row r="31" spans="1:12" x14ac:dyDescent="0.25">
      <c r="B31" s="102"/>
      <c r="C31" s="101"/>
      <c r="F31" s="102"/>
      <c r="G31" s="101"/>
      <c r="J31" s="102"/>
      <c r="K31" s="101"/>
    </row>
    <row r="32" spans="1:12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F38" s="102"/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2"/>
    </row>
    <row r="47" spans="2:11" x14ac:dyDescent="0.25">
      <c r="B47" s="96" t="s">
        <v>2</v>
      </c>
      <c r="F47" s="97">
        <f>C54+G53+K54+G60+K63+G72+K73</f>
        <v>354000</v>
      </c>
      <c r="G47" s="109">
        <f>C2-F47</f>
        <v>0</v>
      </c>
      <c r="H47" s="2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3</v>
      </c>
      <c r="B50" s="95">
        <v>70000</v>
      </c>
      <c r="C50" s="100">
        <v>70000</v>
      </c>
      <c r="D50" t="s">
        <v>132</v>
      </c>
      <c r="E50">
        <v>6</v>
      </c>
      <c r="F50" s="95">
        <v>50000</v>
      </c>
      <c r="G50" s="100">
        <v>150000</v>
      </c>
      <c r="H50" t="s">
        <v>132</v>
      </c>
      <c r="K50" s="100">
        <v>23000</v>
      </c>
      <c r="L50">
        <v>8</v>
      </c>
    </row>
    <row r="51" spans="1:19" x14ac:dyDescent="0.25">
      <c r="B51" s="102"/>
      <c r="C51" s="101">
        <v>90000</v>
      </c>
      <c r="D51">
        <v>5</v>
      </c>
      <c r="F51" s="103"/>
      <c r="G51" s="104"/>
      <c r="H51" s="2"/>
      <c r="J51" s="102"/>
      <c r="K51" s="101">
        <v>20000</v>
      </c>
      <c r="L51">
        <v>9</v>
      </c>
    </row>
    <row r="52" spans="1:19" x14ac:dyDescent="0.25">
      <c r="B52" s="103"/>
      <c r="C52" s="104"/>
      <c r="F52" s="106"/>
      <c r="G52" s="107"/>
      <c r="J52" s="103"/>
      <c r="K52" s="104"/>
    </row>
    <row r="53" spans="1:19" x14ac:dyDescent="0.25">
      <c r="B53" s="106">
        <f>SUM(B50:B52)</f>
        <v>70000</v>
      </c>
      <c r="C53" s="107">
        <f>SUM(C50:C52)</f>
        <v>160000</v>
      </c>
      <c r="F53" s="102"/>
      <c r="G53" s="101">
        <f>G50-F50</f>
        <v>100000</v>
      </c>
      <c r="J53" s="106"/>
      <c r="K53" s="107"/>
    </row>
    <row r="54" spans="1:19" x14ac:dyDescent="0.25">
      <c r="B54" s="102"/>
      <c r="C54" s="101">
        <f>C53-B53</f>
        <v>90000</v>
      </c>
      <c r="F54" s="102"/>
      <c r="G54" s="101"/>
      <c r="K54" s="101">
        <f>SUM(K50:K53)</f>
        <v>43000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B60" s="106"/>
      <c r="C60" s="107"/>
      <c r="F60" s="103"/>
      <c r="G60" s="104">
        <v>100000</v>
      </c>
      <c r="H60" t="s">
        <v>132</v>
      </c>
      <c r="K60" s="100">
        <v>9000</v>
      </c>
      <c r="L60" t="s">
        <v>132</v>
      </c>
      <c r="N60" s="3"/>
      <c r="O60" s="3"/>
      <c r="S60" s="3"/>
    </row>
    <row r="61" spans="1:19" x14ac:dyDescent="0.25">
      <c r="B61" s="102"/>
      <c r="C61" s="100"/>
      <c r="F61" s="102"/>
      <c r="G61" s="101"/>
      <c r="J61" s="103"/>
      <c r="K61" s="104">
        <v>12000</v>
      </c>
      <c r="L61" t="s">
        <v>12</v>
      </c>
      <c r="N61" s="3"/>
      <c r="O61" s="3"/>
      <c r="S61" s="3"/>
    </row>
    <row r="62" spans="1:19" x14ac:dyDescent="0.25">
      <c r="B62" s="102"/>
      <c r="C62" s="101"/>
      <c r="F62" s="102"/>
      <c r="G62" s="101"/>
      <c r="J62" s="106"/>
      <c r="K62" s="107"/>
      <c r="N62" s="3"/>
      <c r="O62" s="3"/>
      <c r="S62" s="3"/>
    </row>
    <row r="63" spans="1:19" x14ac:dyDescent="0.25">
      <c r="C63" s="101"/>
      <c r="F63" s="102"/>
      <c r="G63" s="101"/>
      <c r="K63" s="101">
        <f>SUM(K60:K62)</f>
        <v>21000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/>
      <c r="J70" s="110"/>
      <c r="K70" s="100"/>
      <c r="N70" s="3"/>
      <c r="O70" s="3"/>
      <c r="S70" s="3"/>
    </row>
    <row r="71" spans="2:19" x14ac:dyDescent="0.25">
      <c r="F71" s="103"/>
      <c r="G71" s="104"/>
      <c r="J71" s="103"/>
      <c r="K71" s="104"/>
      <c r="N71" s="3"/>
      <c r="O71" s="3"/>
      <c r="S71" s="3"/>
    </row>
    <row r="72" spans="2:19" x14ac:dyDescent="0.25">
      <c r="F72" s="102"/>
      <c r="G72" s="101"/>
      <c r="J72" s="106"/>
      <c r="K72" s="107"/>
      <c r="N72" s="3"/>
      <c r="O72" s="3"/>
      <c r="S72" s="3"/>
    </row>
    <row r="73" spans="2:19" x14ac:dyDescent="0.25">
      <c r="G73" s="101"/>
      <c r="K73" s="101"/>
      <c r="N73" s="3"/>
      <c r="O73" s="3"/>
      <c r="S73" s="3"/>
    </row>
    <row r="74" spans="2:19" x14ac:dyDescent="0.25">
      <c r="F74" s="102"/>
      <c r="G74" s="101"/>
      <c r="J74" s="102"/>
      <c r="K74" s="101"/>
      <c r="N74" s="3"/>
      <c r="O74" s="3"/>
      <c r="S74" s="3"/>
    </row>
    <row r="75" spans="2:19" x14ac:dyDescent="0.25">
      <c r="F75" s="102"/>
      <c r="G75" s="101"/>
      <c r="J75" s="102"/>
      <c r="K75" s="101"/>
      <c r="N75" s="3"/>
      <c r="O75" s="3"/>
      <c r="S75" s="3"/>
    </row>
    <row r="76" spans="2:19" x14ac:dyDescent="0.25"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F77" s="102"/>
      <c r="G77" s="101"/>
      <c r="J77" s="102"/>
      <c r="K77" s="101"/>
      <c r="N77" s="3"/>
      <c r="O77" s="3"/>
      <c r="S77" s="3"/>
    </row>
    <row r="78" spans="2:19" x14ac:dyDescent="0.25">
      <c r="F78" s="102"/>
      <c r="G78" s="101"/>
      <c r="J78" s="102"/>
      <c r="K78" s="102"/>
      <c r="N78" s="3"/>
      <c r="O78" s="3"/>
      <c r="S78" s="3"/>
    </row>
    <row r="79" spans="2:19" x14ac:dyDescent="0.25">
      <c r="B79" s="96" t="s">
        <v>3</v>
      </c>
    </row>
    <row r="81" spans="1:4" x14ac:dyDescent="0.25">
      <c r="B81" s="131" t="s">
        <v>3</v>
      </c>
      <c r="C81" s="131"/>
    </row>
    <row r="82" spans="1:4" x14ac:dyDescent="0.25">
      <c r="A82">
        <v>4</v>
      </c>
      <c r="B82" s="111">
        <v>2000</v>
      </c>
      <c r="C82" s="100">
        <v>60000</v>
      </c>
      <c r="D82">
        <v>2</v>
      </c>
    </row>
    <row r="83" spans="1:4" x14ac:dyDescent="0.25">
      <c r="A83">
        <v>7</v>
      </c>
      <c r="B83" s="102">
        <v>3000</v>
      </c>
      <c r="C83" s="101"/>
    </row>
    <row r="84" spans="1:4" x14ac:dyDescent="0.25">
      <c r="A84">
        <v>8</v>
      </c>
      <c r="B84" s="102">
        <v>23000</v>
      </c>
      <c r="C84" s="101"/>
    </row>
    <row r="85" spans="1:4" x14ac:dyDescent="0.25">
      <c r="A85">
        <v>9</v>
      </c>
      <c r="B85" s="102">
        <v>20000</v>
      </c>
      <c r="C85" s="101"/>
    </row>
    <row r="86" spans="1:4" x14ac:dyDescent="0.25">
      <c r="C86" s="101"/>
    </row>
    <row r="87" spans="1:4" x14ac:dyDescent="0.25">
      <c r="B87" s="102"/>
      <c r="C87" s="101"/>
    </row>
    <row r="88" spans="1:4" x14ac:dyDescent="0.25">
      <c r="B88" s="103"/>
      <c r="C88" s="104"/>
    </row>
    <row r="89" spans="1:4" x14ac:dyDescent="0.25">
      <c r="B89" s="106">
        <f>SUM(B82:B88)</f>
        <v>48000</v>
      </c>
      <c r="C89" s="107">
        <f>SUM(C82:C88)</f>
        <v>60000</v>
      </c>
    </row>
    <row r="90" spans="1:4" x14ac:dyDescent="0.25">
      <c r="A90" t="s">
        <v>12</v>
      </c>
      <c r="B90" s="106">
        <f>C90</f>
        <v>12000</v>
      </c>
      <c r="C90" s="107">
        <f>C89-B89</f>
        <v>12000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16" workbookViewId="0">
      <selection activeCell="K64" sqref="K64"/>
    </sheetView>
  </sheetViews>
  <sheetFormatPr defaultRowHeight="15" x14ac:dyDescent="0.25"/>
  <cols>
    <col min="1" max="1" width="3.140625" bestFit="1" customWidth="1"/>
    <col min="2" max="3" width="11.5703125" style="95" bestFit="1" customWidth="1"/>
    <col min="4" max="4" width="2.5703125" bestFit="1" customWidth="1"/>
    <col min="5" max="5" width="4.140625" bestFit="1" customWidth="1"/>
    <col min="6" max="6" width="12.7109375" style="95" customWidth="1"/>
    <col min="7" max="7" width="11.7109375" style="95" customWidth="1"/>
    <col min="8" max="8" width="2" style="114" customWidth="1"/>
    <col min="9" max="9" width="3.140625" style="114" bestFit="1" customWidth="1"/>
    <col min="10" max="11" width="11.5703125" style="95" bestFit="1" customWidth="1"/>
    <col min="12" max="12" width="2.5703125" style="114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B14+F8+J9+B18+F18-K20+B29+F30-C39</f>
        <v>396000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37000</v>
      </c>
      <c r="C5" s="100">
        <v>133000</v>
      </c>
      <c r="D5">
        <v>3</v>
      </c>
      <c r="E5" t="s">
        <v>132</v>
      </c>
      <c r="F5" s="95">
        <v>20000</v>
      </c>
      <c r="G5" s="101">
        <v>20000</v>
      </c>
      <c r="H5" s="113">
        <v>2</v>
      </c>
      <c r="I5" s="114" t="s">
        <v>132</v>
      </c>
      <c r="J5" s="102">
        <v>100000</v>
      </c>
      <c r="K5" s="100">
        <v>100000</v>
      </c>
      <c r="L5" s="113">
        <v>2</v>
      </c>
    </row>
    <row r="6" spans="1:12" x14ac:dyDescent="0.25">
      <c r="A6">
        <v>1</v>
      </c>
      <c r="B6" s="95">
        <v>20000</v>
      </c>
      <c r="C6" s="101">
        <v>2000</v>
      </c>
      <c r="D6">
        <v>4</v>
      </c>
      <c r="E6">
        <v>3</v>
      </c>
      <c r="F6" s="103">
        <v>50000</v>
      </c>
      <c r="G6" s="104"/>
      <c r="I6" s="115">
        <v>5</v>
      </c>
      <c r="J6" s="102">
        <v>150000</v>
      </c>
      <c r="K6" s="101"/>
    </row>
    <row r="7" spans="1:12" x14ac:dyDescent="0.25">
      <c r="A7">
        <v>2</v>
      </c>
      <c r="B7" s="95">
        <v>130000</v>
      </c>
      <c r="C7" s="101">
        <v>50000</v>
      </c>
      <c r="D7">
        <v>5</v>
      </c>
      <c r="F7" s="105">
        <f>SUM(F5:F6)</f>
        <v>70000</v>
      </c>
      <c r="G7" s="104">
        <f>SUM(G5)</f>
        <v>20000</v>
      </c>
      <c r="J7" s="103"/>
      <c r="K7" s="104"/>
    </row>
    <row r="8" spans="1:12" x14ac:dyDescent="0.25">
      <c r="C8" s="101"/>
      <c r="F8" s="95">
        <f>F7-G7</f>
        <v>50000</v>
      </c>
      <c r="G8" s="101"/>
      <c r="J8" s="106">
        <f>SUM(J5:J7)</f>
        <v>250000</v>
      </c>
      <c r="K8" s="107">
        <f>SUM(K5:K7)</f>
        <v>100000</v>
      </c>
    </row>
    <row r="9" spans="1:12" x14ac:dyDescent="0.25">
      <c r="B9" s="102"/>
      <c r="C9" s="101"/>
      <c r="F9" s="102"/>
      <c r="G9" s="101"/>
      <c r="J9" s="102">
        <f>J8-K8</f>
        <v>150000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187000</v>
      </c>
      <c r="C13" s="107">
        <f>SUM(C5:C12)</f>
        <v>185000</v>
      </c>
      <c r="F13" s="102"/>
      <c r="G13" s="101"/>
      <c r="J13" s="102"/>
      <c r="K13" s="101"/>
    </row>
    <row r="14" spans="1:12" x14ac:dyDescent="0.25">
      <c r="B14" s="102">
        <f>B13-C13</f>
        <v>2000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H17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3">
        <v>180000</v>
      </c>
      <c r="G18" s="104"/>
      <c r="H18"/>
      <c r="K18" s="100">
        <v>3000</v>
      </c>
      <c r="L18" s="114" t="s">
        <v>132</v>
      </c>
    </row>
    <row r="19" spans="1:12" x14ac:dyDescent="0.25">
      <c r="B19" s="102"/>
      <c r="C19" s="101"/>
      <c r="F19" s="102"/>
      <c r="G19" s="101"/>
      <c r="H19"/>
      <c r="J19" s="103"/>
      <c r="K19" s="104">
        <v>3000</v>
      </c>
      <c r="L19" s="114">
        <v>6</v>
      </c>
    </row>
    <row r="20" spans="1:12" x14ac:dyDescent="0.25">
      <c r="B20" s="102"/>
      <c r="C20" s="101"/>
      <c r="F20" s="102"/>
      <c r="G20" s="101"/>
      <c r="H20"/>
      <c r="J20" s="102"/>
      <c r="K20" s="101">
        <f>SUM(K18:K19)</f>
        <v>6000</v>
      </c>
    </row>
    <row r="21" spans="1:12" x14ac:dyDescent="0.25">
      <c r="B21" s="102"/>
      <c r="C21" s="101"/>
      <c r="F21" s="102"/>
      <c r="G21" s="101"/>
      <c r="H21"/>
      <c r="K21" s="101"/>
    </row>
    <row r="22" spans="1:12" x14ac:dyDescent="0.25">
      <c r="B22" s="102"/>
      <c r="C22" s="101"/>
      <c r="F22" s="102"/>
      <c r="G22" s="101"/>
      <c r="H22"/>
      <c r="J22" s="102"/>
      <c r="K22" s="101"/>
    </row>
    <row r="23" spans="1:12" x14ac:dyDescent="0.25">
      <c r="B23" s="102"/>
      <c r="C23" s="101"/>
      <c r="F23" s="102"/>
      <c r="G23" s="101"/>
      <c r="H23"/>
      <c r="J23" s="102"/>
      <c r="K23" s="101"/>
    </row>
    <row r="24" spans="1:12" x14ac:dyDescent="0.25">
      <c r="B24" s="102"/>
      <c r="C24" s="101"/>
      <c r="F24" s="102"/>
      <c r="G24" s="101"/>
      <c r="H24"/>
      <c r="J24" s="102"/>
      <c r="K24" s="101"/>
    </row>
    <row r="25" spans="1:12" x14ac:dyDescent="0.25">
      <c r="B25" s="102"/>
      <c r="C25" s="101"/>
      <c r="F25" s="102"/>
      <c r="G25" s="101"/>
      <c r="H25"/>
      <c r="J25" s="102"/>
      <c r="K25" s="101"/>
    </row>
    <row r="26" spans="1:12" x14ac:dyDescent="0.25">
      <c r="B26" s="102"/>
      <c r="C26" s="102"/>
      <c r="F26" s="102"/>
      <c r="G26" s="102"/>
      <c r="H26"/>
      <c r="J26" s="102"/>
      <c r="K26" s="102"/>
    </row>
    <row r="27" spans="1:12" x14ac:dyDescent="0.25">
      <c r="B27" s="99" t="s">
        <v>14</v>
      </c>
      <c r="C27" s="99"/>
      <c r="F27" s="99"/>
      <c r="G27" s="99"/>
      <c r="J27" s="99"/>
      <c r="K27" s="99"/>
    </row>
    <row r="28" spans="1:12" x14ac:dyDescent="0.25">
      <c r="B28" s="106"/>
      <c r="C28" s="107"/>
      <c r="F28" s="102"/>
      <c r="G28" s="101"/>
      <c r="K28" s="101"/>
    </row>
    <row r="29" spans="1:12" x14ac:dyDescent="0.25">
      <c r="B29" s="102"/>
      <c r="C29" s="101"/>
      <c r="F29" s="103"/>
      <c r="G29" s="104"/>
      <c r="J29" s="102"/>
      <c r="K29" s="101"/>
    </row>
    <row r="30" spans="1:12" x14ac:dyDescent="0.25">
      <c r="B30" s="102"/>
      <c r="C30" s="101"/>
      <c r="F30" s="102"/>
      <c r="G30" s="101"/>
      <c r="K30" s="101"/>
    </row>
    <row r="31" spans="1:12" x14ac:dyDescent="0.25">
      <c r="B31" s="102"/>
      <c r="C31" s="101"/>
      <c r="F31" s="102"/>
      <c r="G31" s="101"/>
      <c r="J31" s="102"/>
      <c r="K31" s="101"/>
    </row>
    <row r="32" spans="1:12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F38" s="102"/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5"/>
    </row>
    <row r="47" spans="2:11" x14ac:dyDescent="0.25">
      <c r="B47" s="96" t="s">
        <v>2</v>
      </c>
      <c r="F47" s="97">
        <f>C54+G53+K54+G60+K63+G72+K73</f>
        <v>396000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3</v>
      </c>
      <c r="B50" s="95">
        <v>90000</v>
      </c>
      <c r="C50" s="100">
        <v>90000</v>
      </c>
      <c r="D50" t="s">
        <v>132</v>
      </c>
      <c r="G50" s="100">
        <v>100000</v>
      </c>
      <c r="H50" s="114" t="s">
        <v>132</v>
      </c>
      <c r="I50" s="114">
        <v>3</v>
      </c>
      <c r="J50" s="95">
        <v>43000</v>
      </c>
      <c r="K50" s="100">
        <v>43000</v>
      </c>
      <c r="L50" s="114" t="s">
        <v>132</v>
      </c>
    </row>
    <row r="51" spans="1:19" x14ac:dyDescent="0.25">
      <c r="B51" s="102"/>
      <c r="C51" s="101">
        <v>100000</v>
      </c>
      <c r="D51">
        <v>5</v>
      </c>
      <c r="F51" s="103"/>
      <c r="G51" s="104"/>
      <c r="H51" s="115"/>
      <c r="J51" s="102"/>
      <c r="K51" s="101">
        <v>30000</v>
      </c>
      <c r="L51" s="114">
        <v>7</v>
      </c>
    </row>
    <row r="52" spans="1:19" x14ac:dyDescent="0.25">
      <c r="B52" s="103"/>
      <c r="C52" s="104"/>
      <c r="F52" s="106"/>
      <c r="G52" s="107"/>
      <c r="J52" s="103"/>
      <c r="K52" s="104">
        <v>25000</v>
      </c>
      <c r="L52" s="114">
        <v>8</v>
      </c>
    </row>
    <row r="53" spans="1:19" x14ac:dyDescent="0.25">
      <c r="B53" s="106">
        <f>SUM(B50:B52)</f>
        <v>90000</v>
      </c>
      <c r="C53" s="107">
        <f>SUM(C50:C52)</f>
        <v>190000</v>
      </c>
      <c r="F53" s="102"/>
      <c r="G53" s="101">
        <f>SUM(G50:G52)</f>
        <v>100000</v>
      </c>
      <c r="J53" s="106">
        <f>SUM(J50:J52)</f>
        <v>43000</v>
      </c>
      <c r="K53" s="107">
        <f>SUM(K50:K52)</f>
        <v>98000</v>
      </c>
    </row>
    <row r="54" spans="1:19" x14ac:dyDescent="0.25">
      <c r="B54" s="102"/>
      <c r="C54" s="101">
        <f>C53-B53</f>
        <v>100000</v>
      </c>
      <c r="F54" s="102"/>
      <c r="G54" s="101"/>
      <c r="K54" s="101">
        <f>K53-J53</f>
        <v>55000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H59"/>
      <c r="J59" s="99" t="s">
        <v>10</v>
      </c>
      <c r="K59" s="99"/>
      <c r="N59" s="3"/>
      <c r="O59" s="3"/>
      <c r="S59" s="3"/>
    </row>
    <row r="60" spans="1:19" x14ac:dyDescent="0.25">
      <c r="B60" s="106"/>
      <c r="C60" s="107"/>
      <c r="F60" s="103"/>
      <c r="G60" s="104">
        <v>100000</v>
      </c>
      <c r="H60" t="s">
        <v>132</v>
      </c>
      <c r="K60" s="100">
        <v>21000</v>
      </c>
      <c r="L60" s="114" t="s">
        <v>132</v>
      </c>
      <c r="N60" s="3"/>
      <c r="O60" s="3"/>
      <c r="S60" s="3"/>
    </row>
    <row r="61" spans="1:19" x14ac:dyDescent="0.25">
      <c r="B61" s="102"/>
      <c r="C61" s="100"/>
      <c r="F61" s="102"/>
      <c r="G61" s="101"/>
      <c r="H61"/>
      <c r="J61" s="103"/>
      <c r="K61" s="104">
        <v>20000</v>
      </c>
      <c r="L61" s="114" t="s">
        <v>12</v>
      </c>
      <c r="N61" s="3"/>
      <c r="O61" s="3"/>
      <c r="S61" s="3"/>
    </row>
    <row r="62" spans="1:19" x14ac:dyDescent="0.25">
      <c r="B62" s="102"/>
      <c r="C62" s="101"/>
      <c r="F62" s="102"/>
      <c r="G62" s="101"/>
      <c r="H62"/>
      <c r="J62" s="106"/>
      <c r="K62" s="107"/>
      <c r="N62" s="3"/>
      <c r="O62" s="3"/>
      <c r="S62" s="3"/>
    </row>
    <row r="63" spans="1:19" x14ac:dyDescent="0.25">
      <c r="C63" s="101"/>
      <c r="F63" s="102"/>
      <c r="G63" s="101"/>
      <c r="H63"/>
      <c r="K63" s="101">
        <f>SUM(K60:K62)</f>
        <v>41000</v>
      </c>
      <c r="N63" s="3"/>
      <c r="O63" s="3"/>
      <c r="S63" s="3"/>
    </row>
    <row r="64" spans="1:19" x14ac:dyDescent="0.25">
      <c r="B64" s="102"/>
      <c r="C64" s="101"/>
      <c r="F64" s="102"/>
      <c r="G64" s="101"/>
      <c r="H64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H65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H66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H67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/>
      <c r="J70" s="110"/>
      <c r="K70" s="100"/>
      <c r="N70" s="3"/>
      <c r="O70" s="3"/>
      <c r="S70" s="3"/>
    </row>
    <row r="71" spans="2:19" x14ac:dyDescent="0.25">
      <c r="F71" s="103"/>
      <c r="G71" s="104"/>
      <c r="J71" s="103"/>
      <c r="K71" s="104"/>
      <c r="N71" s="3"/>
      <c r="O71" s="3"/>
      <c r="S71" s="3"/>
    </row>
    <row r="72" spans="2:19" x14ac:dyDescent="0.25">
      <c r="F72" s="102"/>
      <c r="G72" s="101"/>
      <c r="J72" s="106"/>
      <c r="K72" s="107"/>
      <c r="N72" s="3"/>
      <c r="O72" s="3"/>
      <c r="S72" s="3"/>
    </row>
    <row r="73" spans="2:19" x14ac:dyDescent="0.25">
      <c r="G73" s="101"/>
      <c r="K73" s="101"/>
      <c r="N73" s="3"/>
      <c r="O73" s="3"/>
      <c r="S73" s="3"/>
    </row>
    <row r="74" spans="2:19" x14ac:dyDescent="0.25">
      <c r="F74" s="102"/>
      <c r="G74" s="101"/>
      <c r="J74" s="102"/>
      <c r="K74" s="101"/>
      <c r="N74" s="3"/>
      <c r="O74" s="3"/>
      <c r="S74" s="3"/>
    </row>
    <row r="75" spans="2:19" x14ac:dyDescent="0.25">
      <c r="F75" s="102"/>
      <c r="G75" s="101"/>
      <c r="J75" s="102"/>
      <c r="K75" s="101"/>
      <c r="N75" s="3"/>
      <c r="O75" s="3"/>
      <c r="S75" s="3"/>
    </row>
    <row r="76" spans="2:19" x14ac:dyDescent="0.25"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F77" s="102"/>
      <c r="G77" s="101"/>
      <c r="J77" s="102"/>
      <c r="K77" s="101"/>
      <c r="N77" s="3"/>
      <c r="O77" s="3"/>
      <c r="S77" s="3"/>
    </row>
    <row r="78" spans="2:19" x14ac:dyDescent="0.25">
      <c r="F78" s="102"/>
      <c r="G78" s="101"/>
      <c r="J78" s="102"/>
      <c r="K78" s="102"/>
      <c r="N78" s="3"/>
      <c r="O78" s="3"/>
      <c r="S78" s="3"/>
    </row>
    <row r="79" spans="2:19" x14ac:dyDescent="0.25">
      <c r="B79" s="96" t="s">
        <v>3</v>
      </c>
    </row>
    <row r="81" spans="1:4" x14ac:dyDescent="0.25">
      <c r="B81" s="131" t="s">
        <v>3</v>
      </c>
      <c r="C81" s="131"/>
    </row>
    <row r="82" spans="1:4" x14ac:dyDescent="0.25">
      <c r="A82">
        <v>4</v>
      </c>
      <c r="B82" s="111">
        <v>2000</v>
      </c>
      <c r="C82" s="100">
        <v>80000</v>
      </c>
      <c r="D82">
        <v>2</v>
      </c>
    </row>
    <row r="83" spans="1:4" x14ac:dyDescent="0.25">
      <c r="A83">
        <v>6</v>
      </c>
      <c r="B83" s="102">
        <v>3000</v>
      </c>
      <c r="C83" s="101"/>
    </row>
    <row r="84" spans="1:4" x14ac:dyDescent="0.25">
      <c r="A84">
        <v>7</v>
      </c>
      <c r="B84" s="102">
        <v>30000</v>
      </c>
      <c r="C84" s="101"/>
    </row>
    <row r="85" spans="1:4" x14ac:dyDescent="0.25">
      <c r="A85">
        <v>8</v>
      </c>
      <c r="B85" s="102">
        <v>25000</v>
      </c>
      <c r="C85" s="101"/>
    </row>
    <row r="86" spans="1:4" x14ac:dyDescent="0.25">
      <c r="C86" s="101"/>
    </row>
    <row r="87" spans="1:4" x14ac:dyDescent="0.25">
      <c r="B87" s="102"/>
      <c r="C87" s="101"/>
    </row>
    <row r="88" spans="1:4" x14ac:dyDescent="0.25">
      <c r="B88" s="103"/>
      <c r="C88" s="104"/>
    </row>
    <row r="89" spans="1:4" x14ac:dyDescent="0.25">
      <c r="B89" s="106">
        <f>SUM(B82:B88)</f>
        <v>60000</v>
      </c>
      <c r="C89" s="107">
        <f>SUM(C82:C88)</f>
        <v>80000</v>
      </c>
    </row>
    <row r="90" spans="1:4" x14ac:dyDescent="0.25">
      <c r="A90" t="s">
        <v>12</v>
      </c>
      <c r="B90" s="106">
        <f>C90</f>
        <v>20000</v>
      </c>
      <c r="C90" s="107">
        <f>C89-B89</f>
        <v>20000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28" workbookViewId="0">
      <selection activeCell="K64" sqref="K64"/>
    </sheetView>
  </sheetViews>
  <sheetFormatPr defaultRowHeight="15" x14ac:dyDescent="0.25"/>
  <cols>
    <col min="1" max="1" width="3.140625" bestFit="1" customWidth="1"/>
    <col min="2" max="2" width="11.5703125" style="95" bestFit="1" customWidth="1"/>
    <col min="3" max="3" width="11.7109375" style="95" customWidth="1"/>
    <col min="4" max="4" width="2.5703125" bestFit="1" customWidth="1"/>
    <col min="5" max="5" width="4.140625" bestFit="1" customWidth="1"/>
    <col min="6" max="6" width="12.7109375" style="95" customWidth="1"/>
    <col min="7" max="7" width="13.28515625" style="95" bestFit="1" customWidth="1"/>
    <col min="8" max="8" width="2.5703125" style="114" customWidth="1"/>
    <col min="9" max="9" width="3.140625" style="114" bestFit="1" customWidth="1"/>
    <col min="10" max="11" width="11.5703125" style="95" bestFit="1" customWidth="1"/>
    <col min="12" max="12" width="2" style="114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B14+F8+J9+B18+F18-K20+B29+F30-C39</f>
        <v>446000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</v>
      </c>
      <c r="B5" s="95">
        <v>2000</v>
      </c>
      <c r="C5" s="100">
        <v>155000</v>
      </c>
      <c r="D5">
        <v>3</v>
      </c>
      <c r="E5" t="s">
        <v>132</v>
      </c>
      <c r="F5" s="95">
        <v>50000</v>
      </c>
      <c r="G5" s="101">
        <v>50000</v>
      </c>
      <c r="H5" s="113">
        <v>1</v>
      </c>
      <c r="I5" s="114" t="s">
        <v>132</v>
      </c>
      <c r="J5" s="102">
        <v>150000</v>
      </c>
      <c r="K5" s="100">
        <v>150000</v>
      </c>
      <c r="L5" s="113">
        <v>2</v>
      </c>
    </row>
    <row r="6" spans="1:12" x14ac:dyDescent="0.25">
      <c r="A6">
        <v>1</v>
      </c>
      <c r="B6" s="95">
        <v>50000</v>
      </c>
      <c r="C6" s="101">
        <v>2000</v>
      </c>
      <c r="D6">
        <v>4</v>
      </c>
      <c r="E6">
        <v>2</v>
      </c>
      <c r="F6" s="103">
        <v>50000</v>
      </c>
      <c r="G6" s="104"/>
      <c r="I6" s="115">
        <v>5</v>
      </c>
      <c r="J6" s="102">
        <v>200000</v>
      </c>
      <c r="K6" s="101"/>
    </row>
    <row r="7" spans="1:12" x14ac:dyDescent="0.25">
      <c r="A7">
        <v>2</v>
      </c>
      <c r="B7" s="95">
        <v>200000</v>
      </c>
      <c r="C7" s="101">
        <v>50000</v>
      </c>
      <c r="D7">
        <v>5</v>
      </c>
      <c r="F7" s="105">
        <f>SUM(F5:F6)</f>
        <v>100000</v>
      </c>
      <c r="G7" s="104">
        <f>SUM(G5:G6)</f>
        <v>50000</v>
      </c>
      <c r="J7" s="103"/>
      <c r="K7" s="104"/>
    </row>
    <row r="8" spans="1:12" x14ac:dyDescent="0.25">
      <c r="C8" s="101">
        <v>40000</v>
      </c>
      <c r="D8">
        <v>6</v>
      </c>
      <c r="F8" s="95">
        <f>F7-G7</f>
        <v>50000</v>
      </c>
      <c r="G8" s="101"/>
      <c r="J8" s="106">
        <f>SUM(J5:J7)</f>
        <v>350000</v>
      </c>
      <c r="K8" s="107">
        <f>SUM(K5:K7)</f>
        <v>150000</v>
      </c>
    </row>
    <row r="9" spans="1:12" x14ac:dyDescent="0.25">
      <c r="B9" s="102"/>
      <c r="C9" s="101"/>
      <c r="F9" s="102"/>
      <c r="G9" s="101"/>
      <c r="J9" s="102">
        <f>J8-K8</f>
        <v>200000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252000</v>
      </c>
      <c r="C13" s="107">
        <f>SUM(C5:C12)</f>
        <v>247000</v>
      </c>
      <c r="F13" s="102"/>
      <c r="G13" s="101"/>
      <c r="J13" s="102"/>
      <c r="K13" s="101"/>
    </row>
    <row r="14" spans="1:12" x14ac:dyDescent="0.25">
      <c r="B14" s="102">
        <f>B13-C13</f>
        <v>5000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3">
        <v>180000</v>
      </c>
      <c r="G18" s="104"/>
      <c r="K18" s="100">
        <v>6000</v>
      </c>
      <c r="L18" s="114" t="s">
        <v>132</v>
      </c>
    </row>
    <row r="19" spans="1:12" x14ac:dyDescent="0.25">
      <c r="B19" s="102"/>
      <c r="C19" s="101"/>
      <c r="F19" s="102"/>
      <c r="G19" s="101"/>
      <c r="J19" s="103"/>
      <c r="K19" s="104">
        <v>3000</v>
      </c>
      <c r="L19" s="114">
        <v>7</v>
      </c>
    </row>
    <row r="20" spans="1:12" x14ac:dyDescent="0.25">
      <c r="B20" s="102"/>
      <c r="C20" s="101"/>
      <c r="F20" s="102"/>
      <c r="G20" s="101"/>
      <c r="J20" s="102"/>
      <c r="K20" s="101">
        <f>SUM(K18:K19)</f>
        <v>9000</v>
      </c>
    </row>
    <row r="21" spans="1:12" x14ac:dyDescent="0.25">
      <c r="B21" s="102"/>
      <c r="C21" s="101"/>
      <c r="F21" s="102"/>
      <c r="G21" s="101"/>
      <c r="K21" s="101"/>
    </row>
    <row r="22" spans="1:12" x14ac:dyDescent="0.25">
      <c r="B22" s="102"/>
      <c r="C22" s="101"/>
      <c r="F22" s="102"/>
      <c r="G22" s="101"/>
      <c r="J22" s="102"/>
      <c r="K22" s="101"/>
    </row>
    <row r="23" spans="1:12" x14ac:dyDescent="0.25">
      <c r="B23" s="102"/>
      <c r="C23" s="101"/>
      <c r="F23" s="102"/>
      <c r="G23" s="101"/>
      <c r="J23" s="102"/>
      <c r="K23" s="101"/>
    </row>
    <row r="24" spans="1:12" x14ac:dyDescent="0.25">
      <c r="B24" s="102"/>
      <c r="C24" s="101"/>
      <c r="F24" s="102"/>
      <c r="G24" s="101"/>
      <c r="J24" s="102"/>
      <c r="K24" s="101"/>
    </row>
    <row r="25" spans="1:12" x14ac:dyDescent="0.25">
      <c r="B25" s="102"/>
      <c r="C25" s="101"/>
      <c r="F25" s="102"/>
      <c r="G25" s="101"/>
      <c r="J25" s="102"/>
      <c r="K25" s="101"/>
    </row>
    <row r="26" spans="1:12" x14ac:dyDescent="0.25">
      <c r="B26" s="102"/>
      <c r="C26" s="102"/>
      <c r="F26" s="102"/>
      <c r="G26" s="102"/>
      <c r="J26" s="102"/>
      <c r="K26" s="102"/>
    </row>
    <row r="27" spans="1:12" x14ac:dyDescent="0.25">
      <c r="B27" s="99" t="s">
        <v>14</v>
      </c>
      <c r="C27" s="99"/>
      <c r="F27" s="99"/>
      <c r="G27" s="99"/>
      <c r="J27" s="99"/>
      <c r="K27" s="99"/>
    </row>
    <row r="28" spans="1:12" x14ac:dyDescent="0.25">
      <c r="B28" s="106"/>
      <c r="C28" s="107"/>
      <c r="F28" s="102"/>
      <c r="G28" s="101"/>
      <c r="K28" s="101"/>
    </row>
    <row r="29" spans="1:12" x14ac:dyDescent="0.25">
      <c r="B29" s="102"/>
      <c r="C29" s="101"/>
      <c r="F29" s="103"/>
      <c r="G29" s="104"/>
      <c r="J29" s="102"/>
      <c r="K29" s="101"/>
    </row>
    <row r="30" spans="1:12" x14ac:dyDescent="0.25">
      <c r="B30" s="102"/>
      <c r="C30" s="101"/>
      <c r="F30" s="102"/>
      <c r="G30" s="101"/>
      <c r="K30" s="101"/>
    </row>
    <row r="31" spans="1:12" x14ac:dyDescent="0.25">
      <c r="B31" s="102"/>
      <c r="C31" s="101"/>
      <c r="F31" s="102"/>
      <c r="G31" s="101"/>
      <c r="J31" s="102"/>
      <c r="K31" s="101"/>
    </row>
    <row r="32" spans="1:12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F38" s="102"/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5"/>
    </row>
    <row r="47" spans="2:11" x14ac:dyDescent="0.25">
      <c r="B47" s="96" t="s">
        <v>2</v>
      </c>
      <c r="F47" s="97">
        <f>C54+G53+K54+G60+K63+G72+K73</f>
        <v>446000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3</v>
      </c>
      <c r="B50" s="95">
        <v>100000</v>
      </c>
      <c r="C50" s="100">
        <v>100000</v>
      </c>
      <c r="D50" t="s">
        <v>132</v>
      </c>
      <c r="E50">
        <v>6</v>
      </c>
      <c r="F50" s="95">
        <v>40000</v>
      </c>
      <c r="G50" s="100">
        <v>100000</v>
      </c>
      <c r="H50" s="114" t="s">
        <v>132</v>
      </c>
      <c r="I50" s="115">
        <v>3</v>
      </c>
      <c r="J50" s="95">
        <v>55000</v>
      </c>
      <c r="K50" s="100">
        <v>55000</v>
      </c>
      <c r="L50" s="114" t="s">
        <v>132</v>
      </c>
    </row>
    <row r="51" spans="1:19" x14ac:dyDescent="0.25">
      <c r="B51" s="102"/>
      <c r="C51" s="101">
        <v>150000</v>
      </c>
      <c r="D51">
        <v>5</v>
      </c>
      <c r="F51" s="103"/>
      <c r="G51" s="104"/>
      <c r="H51" s="115"/>
      <c r="J51" s="102"/>
      <c r="K51" s="101">
        <v>50000</v>
      </c>
      <c r="L51" s="114">
        <v>8</v>
      </c>
    </row>
    <row r="52" spans="1:19" x14ac:dyDescent="0.25">
      <c r="B52" s="103"/>
      <c r="C52" s="104"/>
      <c r="F52" s="106"/>
      <c r="G52" s="107"/>
      <c r="J52" s="103"/>
      <c r="K52" s="104">
        <v>25000</v>
      </c>
      <c r="L52" s="114">
        <v>9</v>
      </c>
    </row>
    <row r="53" spans="1:19" x14ac:dyDescent="0.25">
      <c r="B53" s="106">
        <f>SUM(B50:B52)</f>
        <v>100000</v>
      </c>
      <c r="C53" s="107">
        <f>SUM(C50:C52)</f>
        <v>250000</v>
      </c>
      <c r="F53" s="102"/>
      <c r="G53" s="101">
        <f>G50-F50</f>
        <v>60000</v>
      </c>
      <c r="J53" s="106">
        <f>SUM(J50:J52)</f>
        <v>55000</v>
      </c>
      <c r="K53" s="107">
        <f>SUM(K50:K52)</f>
        <v>130000</v>
      </c>
    </row>
    <row r="54" spans="1:19" x14ac:dyDescent="0.25">
      <c r="B54" s="102"/>
      <c r="C54" s="101">
        <f>C53-B53</f>
        <v>150000</v>
      </c>
      <c r="F54" s="102"/>
      <c r="G54" s="101"/>
      <c r="K54" s="101">
        <f>K53-J53</f>
        <v>75000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B60" s="106"/>
      <c r="C60" s="107"/>
      <c r="F60" s="103"/>
      <c r="G60" s="104">
        <v>100000</v>
      </c>
      <c r="H60" s="114" t="s">
        <v>132</v>
      </c>
      <c r="K60" s="100">
        <v>41000</v>
      </c>
      <c r="L60" s="114" t="s">
        <v>132</v>
      </c>
      <c r="N60" s="3"/>
      <c r="O60" s="3"/>
      <c r="S60" s="3"/>
    </row>
    <row r="61" spans="1:19" x14ac:dyDescent="0.25">
      <c r="B61" s="102"/>
      <c r="C61" s="100"/>
      <c r="F61" s="102"/>
      <c r="G61" s="101"/>
      <c r="J61" s="103"/>
      <c r="K61" s="104">
        <v>20000</v>
      </c>
      <c r="L61" s="114" t="s">
        <v>12</v>
      </c>
      <c r="N61" s="3"/>
      <c r="O61" s="3"/>
      <c r="S61" s="3"/>
    </row>
    <row r="62" spans="1:19" x14ac:dyDescent="0.25">
      <c r="B62" s="102"/>
      <c r="C62" s="101"/>
      <c r="F62" s="102"/>
      <c r="G62" s="101"/>
      <c r="J62" s="106"/>
      <c r="K62" s="107"/>
      <c r="N62" s="3"/>
      <c r="O62" s="3"/>
      <c r="S62" s="3"/>
    </row>
    <row r="63" spans="1:19" x14ac:dyDescent="0.25">
      <c r="C63" s="101"/>
      <c r="F63" s="102"/>
      <c r="G63" s="101"/>
      <c r="K63" s="101">
        <f>SUM(K60:K62)</f>
        <v>61000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/>
      <c r="J70" s="110"/>
      <c r="K70" s="100"/>
      <c r="N70" s="3"/>
      <c r="O70" s="3"/>
      <c r="S70" s="3"/>
    </row>
    <row r="71" spans="2:19" x14ac:dyDescent="0.25">
      <c r="F71" s="103"/>
      <c r="G71" s="104"/>
      <c r="J71" s="103"/>
      <c r="K71" s="104"/>
      <c r="N71" s="3"/>
      <c r="O71" s="3"/>
      <c r="S71" s="3"/>
    </row>
    <row r="72" spans="2:19" x14ac:dyDescent="0.25">
      <c r="F72" s="102"/>
      <c r="G72" s="101"/>
      <c r="J72" s="106"/>
      <c r="K72" s="107"/>
      <c r="N72" s="3"/>
      <c r="O72" s="3"/>
      <c r="S72" s="3"/>
    </row>
    <row r="73" spans="2:19" x14ac:dyDescent="0.25">
      <c r="G73" s="101"/>
      <c r="K73" s="101"/>
      <c r="N73" s="3"/>
      <c r="O73" s="3"/>
      <c r="S73" s="3"/>
    </row>
    <row r="74" spans="2:19" x14ac:dyDescent="0.25">
      <c r="F74" s="102"/>
      <c r="G74" s="101"/>
      <c r="J74" s="102"/>
      <c r="K74" s="101"/>
      <c r="N74" s="3"/>
      <c r="O74" s="3"/>
      <c r="S74" s="3"/>
    </row>
    <row r="75" spans="2:19" x14ac:dyDescent="0.25">
      <c r="F75" s="102"/>
      <c r="G75" s="101"/>
      <c r="J75" s="102"/>
      <c r="K75" s="101"/>
      <c r="N75" s="3"/>
      <c r="O75" s="3"/>
      <c r="S75" s="3"/>
    </row>
    <row r="76" spans="2:19" x14ac:dyDescent="0.25"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F77" s="102"/>
      <c r="G77" s="101"/>
      <c r="J77" s="102"/>
      <c r="K77" s="101"/>
      <c r="N77" s="3"/>
      <c r="O77" s="3"/>
      <c r="S77" s="3"/>
    </row>
    <row r="78" spans="2:19" x14ac:dyDescent="0.25">
      <c r="F78" s="102"/>
      <c r="G78" s="101"/>
      <c r="J78" s="102"/>
      <c r="K78" s="102"/>
      <c r="N78" s="3"/>
      <c r="O78" s="3"/>
      <c r="S78" s="3"/>
    </row>
    <row r="79" spans="2:19" x14ac:dyDescent="0.25">
      <c r="B79" s="96" t="s">
        <v>3</v>
      </c>
    </row>
    <row r="81" spans="1:4" x14ac:dyDescent="0.25">
      <c r="B81" s="131" t="s">
        <v>3</v>
      </c>
      <c r="C81" s="131"/>
    </row>
    <row r="82" spans="1:4" x14ac:dyDescent="0.25">
      <c r="A82">
        <v>4</v>
      </c>
      <c r="B82" s="111">
        <v>2000</v>
      </c>
      <c r="C82" s="100">
        <v>100000</v>
      </c>
      <c r="D82">
        <v>2</v>
      </c>
    </row>
    <row r="83" spans="1:4" x14ac:dyDescent="0.25">
      <c r="A83">
        <v>7</v>
      </c>
      <c r="B83" s="102">
        <v>3000</v>
      </c>
      <c r="C83" s="101"/>
    </row>
    <row r="84" spans="1:4" x14ac:dyDescent="0.25">
      <c r="A84">
        <v>8</v>
      </c>
      <c r="B84" s="102">
        <v>50000</v>
      </c>
      <c r="C84" s="101"/>
    </row>
    <row r="85" spans="1:4" x14ac:dyDescent="0.25">
      <c r="A85">
        <v>9</v>
      </c>
      <c r="B85" s="102">
        <v>25000</v>
      </c>
      <c r="C85" s="101"/>
    </row>
    <row r="86" spans="1:4" x14ac:dyDescent="0.25">
      <c r="C86" s="101"/>
    </row>
    <row r="87" spans="1:4" x14ac:dyDescent="0.25">
      <c r="B87" s="102"/>
      <c r="C87" s="101"/>
    </row>
    <row r="88" spans="1:4" x14ac:dyDescent="0.25">
      <c r="B88" s="103"/>
      <c r="C88" s="104"/>
    </row>
    <row r="89" spans="1:4" x14ac:dyDescent="0.25">
      <c r="B89" s="106">
        <f>SUM(B82:B88)</f>
        <v>80000</v>
      </c>
      <c r="C89" s="107">
        <f>SUM(C82:C88)</f>
        <v>100000</v>
      </c>
    </row>
    <row r="90" spans="1:4" x14ac:dyDescent="0.25">
      <c r="A90" t="s">
        <v>12</v>
      </c>
      <c r="B90" s="106">
        <f>C90</f>
        <v>20000</v>
      </c>
      <c r="C90" s="107">
        <f>C89-B89</f>
        <v>20000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topLeftCell="A10" zoomScale="98" zoomScaleNormal="98" workbookViewId="0">
      <selection activeCell="F21" sqref="F21"/>
    </sheetView>
  </sheetViews>
  <sheetFormatPr defaultRowHeight="15" x14ac:dyDescent="0.25"/>
  <cols>
    <col min="1" max="1" width="3.140625" bestFit="1" customWidth="1"/>
    <col min="2" max="2" width="11.5703125" style="95" customWidth="1"/>
    <col min="3" max="3" width="13.28515625" style="95" bestFit="1" customWidth="1"/>
    <col min="4" max="5" width="4.140625" bestFit="1" customWidth="1"/>
    <col min="6" max="6" width="15.140625" style="95" customWidth="1"/>
    <col min="7" max="7" width="11.5703125" style="95" bestFit="1" customWidth="1"/>
    <col min="8" max="8" width="2.5703125" style="114" customWidth="1"/>
    <col min="9" max="9" width="3.140625" style="114" bestFit="1" customWidth="1"/>
    <col min="10" max="11" width="11.5703125" style="95" bestFit="1" customWidth="1"/>
    <col min="12" max="12" width="6" style="114" bestFit="1" customWidth="1"/>
    <col min="13" max="13" width="3" bestFit="1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B14+F8+J9+B18+F21-K20+B29+F30-C39</f>
        <v>1011800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5000</v>
      </c>
      <c r="C5" s="100">
        <v>180000</v>
      </c>
      <c r="D5">
        <v>3</v>
      </c>
      <c r="E5" t="s">
        <v>132</v>
      </c>
      <c r="F5" s="95">
        <v>50000</v>
      </c>
      <c r="G5" s="101">
        <v>30000</v>
      </c>
      <c r="H5" s="113">
        <v>1</v>
      </c>
      <c r="I5" s="114" t="s">
        <v>132</v>
      </c>
      <c r="J5" s="102">
        <v>200000</v>
      </c>
      <c r="K5" s="100">
        <v>200000</v>
      </c>
      <c r="L5" s="109">
        <v>2</v>
      </c>
    </row>
    <row r="6" spans="1:12" x14ac:dyDescent="0.25">
      <c r="A6">
        <v>1</v>
      </c>
      <c r="B6" s="95">
        <v>30000</v>
      </c>
      <c r="C6" s="101">
        <v>1200</v>
      </c>
      <c r="D6">
        <v>4</v>
      </c>
      <c r="E6">
        <v>2</v>
      </c>
      <c r="F6" s="103">
        <v>100000</v>
      </c>
      <c r="G6" s="104"/>
      <c r="I6" s="115">
        <v>5</v>
      </c>
      <c r="J6" s="102">
        <v>300000</v>
      </c>
      <c r="K6" s="101"/>
    </row>
    <row r="7" spans="1:12" x14ac:dyDescent="0.25">
      <c r="A7">
        <v>2</v>
      </c>
      <c r="B7" s="95">
        <v>200000</v>
      </c>
      <c r="C7" s="101">
        <v>50000</v>
      </c>
      <c r="D7">
        <v>5</v>
      </c>
      <c r="F7" s="105">
        <f>SUM(F5:F6)</f>
        <v>150000</v>
      </c>
      <c r="G7" s="104">
        <f>SUM(G5:G6)</f>
        <v>30000</v>
      </c>
      <c r="J7" s="103"/>
      <c r="K7" s="104"/>
    </row>
    <row r="8" spans="1:12" x14ac:dyDescent="0.25">
      <c r="A8">
        <v>9</v>
      </c>
      <c r="B8" s="95">
        <v>400000</v>
      </c>
      <c r="C8" s="101">
        <v>360000</v>
      </c>
      <c r="D8">
        <v>10</v>
      </c>
      <c r="F8" s="95">
        <f>F7-G7</f>
        <v>120000</v>
      </c>
      <c r="G8" s="101"/>
      <c r="J8" s="106">
        <f>SUM(J5:J7)</f>
        <v>500000</v>
      </c>
      <c r="K8" s="107">
        <f>SUM(K5:K7)</f>
        <v>200000</v>
      </c>
    </row>
    <row r="9" spans="1:12" x14ac:dyDescent="0.25">
      <c r="B9" s="102"/>
      <c r="C9" s="101"/>
      <c r="F9" s="102"/>
      <c r="G9" s="101"/>
      <c r="J9" s="102">
        <f>J8-K8</f>
        <v>300000</v>
      </c>
      <c r="K9" s="101"/>
    </row>
    <row r="10" spans="1:12" x14ac:dyDescent="0.25">
      <c r="C10" s="101"/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635000</v>
      </c>
      <c r="C13" s="107">
        <f>SUM(C5:C12)</f>
        <v>591200</v>
      </c>
      <c r="F13" s="102"/>
      <c r="G13" s="101"/>
      <c r="J13" s="102"/>
      <c r="K13" s="101"/>
    </row>
    <row r="14" spans="1:12" x14ac:dyDescent="0.25">
      <c r="B14" s="102">
        <f>B13-C13</f>
        <v>43800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1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1" x14ac:dyDescent="0.25">
      <c r="A18" t="s">
        <v>132</v>
      </c>
      <c r="B18" s="106">
        <v>20000</v>
      </c>
      <c r="C18" s="107"/>
      <c r="E18" t="s">
        <v>132</v>
      </c>
      <c r="F18" s="103">
        <v>180000</v>
      </c>
      <c r="G18" s="104"/>
      <c r="K18" s="100">
        <v>9000</v>
      </c>
    </row>
    <row r="19" spans="1:11" x14ac:dyDescent="0.25">
      <c r="B19" s="102"/>
      <c r="C19" s="101"/>
      <c r="E19">
        <v>10</v>
      </c>
      <c r="F19" s="102">
        <v>360000</v>
      </c>
      <c r="G19" s="101"/>
      <c r="J19" s="103"/>
      <c r="K19" s="104">
        <v>3000</v>
      </c>
    </row>
    <row r="20" spans="1:11" x14ac:dyDescent="0.25">
      <c r="B20" s="102"/>
      <c r="C20" s="101"/>
      <c r="G20" s="101"/>
      <c r="J20" s="102"/>
      <c r="K20" s="101">
        <f>SUM(K18:K19)</f>
        <v>12000</v>
      </c>
    </row>
    <row r="21" spans="1:11" x14ac:dyDescent="0.25">
      <c r="B21" s="102"/>
      <c r="C21" s="101"/>
      <c r="F21" s="102">
        <f>SUM(F18:F19)</f>
        <v>540000</v>
      </c>
      <c r="G21" s="101"/>
      <c r="K21" s="101"/>
    </row>
    <row r="22" spans="1:11" x14ac:dyDescent="0.25">
      <c r="B22" s="102"/>
      <c r="C22" s="101"/>
      <c r="F22" s="102"/>
      <c r="G22" s="101"/>
      <c r="J22" s="102"/>
      <c r="K22" s="101"/>
    </row>
    <row r="23" spans="1:11" x14ac:dyDescent="0.25">
      <c r="B23" s="102"/>
      <c r="C23" s="101"/>
      <c r="F23" s="102"/>
      <c r="G23" s="101"/>
      <c r="J23" s="102"/>
      <c r="K23" s="101"/>
    </row>
    <row r="24" spans="1:11" x14ac:dyDescent="0.25">
      <c r="B24" s="102"/>
      <c r="C24" s="101"/>
      <c r="F24" s="102"/>
      <c r="G24" s="101"/>
      <c r="J24" s="102"/>
      <c r="K24" s="101"/>
    </row>
    <row r="25" spans="1:11" x14ac:dyDescent="0.25">
      <c r="B25" s="102"/>
      <c r="C25" s="101"/>
      <c r="F25" s="102"/>
      <c r="G25" s="101"/>
      <c r="J25" s="102"/>
      <c r="K25" s="101"/>
    </row>
    <row r="26" spans="1:11" x14ac:dyDescent="0.25">
      <c r="B26" s="102"/>
      <c r="C26" s="102"/>
      <c r="F26" s="102"/>
      <c r="G26" s="102"/>
      <c r="J26" s="102"/>
      <c r="K26" s="102"/>
    </row>
    <row r="27" spans="1:11" x14ac:dyDescent="0.25">
      <c r="B27" s="99" t="s">
        <v>14</v>
      </c>
      <c r="C27" s="99"/>
      <c r="F27" s="99"/>
      <c r="G27" s="99"/>
      <c r="J27" s="99"/>
      <c r="K27" s="99"/>
    </row>
    <row r="28" spans="1:11" x14ac:dyDescent="0.25">
      <c r="B28" s="106"/>
      <c r="C28" s="107"/>
      <c r="F28" s="102"/>
      <c r="G28" s="101"/>
      <c r="K28" s="101"/>
    </row>
    <row r="29" spans="1:11" x14ac:dyDescent="0.25">
      <c r="B29" s="102"/>
      <c r="C29" s="101"/>
      <c r="F29" s="103"/>
      <c r="G29" s="104"/>
      <c r="J29" s="102"/>
      <c r="K29" s="101"/>
    </row>
    <row r="30" spans="1:11" x14ac:dyDescent="0.25">
      <c r="B30" s="102"/>
      <c r="C30" s="101"/>
      <c r="F30" s="102"/>
      <c r="G30" s="101"/>
      <c r="K30" s="101"/>
    </row>
    <row r="31" spans="1:11" x14ac:dyDescent="0.25">
      <c r="B31" s="102"/>
      <c r="C31" s="101"/>
      <c r="F31" s="102"/>
      <c r="G31" s="101"/>
      <c r="J31" s="102"/>
      <c r="K31" s="101"/>
    </row>
    <row r="32" spans="1:11" x14ac:dyDescent="0.25">
      <c r="B32" s="102"/>
      <c r="C32" s="101"/>
      <c r="F32" s="102"/>
      <c r="G32" s="101"/>
      <c r="J32" s="102"/>
      <c r="K32" s="101"/>
    </row>
    <row r="33" spans="2:11" x14ac:dyDescent="0.25">
      <c r="B33" s="102"/>
      <c r="C33" s="101"/>
      <c r="F33" s="102"/>
      <c r="G33" s="101"/>
      <c r="J33" s="102"/>
      <c r="K33" s="101"/>
    </row>
    <row r="34" spans="2:11" x14ac:dyDescent="0.25">
      <c r="B34" s="102"/>
      <c r="C34" s="101"/>
      <c r="F34" s="102"/>
      <c r="G34" s="101"/>
      <c r="J34" s="102"/>
      <c r="K34" s="101"/>
    </row>
    <row r="35" spans="2:11" x14ac:dyDescent="0.25">
      <c r="B35" s="102"/>
      <c r="C35" s="101"/>
      <c r="F35" s="102"/>
      <c r="G35" s="101"/>
      <c r="J35" s="102"/>
      <c r="K35" s="101"/>
    </row>
    <row r="37" spans="2:11" x14ac:dyDescent="0.25">
      <c r="B37" s="99" t="s">
        <v>16</v>
      </c>
      <c r="C37" s="99"/>
      <c r="F37" s="99" t="s">
        <v>17</v>
      </c>
      <c r="G37" s="99"/>
    </row>
    <row r="38" spans="2:11" x14ac:dyDescent="0.25">
      <c r="B38" s="108"/>
      <c r="C38" s="107"/>
      <c r="F38" s="102"/>
      <c r="G38" s="100"/>
    </row>
    <row r="39" spans="2:11" x14ac:dyDescent="0.25">
      <c r="B39" s="106"/>
      <c r="C39" s="107"/>
      <c r="F39" s="102"/>
      <c r="G39" s="101"/>
    </row>
    <row r="40" spans="2:11" x14ac:dyDescent="0.25">
      <c r="B40" s="102"/>
      <c r="C40" s="101"/>
      <c r="F40" s="103"/>
      <c r="G40" s="104"/>
    </row>
    <row r="41" spans="2:11" x14ac:dyDescent="0.25">
      <c r="B41" s="102"/>
      <c r="C41" s="101"/>
      <c r="F41" s="102"/>
      <c r="G41" s="101"/>
    </row>
    <row r="42" spans="2:11" x14ac:dyDescent="0.25">
      <c r="B42" s="102"/>
      <c r="C42" s="101"/>
      <c r="F42" s="102"/>
      <c r="G42" s="101"/>
    </row>
    <row r="43" spans="2:11" x14ac:dyDescent="0.25">
      <c r="B43" s="102"/>
      <c r="C43" s="101"/>
      <c r="F43" s="102"/>
      <c r="G43" s="101"/>
    </row>
    <row r="44" spans="2:11" x14ac:dyDescent="0.25">
      <c r="B44" s="102"/>
      <c r="C44" s="101"/>
      <c r="F44" s="102"/>
      <c r="G44" s="101"/>
    </row>
    <row r="45" spans="2:11" x14ac:dyDescent="0.25">
      <c r="B45" s="102"/>
      <c r="C45" s="101"/>
      <c r="F45" s="102"/>
      <c r="G45" s="101"/>
    </row>
    <row r="46" spans="2:11" x14ac:dyDescent="0.25">
      <c r="G46" s="109"/>
      <c r="H46" s="115"/>
    </row>
    <row r="47" spans="2:11" x14ac:dyDescent="0.25">
      <c r="B47" s="96" t="s">
        <v>2</v>
      </c>
      <c r="F47" s="97">
        <f>C54+G53+K54+G60+K63+G72+K73</f>
        <v>1011800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3</v>
      </c>
      <c r="B50" s="95">
        <v>105000</v>
      </c>
      <c r="C50" s="100">
        <v>150000</v>
      </c>
      <c r="D50" t="s">
        <v>132</v>
      </c>
      <c r="G50" s="100">
        <v>60000</v>
      </c>
      <c r="H50" s="114" t="s">
        <v>132</v>
      </c>
      <c r="I50" s="114">
        <v>3</v>
      </c>
      <c r="J50" s="95">
        <v>75000</v>
      </c>
      <c r="K50" s="100">
        <v>75000</v>
      </c>
      <c r="L50" s="114" t="s">
        <v>132</v>
      </c>
    </row>
    <row r="51" spans="1:19" x14ac:dyDescent="0.25">
      <c r="B51" s="102"/>
      <c r="C51" s="101">
        <v>250000</v>
      </c>
      <c r="D51">
        <v>5</v>
      </c>
      <c r="F51" s="103"/>
      <c r="G51" s="104">
        <v>400000</v>
      </c>
      <c r="H51" s="109">
        <v>9</v>
      </c>
      <c r="J51" s="102"/>
      <c r="K51" s="101">
        <v>45800</v>
      </c>
      <c r="L51" s="114">
        <v>7</v>
      </c>
    </row>
    <row r="52" spans="1:19" x14ac:dyDescent="0.25">
      <c r="B52" s="103"/>
      <c r="C52" s="104"/>
      <c r="F52" s="106"/>
      <c r="G52" s="107"/>
      <c r="J52" s="103"/>
      <c r="K52" s="104">
        <v>25000</v>
      </c>
      <c r="L52" s="114">
        <v>8</v>
      </c>
    </row>
    <row r="53" spans="1:19" x14ac:dyDescent="0.25">
      <c r="B53" s="106">
        <f>SUM(B50:B52)</f>
        <v>105000</v>
      </c>
      <c r="C53" s="107">
        <f>SUM(C50:C52)</f>
        <v>400000</v>
      </c>
      <c r="F53" s="102"/>
      <c r="G53" s="101">
        <f>SUM(G50:G52)</f>
        <v>460000</v>
      </c>
      <c r="J53" s="106">
        <f>SUM(J50:J52)</f>
        <v>75000</v>
      </c>
      <c r="K53" s="107">
        <f>SUM(K50:K52)</f>
        <v>145800</v>
      </c>
    </row>
    <row r="54" spans="1:19" x14ac:dyDescent="0.25">
      <c r="B54" s="102"/>
      <c r="C54" s="101">
        <f>C53-B53</f>
        <v>295000</v>
      </c>
      <c r="F54" s="102"/>
      <c r="G54" s="101"/>
      <c r="K54" s="101">
        <f>K53-J53</f>
        <v>70800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B60" s="106"/>
      <c r="C60" s="107"/>
      <c r="F60" s="103"/>
      <c r="G60" s="104">
        <v>100000</v>
      </c>
      <c r="H60" s="114" t="s">
        <v>132</v>
      </c>
      <c r="K60" s="100">
        <v>61000</v>
      </c>
      <c r="L60" s="114" t="s">
        <v>132</v>
      </c>
      <c r="N60" s="3"/>
      <c r="O60" s="3"/>
      <c r="S60" s="3"/>
    </row>
    <row r="61" spans="1:19" x14ac:dyDescent="0.25">
      <c r="B61" s="102"/>
      <c r="C61" s="100"/>
      <c r="F61" s="102"/>
      <c r="G61" s="101"/>
      <c r="J61" s="103"/>
      <c r="K61" s="104">
        <v>25000</v>
      </c>
      <c r="L61" s="114" t="s">
        <v>12</v>
      </c>
      <c r="N61" s="3"/>
      <c r="O61" s="3"/>
      <c r="S61" s="3"/>
    </row>
    <row r="62" spans="1:19" x14ac:dyDescent="0.25">
      <c r="B62" s="102"/>
      <c r="C62" s="101"/>
      <c r="F62" s="102"/>
      <c r="G62" s="101"/>
      <c r="J62" s="106"/>
      <c r="K62" s="107"/>
      <c r="N62" s="3"/>
      <c r="O62" s="3"/>
      <c r="S62" s="3"/>
    </row>
    <row r="63" spans="1:19" x14ac:dyDescent="0.25">
      <c r="C63" s="101"/>
      <c r="F63" s="102"/>
      <c r="G63" s="101"/>
      <c r="K63" s="101">
        <f>SUM(K60:K62)</f>
        <v>86000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F70" s="102"/>
      <c r="G70" s="100"/>
      <c r="J70" s="110"/>
      <c r="K70" s="100"/>
      <c r="N70" s="3"/>
      <c r="O70" s="3"/>
      <c r="S70" s="3"/>
    </row>
    <row r="71" spans="2:19" x14ac:dyDescent="0.25">
      <c r="F71" s="103"/>
      <c r="G71" s="104"/>
      <c r="J71" s="103"/>
      <c r="K71" s="104"/>
      <c r="N71" s="3"/>
      <c r="O71" s="3"/>
      <c r="S71" s="3"/>
    </row>
    <row r="72" spans="2:19" x14ac:dyDescent="0.25">
      <c r="F72" s="102"/>
      <c r="G72" s="101"/>
      <c r="J72" s="106"/>
      <c r="K72" s="107"/>
      <c r="N72" s="3"/>
      <c r="O72" s="3"/>
      <c r="S72" s="3"/>
    </row>
    <row r="73" spans="2:19" x14ac:dyDescent="0.25">
      <c r="G73" s="101"/>
      <c r="K73" s="101"/>
      <c r="N73" s="3"/>
      <c r="O73" s="3"/>
      <c r="S73" s="3"/>
    </row>
    <row r="74" spans="2:19" x14ac:dyDescent="0.25">
      <c r="F74" s="102"/>
      <c r="G74" s="101"/>
      <c r="J74" s="102"/>
      <c r="K74" s="101"/>
      <c r="N74" s="3"/>
      <c r="O74" s="3"/>
      <c r="S74" s="3"/>
    </row>
    <row r="75" spans="2:19" x14ac:dyDescent="0.25">
      <c r="F75" s="102"/>
      <c r="G75" s="101"/>
      <c r="J75" s="102"/>
      <c r="K75" s="101"/>
      <c r="N75" s="3"/>
      <c r="O75" s="3"/>
      <c r="S75" s="3"/>
    </row>
    <row r="76" spans="2:19" x14ac:dyDescent="0.25"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F77" s="102"/>
      <c r="G77" s="101"/>
      <c r="J77" s="102"/>
      <c r="K77" s="101"/>
      <c r="N77" s="3"/>
      <c r="O77" s="3"/>
      <c r="S77" s="3"/>
    </row>
    <row r="78" spans="2:19" x14ac:dyDescent="0.25">
      <c r="F78" s="102"/>
      <c r="G78" s="101"/>
      <c r="J78" s="102"/>
      <c r="K78" s="102"/>
      <c r="N78" s="3"/>
      <c r="O78" s="3"/>
      <c r="S78" s="3"/>
    </row>
    <row r="79" spans="2:19" x14ac:dyDescent="0.25">
      <c r="B79" s="96" t="s">
        <v>3</v>
      </c>
    </row>
    <row r="81" spans="1:4" x14ac:dyDescent="0.25">
      <c r="B81" s="131" t="s">
        <v>3</v>
      </c>
      <c r="C81" s="131"/>
    </row>
    <row r="82" spans="1:4" x14ac:dyDescent="0.25">
      <c r="A82">
        <v>4</v>
      </c>
      <c r="B82" s="111">
        <v>1200</v>
      </c>
      <c r="C82" s="100">
        <v>100000</v>
      </c>
      <c r="D82">
        <v>2</v>
      </c>
    </row>
    <row r="83" spans="1:4" x14ac:dyDescent="0.25">
      <c r="A83">
        <v>6</v>
      </c>
      <c r="B83" s="102">
        <v>3000</v>
      </c>
      <c r="C83" s="101"/>
    </row>
    <row r="84" spans="1:4" x14ac:dyDescent="0.25">
      <c r="A84">
        <v>7</v>
      </c>
      <c r="B84" s="102">
        <v>45800</v>
      </c>
      <c r="C84" s="101"/>
    </row>
    <row r="85" spans="1:4" x14ac:dyDescent="0.25">
      <c r="A85">
        <v>8</v>
      </c>
      <c r="B85" s="102">
        <v>25000</v>
      </c>
      <c r="C85" s="101"/>
    </row>
    <row r="86" spans="1:4" x14ac:dyDescent="0.25">
      <c r="C86" s="101"/>
    </row>
    <row r="87" spans="1:4" x14ac:dyDescent="0.25">
      <c r="B87" s="102"/>
      <c r="C87" s="101"/>
    </row>
    <row r="88" spans="1:4" x14ac:dyDescent="0.25">
      <c r="B88" s="103"/>
      <c r="C88" s="104"/>
    </row>
    <row r="89" spans="1:4" x14ac:dyDescent="0.25">
      <c r="B89" s="106">
        <f>SUM(B82:B88)</f>
        <v>75000</v>
      </c>
      <c r="C89" s="107">
        <f>SUM(C82:C88)</f>
        <v>100000</v>
      </c>
    </row>
    <row r="90" spans="1:4" x14ac:dyDescent="0.25">
      <c r="A90" t="s">
        <v>12</v>
      </c>
      <c r="B90" s="106">
        <f>C90</f>
        <v>25000</v>
      </c>
      <c r="C90" s="107">
        <f>C89-B89</f>
        <v>25000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showGridLines="0" zoomScale="98" zoomScaleNormal="98" workbookViewId="0">
      <selection activeCell="K65" sqref="K65"/>
    </sheetView>
  </sheetViews>
  <sheetFormatPr defaultRowHeight="15" x14ac:dyDescent="0.25"/>
  <cols>
    <col min="1" max="1" width="3.140625" bestFit="1" customWidth="1"/>
    <col min="2" max="2" width="12" style="95" customWidth="1"/>
    <col min="3" max="3" width="13.140625" style="95" customWidth="1"/>
    <col min="4" max="5" width="4.140625" bestFit="1" customWidth="1"/>
    <col min="6" max="6" width="13.5703125" style="95" customWidth="1"/>
    <col min="7" max="7" width="11.5703125" style="95" bestFit="1" customWidth="1"/>
    <col min="8" max="8" width="2.5703125" style="114" customWidth="1"/>
    <col min="9" max="9" width="3.140625" style="114" bestFit="1" customWidth="1"/>
    <col min="10" max="11" width="11.5703125" style="95" bestFit="1" customWidth="1"/>
    <col min="12" max="12" width="2" style="114" bestFit="1" customWidth="1"/>
    <col min="13" max="13" width="3.28515625" customWidth="1"/>
    <col min="16" max="16" width="8.5703125" customWidth="1"/>
    <col min="17" max="17" width="14.28515625" customWidth="1"/>
    <col min="20" max="21" width="3.28515625" customWidth="1"/>
    <col min="24" max="24" width="3" customWidth="1"/>
  </cols>
  <sheetData>
    <row r="2" spans="1:12" x14ac:dyDescent="0.25">
      <c r="B2" s="96" t="s">
        <v>0</v>
      </c>
      <c r="C2" s="97">
        <f>B14+F8+J9+B18+F18-K20+B29+F30-C39</f>
        <v>984000</v>
      </c>
    </row>
    <row r="4" spans="1:12" ht="15" customHeight="1" x14ac:dyDescent="0.25">
      <c r="B4" s="98" t="s">
        <v>61</v>
      </c>
      <c r="C4" s="99"/>
      <c r="F4" s="99" t="s">
        <v>217</v>
      </c>
      <c r="G4" s="99"/>
      <c r="J4" s="99" t="s">
        <v>6</v>
      </c>
      <c r="K4" s="99"/>
    </row>
    <row r="5" spans="1:12" x14ac:dyDescent="0.25">
      <c r="A5" t="s">
        <v>132</v>
      </c>
      <c r="B5" s="95">
        <v>43800</v>
      </c>
      <c r="C5" s="100">
        <v>365800</v>
      </c>
      <c r="D5">
        <v>3</v>
      </c>
      <c r="E5" t="s">
        <v>132</v>
      </c>
      <c r="F5" s="95">
        <v>120000</v>
      </c>
      <c r="G5" s="101">
        <v>120000</v>
      </c>
      <c r="H5" s="113">
        <v>1</v>
      </c>
      <c r="I5" s="114" t="s">
        <v>132</v>
      </c>
      <c r="J5" s="102">
        <v>300000</v>
      </c>
      <c r="K5" s="100">
        <v>300000</v>
      </c>
      <c r="L5" s="113">
        <v>2</v>
      </c>
    </row>
    <row r="6" spans="1:12" x14ac:dyDescent="0.25">
      <c r="A6">
        <v>1</v>
      </c>
      <c r="B6" s="95">
        <v>120000</v>
      </c>
      <c r="C6" s="101">
        <v>150000</v>
      </c>
      <c r="D6">
        <v>4</v>
      </c>
      <c r="E6">
        <v>4</v>
      </c>
      <c r="F6" s="103">
        <v>80000</v>
      </c>
      <c r="G6" s="104"/>
      <c r="I6" s="115">
        <v>4</v>
      </c>
      <c r="J6" s="102">
        <v>350000</v>
      </c>
      <c r="K6" s="101"/>
    </row>
    <row r="7" spans="1:12" x14ac:dyDescent="0.25">
      <c r="A7">
        <v>2</v>
      </c>
      <c r="B7" s="95">
        <v>400000</v>
      </c>
      <c r="C7" s="101">
        <v>8000</v>
      </c>
      <c r="D7">
        <v>8</v>
      </c>
      <c r="F7" s="105">
        <f>SUM(F5:F6)</f>
        <v>200000</v>
      </c>
      <c r="G7" s="104">
        <f>SUM(G5:G6)</f>
        <v>120000</v>
      </c>
      <c r="J7" s="103"/>
      <c r="K7" s="104"/>
    </row>
    <row r="8" spans="1:12" x14ac:dyDescent="0.25">
      <c r="A8">
        <v>10</v>
      </c>
      <c r="B8" s="95">
        <v>80000</v>
      </c>
      <c r="C8" s="101">
        <v>12000</v>
      </c>
      <c r="D8">
        <v>9</v>
      </c>
      <c r="F8" s="95">
        <f>F7-G7</f>
        <v>80000</v>
      </c>
      <c r="G8" s="101"/>
      <c r="J8" s="105">
        <f>SUM(J5:J7)</f>
        <v>650000</v>
      </c>
      <c r="K8" s="104">
        <f>SUM(K5:K7)</f>
        <v>300000</v>
      </c>
    </row>
    <row r="9" spans="1:12" x14ac:dyDescent="0.25">
      <c r="B9" s="102"/>
      <c r="C9" s="101">
        <v>100000</v>
      </c>
      <c r="D9">
        <v>11</v>
      </c>
      <c r="F9" s="102"/>
      <c r="G9" s="101"/>
      <c r="J9" s="95">
        <f>J8-K8</f>
        <v>350000</v>
      </c>
      <c r="K9" s="101"/>
    </row>
    <row r="10" spans="1:12" x14ac:dyDescent="0.25">
      <c r="C10" s="101">
        <v>5000</v>
      </c>
      <c r="D10">
        <v>12</v>
      </c>
      <c r="F10" s="102"/>
      <c r="G10" s="101"/>
      <c r="K10" s="101"/>
    </row>
    <row r="11" spans="1:12" x14ac:dyDescent="0.25">
      <c r="C11" s="101"/>
      <c r="F11" s="102"/>
      <c r="G11" s="101"/>
      <c r="K11" s="101"/>
    </row>
    <row r="12" spans="1:12" x14ac:dyDescent="0.25">
      <c r="C12" s="104"/>
      <c r="F12" s="102"/>
      <c r="G12" s="101"/>
      <c r="J12" s="102"/>
      <c r="K12" s="101"/>
    </row>
    <row r="13" spans="1:12" x14ac:dyDescent="0.25">
      <c r="B13" s="106">
        <f>SUM(B5:B12)</f>
        <v>643800</v>
      </c>
      <c r="C13" s="107">
        <f>SUM(C5:C12)</f>
        <v>640800</v>
      </c>
      <c r="F13" s="102"/>
      <c r="G13" s="101"/>
      <c r="J13" s="102"/>
      <c r="K13" s="101"/>
    </row>
    <row r="14" spans="1:12" x14ac:dyDescent="0.25">
      <c r="B14" s="102">
        <f>B13-C13</f>
        <v>3000</v>
      </c>
      <c r="C14" s="101"/>
      <c r="F14" s="102"/>
      <c r="G14" s="101"/>
      <c r="J14" s="102"/>
      <c r="K14" s="101"/>
    </row>
    <row r="15" spans="1:12" x14ac:dyDescent="0.25">
      <c r="B15" s="102"/>
      <c r="C15" s="101"/>
      <c r="F15" s="102"/>
      <c r="G15" s="101"/>
      <c r="J15" s="102"/>
      <c r="K15" s="101"/>
    </row>
    <row r="17" spans="1:12" x14ac:dyDescent="0.25">
      <c r="B17" s="99" t="s">
        <v>5</v>
      </c>
      <c r="C17" s="99"/>
      <c r="F17" s="99" t="s">
        <v>9</v>
      </c>
      <c r="G17" s="99"/>
      <c r="J17" s="99" t="s">
        <v>11</v>
      </c>
      <c r="K17" s="99"/>
    </row>
    <row r="18" spans="1:12" x14ac:dyDescent="0.25">
      <c r="A18" t="s">
        <v>132</v>
      </c>
      <c r="B18" s="106">
        <v>20000</v>
      </c>
      <c r="C18" s="107"/>
      <c r="E18" t="s">
        <v>132</v>
      </c>
      <c r="F18" s="105">
        <v>540000</v>
      </c>
      <c r="G18" s="104"/>
      <c r="K18" s="100">
        <v>12000</v>
      </c>
      <c r="L18" s="114" t="s">
        <v>132</v>
      </c>
    </row>
    <row r="19" spans="1:12" x14ac:dyDescent="0.25">
      <c r="B19" s="102"/>
      <c r="C19" s="101"/>
      <c r="F19" s="102"/>
      <c r="G19" s="101"/>
      <c r="J19" s="103"/>
      <c r="K19" s="104">
        <v>9000</v>
      </c>
      <c r="L19" s="114">
        <v>5</v>
      </c>
    </row>
    <row r="20" spans="1:12" x14ac:dyDescent="0.25">
      <c r="B20" s="102"/>
      <c r="C20" s="101"/>
      <c r="F20" s="102"/>
      <c r="G20" s="101"/>
      <c r="J20" s="102"/>
      <c r="K20" s="101">
        <f>SUM(K18:K19)</f>
        <v>21000</v>
      </c>
    </row>
    <row r="21" spans="1:12" x14ac:dyDescent="0.25">
      <c r="B21" s="102"/>
      <c r="C21" s="101"/>
      <c r="F21" s="102"/>
      <c r="G21" s="101"/>
      <c r="K21" s="101"/>
    </row>
    <row r="22" spans="1:12" x14ac:dyDescent="0.25">
      <c r="B22" s="102"/>
      <c r="C22" s="101"/>
      <c r="F22" s="102"/>
      <c r="G22" s="101"/>
      <c r="J22" s="102"/>
      <c r="K22" s="101"/>
    </row>
    <row r="23" spans="1:12" x14ac:dyDescent="0.25">
      <c r="B23" s="102"/>
      <c r="C23" s="101"/>
      <c r="F23" s="102"/>
      <c r="G23" s="101"/>
      <c r="J23" s="102"/>
      <c r="K23" s="101"/>
    </row>
    <row r="24" spans="1:12" x14ac:dyDescent="0.25">
      <c r="B24" s="102"/>
      <c r="C24" s="101"/>
      <c r="F24" s="102"/>
      <c r="G24" s="101"/>
      <c r="J24" s="102"/>
      <c r="K24" s="101"/>
    </row>
    <row r="25" spans="1:12" x14ac:dyDescent="0.25">
      <c r="B25" s="102"/>
      <c r="C25" s="101"/>
      <c r="F25" s="102"/>
      <c r="G25" s="101"/>
      <c r="J25" s="102"/>
      <c r="K25" s="101"/>
    </row>
    <row r="26" spans="1:12" x14ac:dyDescent="0.25">
      <c r="B26" s="102"/>
      <c r="C26" s="102"/>
      <c r="F26" s="102"/>
      <c r="G26" s="102"/>
      <c r="J26" s="102"/>
      <c r="K26" s="102"/>
    </row>
    <row r="27" spans="1:12" x14ac:dyDescent="0.25">
      <c r="B27" s="99" t="s">
        <v>14</v>
      </c>
      <c r="C27" s="99"/>
      <c r="F27" s="99"/>
      <c r="G27" s="99"/>
    </row>
    <row r="28" spans="1:12" x14ac:dyDescent="0.25">
      <c r="A28">
        <v>9</v>
      </c>
      <c r="B28" s="106">
        <v>12000</v>
      </c>
      <c r="C28" s="107"/>
      <c r="F28" s="102"/>
      <c r="G28" s="101"/>
    </row>
    <row r="29" spans="1:12" x14ac:dyDescent="0.25">
      <c r="B29" s="102">
        <f>SUM(B28)</f>
        <v>12000</v>
      </c>
      <c r="C29" s="101"/>
      <c r="F29" s="103"/>
      <c r="G29" s="104"/>
    </row>
    <row r="30" spans="1:12" x14ac:dyDescent="0.25">
      <c r="B30" s="102"/>
      <c r="C30" s="101"/>
      <c r="F30" s="102"/>
      <c r="G30" s="101"/>
    </row>
    <row r="31" spans="1:12" x14ac:dyDescent="0.25">
      <c r="B31" s="102"/>
      <c r="C31" s="101"/>
      <c r="F31" s="102"/>
      <c r="G31" s="101"/>
    </row>
    <row r="32" spans="1:12" x14ac:dyDescent="0.25">
      <c r="B32" s="102"/>
      <c r="C32" s="101"/>
      <c r="F32" s="102"/>
      <c r="G32" s="101"/>
    </row>
    <row r="33" spans="2:8" x14ac:dyDescent="0.25">
      <c r="B33" s="102"/>
      <c r="C33" s="101"/>
      <c r="F33" s="102"/>
      <c r="G33" s="101"/>
    </row>
    <row r="34" spans="2:8" x14ac:dyDescent="0.25">
      <c r="B34" s="102"/>
      <c r="C34" s="101"/>
      <c r="F34" s="102"/>
      <c r="G34" s="101"/>
    </row>
    <row r="35" spans="2:8" x14ac:dyDescent="0.25">
      <c r="B35" s="102"/>
      <c r="C35" s="101"/>
      <c r="F35" s="102"/>
      <c r="G35" s="101"/>
    </row>
    <row r="37" spans="2:8" x14ac:dyDescent="0.25">
      <c r="B37" s="99" t="s">
        <v>16</v>
      </c>
      <c r="C37" s="99"/>
      <c r="F37" s="99" t="s">
        <v>17</v>
      </c>
      <c r="G37" s="99"/>
    </row>
    <row r="38" spans="2:8" x14ac:dyDescent="0.25">
      <c r="B38" s="108"/>
      <c r="C38" s="107"/>
      <c r="F38" s="102"/>
      <c r="G38" s="100"/>
    </row>
    <row r="39" spans="2:8" x14ac:dyDescent="0.25">
      <c r="B39" s="106"/>
      <c r="C39" s="107"/>
      <c r="F39" s="102"/>
      <c r="G39" s="101"/>
    </row>
    <row r="40" spans="2:8" x14ac:dyDescent="0.25">
      <c r="B40" s="102"/>
      <c r="C40" s="101"/>
      <c r="F40" s="103"/>
      <c r="G40" s="104"/>
    </row>
    <row r="41" spans="2:8" x14ac:dyDescent="0.25">
      <c r="B41" s="102"/>
      <c r="C41" s="101"/>
      <c r="F41" s="102"/>
      <c r="G41" s="101"/>
    </row>
    <row r="42" spans="2:8" x14ac:dyDescent="0.25">
      <c r="B42" s="102"/>
      <c r="C42" s="101"/>
      <c r="F42" s="102"/>
      <c r="G42" s="101"/>
    </row>
    <row r="43" spans="2:8" x14ac:dyDescent="0.25">
      <c r="B43" s="102"/>
      <c r="C43" s="101"/>
      <c r="F43" s="102"/>
      <c r="G43" s="101"/>
    </row>
    <row r="44" spans="2:8" x14ac:dyDescent="0.25">
      <c r="B44" s="102"/>
      <c r="C44" s="101"/>
      <c r="F44" s="102"/>
      <c r="G44" s="101"/>
    </row>
    <row r="45" spans="2:8" x14ac:dyDescent="0.25">
      <c r="B45" s="102"/>
      <c r="C45" s="101"/>
      <c r="F45" s="102"/>
      <c r="G45" s="101"/>
    </row>
    <row r="46" spans="2:8" x14ac:dyDescent="0.25">
      <c r="G46" s="109"/>
      <c r="H46" s="115"/>
    </row>
    <row r="47" spans="2:8" x14ac:dyDescent="0.25">
      <c r="B47" s="96" t="s">
        <v>2</v>
      </c>
      <c r="F47" s="97">
        <f>C54+G53+K54+G60+K63+G72+K73+C72</f>
        <v>984000</v>
      </c>
      <c r="G47" s="109">
        <f>C2-F47</f>
        <v>0</v>
      </c>
      <c r="H47" s="115"/>
    </row>
    <row r="49" spans="1:19" x14ac:dyDescent="0.25">
      <c r="B49" s="99" t="s">
        <v>7</v>
      </c>
      <c r="C49" s="99"/>
      <c r="F49" s="99" t="s">
        <v>8</v>
      </c>
      <c r="G49" s="99"/>
      <c r="J49" s="99" t="s">
        <v>70</v>
      </c>
      <c r="K49" s="99"/>
    </row>
    <row r="50" spans="1:19" x14ac:dyDescent="0.25">
      <c r="A50">
        <v>3</v>
      </c>
      <c r="B50" s="95">
        <v>295000</v>
      </c>
      <c r="C50" s="100">
        <v>295000</v>
      </c>
      <c r="D50" t="s">
        <v>132</v>
      </c>
      <c r="E50">
        <v>11</v>
      </c>
      <c r="F50" s="95">
        <v>100000</v>
      </c>
      <c r="G50" s="100">
        <v>460000</v>
      </c>
      <c r="H50" s="114" t="s">
        <v>132</v>
      </c>
      <c r="I50" s="114">
        <v>3</v>
      </c>
      <c r="J50" s="95">
        <v>70800</v>
      </c>
      <c r="K50" s="100">
        <v>70800</v>
      </c>
      <c r="L50" s="114" t="s">
        <v>132</v>
      </c>
    </row>
    <row r="51" spans="1:19" x14ac:dyDescent="0.25">
      <c r="B51" s="102"/>
      <c r="C51" s="101">
        <v>200000</v>
      </c>
      <c r="D51">
        <v>4</v>
      </c>
      <c r="F51" s="103"/>
      <c r="G51" s="104"/>
      <c r="H51" s="115"/>
      <c r="J51" s="102"/>
      <c r="K51" s="101">
        <v>110000</v>
      </c>
      <c r="L51" s="114">
        <v>6</v>
      </c>
    </row>
    <row r="52" spans="1:19" x14ac:dyDescent="0.25">
      <c r="B52" s="103"/>
      <c r="C52" s="104"/>
      <c r="F52" s="106"/>
      <c r="G52" s="107"/>
      <c r="J52" s="103"/>
      <c r="K52" s="104">
        <v>35000</v>
      </c>
      <c r="L52" s="114">
        <v>7</v>
      </c>
    </row>
    <row r="53" spans="1:19" x14ac:dyDescent="0.25">
      <c r="B53" s="106">
        <f>SUM(B50:B52)</f>
        <v>295000</v>
      </c>
      <c r="C53" s="107">
        <f>SUM(C50:C52)</f>
        <v>495000</v>
      </c>
      <c r="F53" s="102"/>
      <c r="G53" s="101">
        <f>G50-F50</f>
        <v>360000</v>
      </c>
      <c r="J53" s="106">
        <f>SUM(J50:J52)</f>
        <v>70800</v>
      </c>
      <c r="K53" s="107">
        <f>SUM(K50:K52)</f>
        <v>215800</v>
      </c>
    </row>
    <row r="54" spans="1:19" x14ac:dyDescent="0.25">
      <c r="B54" s="102"/>
      <c r="C54" s="101">
        <f>C53-B53</f>
        <v>200000</v>
      </c>
      <c r="F54" s="102"/>
      <c r="G54" s="101"/>
      <c r="K54" s="101">
        <f>K53-J53</f>
        <v>145000</v>
      </c>
    </row>
    <row r="55" spans="1:19" x14ac:dyDescent="0.25">
      <c r="B55" s="102"/>
      <c r="C55" s="101"/>
      <c r="F55" s="102"/>
      <c r="G55" s="101"/>
      <c r="J55" s="102"/>
      <c r="K55" s="101"/>
    </row>
    <row r="56" spans="1:19" x14ac:dyDescent="0.25">
      <c r="B56" s="102"/>
      <c r="C56" s="101"/>
      <c r="F56" s="102"/>
      <c r="G56" s="101"/>
      <c r="J56" s="102"/>
      <c r="K56" s="101"/>
    </row>
    <row r="57" spans="1:19" x14ac:dyDescent="0.25">
      <c r="B57" s="102"/>
      <c r="C57" s="101"/>
      <c r="F57" s="102"/>
      <c r="G57" s="101"/>
      <c r="J57" s="102"/>
      <c r="K57" s="101"/>
    </row>
    <row r="58" spans="1:19" x14ac:dyDescent="0.25">
      <c r="B58" s="102"/>
      <c r="C58" s="102"/>
      <c r="F58" s="102"/>
      <c r="G58" s="102"/>
      <c r="J58" s="102"/>
      <c r="K58" s="102"/>
      <c r="N58" s="3"/>
      <c r="O58" s="3"/>
      <c r="S58" s="3"/>
    </row>
    <row r="59" spans="1:19" x14ac:dyDescent="0.25">
      <c r="B59" s="99" t="s">
        <v>15</v>
      </c>
      <c r="C59" s="99"/>
      <c r="F59" s="99" t="s">
        <v>4</v>
      </c>
      <c r="G59" s="99"/>
      <c r="J59" s="99" t="s">
        <v>10</v>
      </c>
      <c r="K59" s="99"/>
      <c r="N59" s="3"/>
      <c r="O59" s="3"/>
      <c r="S59" s="3"/>
    </row>
    <row r="60" spans="1:19" x14ac:dyDescent="0.25">
      <c r="B60" s="106"/>
      <c r="C60" s="107"/>
      <c r="F60" s="103"/>
      <c r="G60" s="104">
        <v>100000</v>
      </c>
      <c r="H60" s="114" t="s">
        <v>132</v>
      </c>
      <c r="I60" s="114">
        <v>12</v>
      </c>
      <c r="J60" s="95">
        <v>5000</v>
      </c>
      <c r="K60" s="100">
        <v>86000</v>
      </c>
      <c r="L60" s="114" t="s">
        <v>132</v>
      </c>
      <c r="N60" s="3"/>
      <c r="O60" s="3"/>
      <c r="S60" s="3"/>
    </row>
    <row r="61" spans="1:19" x14ac:dyDescent="0.25">
      <c r="B61" s="102"/>
      <c r="C61" s="100"/>
      <c r="F61" s="102"/>
      <c r="G61" s="101"/>
      <c r="J61" s="103"/>
      <c r="K61" s="104">
        <v>18000</v>
      </c>
      <c r="L61" s="114" t="s">
        <v>12</v>
      </c>
      <c r="N61" s="3"/>
      <c r="O61" s="3"/>
      <c r="S61" s="3"/>
    </row>
    <row r="62" spans="1:19" x14ac:dyDescent="0.25">
      <c r="B62" s="102"/>
      <c r="C62" s="101"/>
      <c r="F62" s="102"/>
      <c r="G62" s="101"/>
      <c r="J62" s="106">
        <f>SUM(J60:J61)</f>
        <v>5000</v>
      </c>
      <c r="K62" s="107">
        <f>SUM(K60:K61)</f>
        <v>104000</v>
      </c>
      <c r="N62" s="3"/>
      <c r="O62" s="3"/>
      <c r="S62" s="3"/>
    </row>
    <row r="63" spans="1:19" x14ac:dyDescent="0.25">
      <c r="C63" s="101"/>
      <c r="F63" s="102"/>
      <c r="G63" s="101"/>
      <c r="K63" s="101">
        <f>K62-J62</f>
        <v>99000</v>
      </c>
      <c r="N63" s="3"/>
      <c r="O63" s="3"/>
      <c r="S63" s="3"/>
    </row>
    <row r="64" spans="1:19" x14ac:dyDescent="0.25">
      <c r="B64" s="102"/>
      <c r="C64" s="101"/>
      <c r="F64" s="102"/>
      <c r="G64" s="101"/>
      <c r="J64" s="102"/>
      <c r="K64" s="101"/>
      <c r="N64" s="3"/>
      <c r="O64" s="3"/>
      <c r="S64" s="3"/>
    </row>
    <row r="65" spans="2:19" x14ac:dyDescent="0.25">
      <c r="B65" s="102"/>
      <c r="C65" s="101"/>
      <c r="F65" s="102"/>
      <c r="G65" s="101"/>
      <c r="K65" s="101"/>
      <c r="N65" s="3"/>
      <c r="O65" s="3"/>
      <c r="S65" s="3"/>
    </row>
    <row r="66" spans="2:19" x14ac:dyDescent="0.25">
      <c r="B66" s="102"/>
      <c r="C66" s="101"/>
      <c r="F66" s="102"/>
      <c r="G66" s="101"/>
      <c r="K66" s="101"/>
      <c r="N66" s="3"/>
      <c r="O66" s="3"/>
      <c r="S66" s="3"/>
    </row>
    <row r="67" spans="2:19" x14ac:dyDescent="0.25">
      <c r="B67" s="102"/>
      <c r="C67" s="101"/>
      <c r="F67" s="102"/>
      <c r="G67" s="101"/>
      <c r="K67" s="101"/>
      <c r="N67" s="3"/>
      <c r="O67" s="3"/>
      <c r="S67" s="3"/>
    </row>
    <row r="68" spans="2:19" x14ac:dyDescent="0.25">
      <c r="B68" s="102"/>
      <c r="C68" s="102"/>
      <c r="F68" s="102"/>
      <c r="G68" s="102"/>
      <c r="K68" s="102"/>
      <c r="N68" s="3"/>
      <c r="O68" s="3"/>
      <c r="S68" s="3"/>
    </row>
    <row r="69" spans="2:19" x14ac:dyDescent="0.25">
      <c r="B69" s="99" t="s">
        <v>218</v>
      </c>
      <c r="C69" s="99"/>
      <c r="F69" s="99" t="s">
        <v>18</v>
      </c>
      <c r="G69" s="99"/>
      <c r="J69" s="99" t="s">
        <v>19</v>
      </c>
      <c r="K69" s="99"/>
      <c r="N69" s="3"/>
      <c r="O69" s="3"/>
      <c r="S69" s="3"/>
    </row>
    <row r="70" spans="2:19" x14ac:dyDescent="0.25">
      <c r="C70" s="101">
        <v>80000</v>
      </c>
      <c r="D70">
        <v>10</v>
      </c>
      <c r="F70" s="102"/>
      <c r="G70" s="100"/>
      <c r="J70" s="110"/>
      <c r="K70" s="100"/>
      <c r="N70" s="3"/>
      <c r="O70" s="3"/>
      <c r="S70" s="3"/>
    </row>
    <row r="71" spans="2:19" x14ac:dyDescent="0.25">
      <c r="B71" s="103"/>
      <c r="C71" s="104"/>
      <c r="F71" s="103"/>
      <c r="G71" s="104"/>
      <c r="J71" s="103"/>
      <c r="K71" s="104"/>
      <c r="N71" s="3"/>
      <c r="O71" s="3"/>
      <c r="S71" s="3"/>
    </row>
    <row r="72" spans="2:19" x14ac:dyDescent="0.25">
      <c r="B72" s="102"/>
      <c r="C72" s="101">
        <f>SUM(C70:C71)</f>
        <v>80000</v>
      </c>
      <c r="F72" s="102"/>
      <c r="G72" s="101"/>
      <c r="J72" s="106"/>
      <c r="K72" s="107"/>
      <c r="N72" s="3"/>
      <c r="O72" s="3"/>
      <c r="S72" s="3"/>
    </row>
    <row r="73" spans="2:19" x14ac:dyDescent="0.25">
      <c r="B73" s="102"/>
      <c r="C73" s="101"/>
      <c r="G73" s="101"/>
      <c r="K73" s="101"/>
      <c r="N73" s="3"/>
      <c r="O73" s="3"/>
      <c r="S73" s="3"/>
    </row>
    <row r="74" spans="2:19" x14ac:dyDescent="0.25">
      <c r="B74" s="102"/>
      <c r="C74" s="101"/>
      <c r="F74" s="102"/>
      <c r="G74" s="101"/>
      <c r="J74" s="102"/>
      <c r="K74" s="101"/>
      <c r="N74" s="3"/>
      <c r="O74" s="3"/>
      <c r="S74" s="3"/>
    </row>
    <row r="75" spans="2:19" x14ac:dyDescent="0.25">
      <c r="B75" s="102"/>
      <c r="C75" s="101"/>
      <c r="F75" s="102"/>
      <c r="G75" s="101"/>
      <c r="J75" s="102"/>
      <c r="K75" s="101"/>
      <c r="N75" s="3"/>
      <c r="O75" s="3"/>
      <c r="S75" s="3"/>
    </row>
    <row r="76" spans="2:19" x14ac:dyDescent="0.25">
      <c r="B76" s="102"/>
      <c r="C76" s="101"/>
      <c r="F76" s="102"/>
      <c r="G76" s="101"/>
      <c r="J76" s="102"/>
      <c r="K76" s="101"/>
      <c r="N76" s="3"/>
      <c r="O76" s="3"/>
      <c r="S76" s="3"/>
    </row>
    <row r="77" spans="2:19" x14ac:dyDescent="0.25">
      <c r="B77" s="102"/>
      <c r="C77" s="101"/>
      <c r="F77" s="102"/>
      <c r="G77" s="101"/>
      <c r="J77" s="102"/>
      <c r="K77" s="101"/>
      <c r="N77" s="3"/>
      <c r="O77" s="3"/>
      <c r="S77" s="3"/>
    </row>
    <row r="78" spans="2:19" x14ac:dyDescent="0.25">
      <c r="F78" s="102"/>
      <c r="G78" s="101"/>
      <c r="J78" s="102"/>
      <c r="K78" s="102"/>
      <c r="N78" s="3"/>
      <c r="O78" s="3"/>
      <c r="S78" s="3"/>
    </row>
    <row r="79" spans="2:19" x14ac:dyDescent="0.25">
      <c r="B79" s="96" t="s">
        <v>3</v>
      </c>
    </row>
    <row r="81" spans="1:4" x14ac:dyDescent="0.25">
      <c r="B81" s="131" t="s">
        <v>3</v>
      </c>
      <c r="C81" s="131"/>
    </row>
    <row r="82" spans="1:4" x14ac:dyDescent="0.25">
      <c r="A82">
        <v>5</v>
      </c>
      <c r="B82" s="111">
        <v>9000</v>
      </c>
      <c r="C82" s="100">
        <v>180000</v>
      </c>
      <c r="D82">
        <v>2</v>
      </c>
    </row>
    <row r="83" spans="1:4" x14ac:dyDescent="0.25">
      <c r="A83">
        <v>6</v>
      </c>
      <c r="B83" s="102">
        <v>110000</v>
      </c>
      <c r="C83" s="101"/>
    </row>
    <row r="84" spans="1:4" x14ac:dyDescent="0.25">
      <c r="A84">
        <v>7</v>
      </c>
      <c r="B84" s="102">
        <v>35000</v>
      </c>
      <c r="C84" s="101"/>
    </row>
    <row r="85" spans="1:4" x14ac:dyDescent="0.25">
      <c r="A85">
        <v>8</v>
      </c>
      <c r="B85" s="102">
        <v>8000</v>
      </c>
      <c r="C85" s="101"/>
    </row>
    <row r="86" spans="1:4" x14ac:dyDescent="0.25">
      <c r="C86" s="101"/>
    </row>
    <row r="87" spans="1:4" x14ac:dyDescent="0.25">
      <c r="B87" s="102"/>
      <c r="C87" s="101"/>
    </row>
    <row r="88" spans="1:4" x14ac:dyDescent="0.25">
      <c r="B88" s="103"/>
      <c r="C88" s="104"/>
    </row>
    <row r="89" spans="1:4" x14ac:dyDescent="0.25">
      <c r="B89" s="106">
        <f>SUM(B82:B88)</f>
        <v>162000</v>
      </c>
      <c r="C89" s="107">
        <f>SUM(C82:C88)</f>
        <v>180000</v>
      </c>
    </row>
    <row r="90" spans="1:4" x14ac:dyDescent="0.25">
      <c r="A90" t="s">
        <v>12</v>
      </c>
      <c r="B90" s="106">
        <f>C90</f>
        <v>18000</v>
      </c>
      <c r="C90" s="107">
        <f>C89-B89</f>
        <v>18000</v>
      </c>
    </row>
    <row r="91" spans="1:4" x14ac:dyDescent="0.25">
      <c r="B91" s="102"/>
      <c r="C91" s="101"/>
    </row>
    <row r="92" spans="1:4" x14ac:dyDescent="0.25">
      <c r="C92" s="101"/>
    </row>
    <row r="93" spans="1:4" x14ac:dyDescent="0.25">
      <c r="C93" s="101"/>
    </row>
    <row r="94" spans="1:4" x14ac:dyDescent="0.25">
      <c r="C94" s="101"/>
    </row>
    <row r="95" spans="1:4" x14ac:dyDescent="0.25">
      <c r="C95" s="101"/>
    </row>
    <row r="96" spans="1:4" x14ac:dyDescent="0.25">
      <c r="C96" s="101"/>
    </row>
  </sheetData>
  <mergeCells count="1">
    <mergeCell ref="B81:C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</vt:i4>
      </vt:variant>
    </vt:vector>
  </HeadingPairs>
  <TitlesOfParts>
    <vt:vector size="17" baseType="lpstr">
      <vt:lpstr>ENUNCIADO II</vt:lpstr>
      <vt:lpstr>LANÇAMENTOS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CIA EXEMPLAR - DEMONSTR CONTÁBE</vt:lpstr>
      <vt:lpstr>'ENUNCIADO II'!_ftn1</vt:lpstr>
      <vt:lpstr>'ENUNCIADO II'!_ftnref1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Felipe Santos</cp:lastModifiedBy>
  <dcterms:created xsi:type="dcterms:W3CDTF">2016-05-23T16:30:59Z</dcterms:created>
  <dcterms:modified xsi:type="dcterms:W3CDTF">2017-05-16T22:58:04Z</dcterms:modified>
</cp:coreProperties>
</file>