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ropbox\FEARP\2017\ADC\tema 5 -Desempenho\"/>
    </mc:Choice>
  </mc:AlternateContent>
  <bookViews>
    <workbookView xWindow="120" yWindow="105" windowWidth="20730" windowHeight="11760"/>
  </bookViews>
  <sheets>
    <sheet name="Análise (completo)" sheetId="1" r:id="rId1"/>
    <sheet name="imprimir OK" sheetId="2" r:id="rId2"/>
  </sheets>
  <definedNames>
    <definedName name="_xlnm.Print_Area" localSheetId="0">'Análise (completo)'!#REF!</definedName>
  </definedNames>
  <calcPr calcId="152511" concurrentCalc="0"/>
</workbook>
</file>

<file path=xl/calcChain.xml><?xml version="1.0" encoding="utf-8"?>
<calcChain xmlns="http://schemas.openxmlformats.org/spreadsheetml/2006/main">
  <c r="AB75" i="1" l="1"/>
  <c r="AA75" i="1"/>
  <c r="AB67" i="1"/>
  <c r="AA67" i="1"/>
  <c r="AB68" i="1"/>
  <c r="AB80" i="1"/>
  <c r="AB76" i="1"/>
  <c r="AB78" i="1"/>
  <c r="AB79" i="1"/>
  <c r="AB81" i="1"/>
  <c r="AA68" i="1"/>
  <c r="AA80" i="1"/>
  <c r="AA76" i="1"/>
  <c r="AA78" i="1"/>
  <c r="AA79" i="1"/>
  <c r="AA81" i="1"/>
  <c r="AB74" i="1"/>
  <c r="AA74" i="1"/>
  <c r="AB72" i="1"/>
  <c r="AA72" i="1"/>
  <c r="AB71" i="1"/>
  <c r="AB70" i="1"/>
  <c r="AA70" i="1"/>
  <c r="AA57" i="1"/>
  <c r="AA71" i="1"/>
  <c r="AB66" i="1"/>
  <c r="AA66" i="1"/>
  <c r="AA61" i="1"/>
  <c r="AB63" i="1"/>
  <c r="AA63" i="1"/>
  <c r="AA46" i="1"/>
  <c r="AA41" i="1"/>
  <c r="AB18" i="1"/>
  <c r="AA18" i="1"/>
  <c r="Z18" i="1"/>
  <c r="AB8" i="1"/>
  <c r="AB9" i="1"/>
  <c r="AB10" i="1"/>
  <c r="AB12" i="1"/>
  <c r="AB13" i="1"/>
  <c r="AB14" i="1"/>
  <c r="AB16" i="1"/>
  <c r="AB15" i="1"/>
  <c r="AB17" i="1"/>
  <c r="AA8" i="1"/>
  <c r="AA9" i="1"/>
  <c r="AA10" i="1"/>
  <c r="AA12" i="1"/>
  <c r="AA13" i="1"/>
  <c r="AA14" i="1"/>
  <c r="AA16" i="1"/>
  <c r="AA15" i="1"/>
  <c r="AA17" i="1"/>
  <c r="Z8" i="1"/>
  <c r="Z9" i="1"/>
  <c r="Z10" i="1"/>
  <c r="Z12" i="1"/>
  <c r="Z13" i="1"/>
  <c r="Z14" i="1"/>
  <c r="Z16" i="1"/>
  <c r="Z15" i="1"/>
  <c r="Z17" i="1"/>
  <c r="Q15" i="1"/>
  <c r="Q12" i="1"/>
  <c r="Q14" i="1"/>
  <c r="D9" i="1"/>
  <c r="D19" i="1"/>
  <c r="R8" i="1"/>
  <c r="D24" i="1"/>
  <c r="D25" i="1"/>
  <c r="B19" i="1"/>
  <c r="B24" i="1"/>
  <c r="B25" i="1"/>
  <c r="I25" i="1"/>
  <c r="I24" i="1"/>
  <c r="I23" i="1"/>
  <c r="I22" i="1"/>
  <c r="I20" i="1"/>
  <c r="I19" i="1"/>
  <c r="I18" i="1"/>
  <c r="I17" i="1"/>
  <c r="I16" i="1"/>
  <c r="C19" i="1"/>
  <c r="C24" i="1"/>
  <c r="C25" i="1"/>
  <c r="F25" i="1"/>
  <c r="H25" i="1"/>
  <c r="F24" i="1"/>
  <c r="H24" i="1"/>
  <c r="F23" i="1"/>
  <c r="H23" i="1"/>
  <c r="F22" i="1"/>
  <c r="H22" i="1"/>
  <c r="F20" i="1"/>
  <c r="H20" i="1"/>
  <c r="F19" i="1"/>
  <c r="H19" i="1"/>
  <c r="F18" i="1"/>
  <c r="H18" i="1"/>
  <c r="F17" i="1"/>
  <c r="H17" i="1"/>
  <c r="F16" i="1"/>
  <c r="H16" i="1"/>
  <c r="D13" i="1"/>
  <c r="D14" i="1"/>
  <c r="B9" i="1"/>
  <c r="B13" i="1"/>
  <c r="B14" i="1"/>
  <c r="I14" i="1"/>
  <c r="I13" i="1"/>
  <c r="I12" i="1"/>
  <c r="I11" i="1"/>
  <c r="I10" i="1"/>
  <c r="I9" i="1"/>
  <c r="I8" i="1"/>
  <c r="I7" i="1"/>
  <c r="I6" i="1"/>
  <c r="I5" i="1"/>
  <c r="C9" i="1"/>
  <c r="C13" i="1"/>
  <c r="C14" i="1"/>
  <c r="F14" i="1"/>
  <c r="H14" i="1"/>
  <c r="F13" i="1"/>
  <c r="H13" i="1"/>
  <c r="F12" i="1"/>
  <c r="H12" i="1"/>
  <c r="F11" i="1"/>
  <c r="H11" i="1"/>
  <c r="F10" i="1"/>
  <c r="H10" i="1"/>
  <c r="F9" i="1"/>
  <c r="H9" i="1"/>
  <c r="F8" i="1"/>
  <c r="H8" i="1"/>
  <c r="F7" i="1"/>
  <c r="H7" i="1"/>
  <c r="F6" i="1"/>
  <c r="H6" i="1"/>
  <c r="F5" i="1"/>
  <c r="H5" i="1"/>
  <c r="D31" i="1"/>
  <c r="D39" i="1"/>
  <c r="D41" i="1"/>
  <c r="K41" i="1"/>
  <c r="C31" i="1"/>
  <c r="C39" i="1"/>
  <c r="C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5" i="1"/>
  <c r="G23" i="1"/>
  <c r="G24" i="1"/>
  <c r="G22" i="1"/>
  <c r="G20" i="1"/>
  <c r="G19" i="1"/>
  <c r="G18" i="1"/>
  <c r="G17" i="1"/>
  <c r="G16" i="1"/>
  <c r="G6" i="1"/>
  <c r="G7" i="1"/>
  <c r="G8" i="1"/>
  <c r="G9" i="1"/>
  <c r="G10" i="1"/>
  <c r="G11" i="1"/>
  <c r="G12" i="1"/>
  <c r="G13" i="1"/>
  <c r="G14" i="1"/>
  <c r="G5" i="1"/>
  <c r="D64" i="1"/>
  <c r="C64" i="1"/>
  <c r="D63" i="1"/>
  <c r="D62" i="1"/>
  <c r="C63" i="1"/>
  <c r="C62" i="1"/>
  <c r="D54" i="1"/>
  <c r="D59" i="1"/>
  <c r="C54" i="1"/>
  <c r="C59" i="1"/>
  <c r="D46" i="1"/>
  <c r="C46" i="1"/>
  <c r="D45" i="1"/>
  <c r="C45" i="1"/>
  <c r="D44" i="1"/>
  <c r="D47" i="1"/>
  <c r="D60" i="1"/>
  <c r="D61" i="1"/>
  <c r="C44" i="1"/>
  <c r="C47" i="1"/>
  <c r="C60" i="1"/>
  <c r="AB42" i="1"/>
  <c r="AA42" i="1"/>
  <c r="AA5" i="1"/>
  <c r="AB5" i="1"/>
  <c r="AB61" i="1"/>
  <c r="Z5" i="1"/>
  <c r="AB24" i="1"/>
  <c r="AB26" i="1"/>
  <c r="AA24" i="1"/>
  <c r="AA26" i="1"/>
  <c r="AB37" i="1"/>
  <c r="AB45" i="1"/>
  <c r="Z24" i="1"/>
  <c r="Z26" i="1"/>
  <c r="Y24" i="1"/>
  <c r="AB22" i="1"/>
  <c r="AA22" i="1"/>
  <c r="AB38" i="1"/>
  <c r="AB46" i="1"/>
  <c r="Z22" i="1"/>
  <c r="AA38" i="1"/>
  <c r="AB19" i="1"/>
  <c r="AA19" i="1"/>
  <c r="Z19" i="1"/>
  <c r="Q16" i="1"/>
  <c r="Q17" i="1"/>
  <c r="Q18" i="1"/>
  <c r="R16" i="1"/>
  <c r="R15" i="1"/>
  <c r="R17" i="1"/>
  <c r="R12" i="1"/>
  <c r="R14" i="1"/>
  <c r="R18" i="1"/>
  <c r="Y14" i="1"/>
  <c r="R13" i="1"/>
  <c r="Y13" i="1"/>
  <c r="Q13" i="1"/>
  <c r="Y12" i="1"/>
  <c r="Y10" i="1"/>
  <c r="Y9" i="1"/>
  <c r="Q8" i="1"/>
  <c r="P8" i="1"/>
  <c r="R5" i="1"/>
  <c r="Y8" i="1"/>
  <c r="R7" i="1"/>
  <c r="Q7" i="1"/>
  <c r="P7" i="1"/>
  <c r="R6" i="1"/>
  <c r="P6" i="1"/>
  <c r="R4" i="1"/>
  <c r="P4" i="1"/>
  <c r="AB4" i="1"/>
  <c r="AA4" i="1"/>
  <c r="Z4" i="1"/>
  <c r="AA3" i="1"/>
  <c r="AA30" i="1"/>
  <c r="Q5" i="1"/>
  <c r="AA37" i="1"/>
  <c r="AA45" i="1"/>
  <c r="Z28" i="1"/>
  <c r="AA20" i="1"/>
  <c r="AB28" i="1"/>
  <c r="D65" i="1"/>
  <c r="AB41" i="1"/>
  <c r="P5" i="1"/>
  <c r="AB20" i="1"/>
  <c r="C61" i="1"/>
  <c r="Z3" i="1"/>
  <c r="Z30" i="1"/>
  <c r="AA35" i="1"/>
  <c r="Q6" i="1"/>
  <c r="Z20" i="1"/>
  <c r="AA36" i="1"/>
  <c r="AA40" i="1"/>
  <c r="AA28" i="1"/>
  <c r="Q4" i="1"/>
  <c r="AB3" i="1"/>
  <c r="AB30" i="1"/>
  <c r="AB35" i="1"/>
  <c r="AB57" i="1"/>
  <c r="AB47" i="1"/>
  <c r="AB59" i="1"/>
  <c r="C65" i="1"/>
  <c r="AA47" i="1"/>
  <c r="AA59" i="1"/>
  <c r="AA44" i="1"/>
  <c r="AA43" i="1"/>
  <c r="D66" i="1"/>
  <c r="AB36" i="1"/>
  <c r="AB40" i="1"/>
  <c r="AB43" i="1"/>
  <c r="AB44" i="1"/>
  <c r="C66" i="1"/>
</calcChain>
</file>

<file path=xl/sharedStrings.xml><?xml version="1.0" encoding="utf-8"?>
<sst xmlns="http://schemas.openxmlformats.org/spreadsheetml/2006/main" count="193" uniqueCount="108">
  <si>
    <t>X6</t>
  </si>
  <si>
    <t>X7</t>
  </si>
  <si>
    <t>X8</t>
  </si>
  <si>
    <t>Cia FEARP / USP</t>
  </si>
  <si>
    <t>INVES TOTAL</t>
  </si>
  <si>
    <t>Balanços</t>
  </si>
  <si>
    <t>PO</t>
  </si>
  <si>
    <t>CCL</t>
  </si>
  <si>
    <t>Caixa</t>
  </si>
  <si>
    <t>PL</t>
  </si>
  <si>
    <t>NIG</t>
  </si>
  <si>
    <t>Aplic. Financeiras</t>
  </si>
  <si>
    <t>LC</t>
  </si>
  <si>
    <t>Dupl. A Receber</t>
  </si>
  <si>
    <t>NIG:</t>
  </si>
  <si>
    <t>LI</t>
  </si>
  <si>
    <t>Estoques</t>
  </si>
  <si>
    <t>LS</t>
  </si>
  <si>
    <t>AC</t>
  </si>
  <si>
    <t>Investimentos</t>
  </si>
  <si>
    <t>Prazos</t>
  </si>
  <si>
    <t>Imobilizado</t>
  </si>
  <si>
    <t xml:space="preserve"> C =EF-EI+CMV</t>
  </si>
  <si>
    <t>Depr. Acumulada</t>
  </si>
  <si>
    <t>Compras</t>
  </si>
  <si>
    <t>ANC</t>
  </si>
  <si>
    <t>EF</t>
  </si>
  <si>
    <t>Ativo</t>
  </si>
  <si>
    <t>PMPF</t>
  </si>
  <si>
    <t>dias</t>
  </si>
  <si>
    <t>PMRV</t>
  </si>
  <si>
    <t>Fornecedores</t>
  </si>
  <si>
    <t>PME</t>
  </si>
  <si>
    <t>Prov. IR</t>
  </si>
  <si>
    <t>CO</t>
  </si>
  <si>
    <t>Contas a Pagar</t>
  </si>
  <si>
    <t>Investimento LP</t>
  </si>
  <si>
    <t>CF</t>
  </si>
  <si>
    <t>PC</t>
  </si>
  <si>
    <t>Empréstimos</t>
  </si>
  <si>
    <t>Investimento OP</t>
  </si>
  <si>
    <t>PNC</t>
  </si>
  <si>
    <t>Capital</t>
  </si>
  <si>
    <t>Investimento MEP</t>
  </si>
  <si>
    <t>Res. Lucros</t>
  </si>
  <si>
    <t>Passivo</t>
  </si>
  <si>
    <t>Investimento Financeiro</t>
  </si>
  <si>
    <t>DRE</t>
  </si>
  <si>
    <t>Vendas</t>
  </si>
  <si>
    <t>Custo das vendas</t>
  </si>
  <si>
    <t>Lucro Bruto</t>
  </si>
  <si>
    <t>Equivalência Patrimonial</t>
  </si>
  <si>
    <t>Despesas com pessoal</t>
  </si>
  <si>
    <t>Outras desp admin</t>
  </si>
  <si>
    <t>Valores médios</t>
  </si>
  <si>
    <t>Depreciação</t>
  </si>
  <si>
    <t xml:space="preserve">INVEST TOTAL </t>
  </si>
  <si>
    <t>Desp Dev. Duv</t>
  </si>
  <si>
    <t>INVEST OP</t>
  </si>
  <si>
    <t>Receitas financeiras</t>
  </si>
  <si>
    <t>INVEST FIN</t>
  </si>
  <si>
    <t>Despesas financeiras</t>
  </si>
  <si>
    <t>INVEST EQUIV</t>
  </si>
  <si>
    <t>LAIR</t>
  </si>
  <si>
    <t>IR</t>
  </si>
  <si>
    <t>Lucro líquido</t>
  </si>
  <si>
    <t>Cálculo do IR Operacional</t>
  </si>
  <si>
    <t>Retorno OP</t>
  </si>
  <si>
    <t>IR total</t>
  </si>
  <si>
    <t>IR sobre RF</t>
  </si>
  <si>
    <t>Retorno FIN</t>
  </si>
  <si>
    <t>IR sobre DF</t>
  </si>
  <si>
    <t>Retorno EQUIV</t>
  </si>
  <si>
    <t>IR Operacional</t>
  </si>
  <si>
    <t>Retorno TOTAL</t>
  </si>
  <si>
    <t>DRE ajustada</t>
  </si>
  <si>
    <t>Ki</t>
  </si>
  <si>
    <t>LOP após IR</t>
  </si>
  <si>
    <t>RSPL</t>
  </si>
  <si>
    <t>DF líquida IR</t>
  </si>
  <si>
    <t>RF liq IR</t>
  </si>
  <si>
    <t>REP</t>
  </si>
  <si>
    <t>Lucro Líquido</t>
  </si>
  <si>
    <t>EVA negativo - a empresa não está criando valor para o acionista</t>
  </si>
  <si>
    <t>AH</t>
  </si>
  <si>
    <t>AV</t>
  </si>
  <si>
    <t>X6-X7</t>
  </si>
  <si>
    <t>X7-X8</t>
  </si>
  <si>
    <t>X6-X8</t>
  </si>
  <si>
    <t>SD</t>
  </si>
  <si>
    <t xml:space="preserve">CCL </t>
  </si>
  <si>
    <t>Giro (Rec. Vendas/Investi op)</t>
  </si>
  <si>
    <t>MG Oper (LOP/ Rec. Vendas)</t>
  </si>
  <si>
    <t>MG Bruta (LB/Rec. Vendas)</t>
  </si>
  <si>
    <t>Spread (Ret total - Ki)</t>
  </si>
  <si>
    <t>GAF (RSPL &lt; Ret geral)</t>
  </si>
  <si>
    <t>Análise horizontal e vertical</t>
  </si>
  <si>
    <t>Análise CCL, Liquidez e Prazos Médios</t>
  </si>
  <si>
    <t>Cálculo dos Investimentos, Retornos, Custo da Dívida e Alavancagem</t>
  </si>
  <si>
    <t>Decomposição do GAF</t>
  </si>
  <si>
    <t>Ret gerado para o capital dos sócios</t>
  </si>
  <si>
    <t>Remuneração ao capital de 3ºs</t>
  </si>
  <si>
    <t>Ret total</t>
  </si>
  <si>
    <t>Remuneração gerada pela empresa</t>
  </si>
  <si>
    <t>Perda absorvida pelos sócios</t>
  </si>
  <si>
    <t>em %</t>
  </si>
  <si>
    <t>RSPL parcial</t>
  </si>
  <si>
    <t>RSPL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</si>
</sst>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43" fontId="0" fillId="0" borderId="1" xfId="0" applyNumberFormat="1" applyBorder="1"/>
    <xf numFmtId="0" fontId="0" fillId="4" borderId="1" xfId="0" applyFill="1" applyBorder="1"/>
    <xf numFmtId="3" fontId="0" fillId="0" borderId="0" xfId="0" applyNumberFormat="1"/>
    <xf numFmtId="2" fontId="0" fillId="0" borderId="1" xfId="0" applyNumberFormat="1" applyBorder="1"/>
    <xf numFmtId="0" fontId="3" fillId="0" borderId="0" xfId="0" applyFont="1"/>
    <xf numFmtId="3" fontId="0" fillId="4" borderId="1" xfId="0" applyNumberFormat="1" applyFill="1" applyBorder="1"/>
    <xf numFmtId="3" fontId="0" fillId="0" borderId="1" xfId="0" applyNumberFormat="1" applyBorder="1"/>
    <xf numFmtId="1" fontId="0" fillId="0" borderId="1" xfId="0" applyNumberFormat="1" applyBorder="1"/>
    <xf numFmtId="0" fontId="4" fillId="0" borderId="1" xfId="0" applyFont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3" fontId="1" fillId="5" borderId="1" xfId="1" applyFont="1" applyFill="1" applyBorder="1" applyAlignment="1">
      <alignment horizontal="center"/>
    </xf>
    <xf numFmtId="3" fontId="0" fillId="0" borderId="0" xfId="0" applyNumberFormat="1" applyFill="1"/>
    <xf numFmtId="3" fontId="3" fillId="0" borderId="0" xfId="0" applyNumberFormat="1" applyFont="1"/>
    <xf numFmtId="3" fontId="3" fillId="0" borderId="1" xfId="0" applyNumberFormat="1" applyFont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43" fontId="1" fillId="6" borderId="1" xfId="1" applyFont="1" applyFill="1" applyBorder="1" applyAlignment="1">
      <alignment horizontal="center"/>
    </xf>
    <xf numFmtId="10" fontId="0" fillId="0" borderId="1" xfId="2" applyNumberFormat="1" applyFont="1" applyBorder="1"/>
    <xf numFmtId="9" fontId="4" fillId="0" borderId="1" xfId="2" applyFont="1" applyBorder="1" applyAlignment="1">
      <alignment horizontal="center"/>
    </xf>
    <xf numFmtId="0" fontId="3" fillId="7" borderId="1" xfId="0" applyFont="1" applyFill="1" applyBorder="1"/>
    <xf numFmtId="0" fontId="0" fillId="7" borderId="1" xfId="0" applyFill="1" applyBorder="1"/>
    <xf numFmtId="10" fontId="0" fillId="7" borderId="1" xfId="2" applyNumberFormat="1" applyFont="1" applyFill="1" applyBorder="1"/>
    <xf numFmtId="10" fontId="1" fillId="6" borderId="1" xfId="2" applyNumberFormat="1" applyFont="1" applyFill="1" applyBorder="1" applyAlignment="1">
      <alignment horizontal="right"/>
    </xf>
    <xf numFmtId="0" fontId="3" fillId="5" borderId="1" xfId="0" applyFont="1" applyFill="1" applyBorder="1"/>
    <xf numFmtId="10" fontId="0" fillId="5" borderId="1" xfId="2" applyNumberFormat="1" applyFont="1" applyFill="1" applyBorder="1"/>
    <xf numFmtId="0" fontId="2" fillId="8" borderId="1" xfId="0" applyFont="1" applyFill="1" applyBorder="1"/>
    <xf numFmtId="0" fontId="5" fillId="8" borderId="1" xfId="0" applyFont="1" applyFill="1" applyBorder="1"/>
    <xf numFmtId="10" fontId="2" fillId="8" borderId="1" xfId="2" applyNumberFormat="1" applyFont="1" applyFill="1" applyBorder="1"/>
    <xf numFmtId="0" fontId="6" fillId="0" borderId="0" xfId="0" applyFont="1"/>
    <xf numFmtId="10" fontId="0" fillId="0" borderId="1" xfId="0" applyNumberFormat="1" applyBorder="1"/>
    <xf numFmtId="0" fontId="3" fillId="7" borderId="1" xfId="0" applyFont="1" applyFill="1" applyBorder="1" applyAlignment="1">
      <alignment horizontal="center"/>
    </xf>
    <xf numFmtId="43" fontId="3" fillId="7" borderId="1" xfId="1" applyFont="1" applyFill="1" applyBorder="1" applyAlignment="1">
      <alignment horizontal="center"/>
    </xf>
    <xf numFmtId="164" fontId="0" fillId="0" borderId="1" xfId="1" applyNumberFormat="1" applyFont="1" applyBorder="1"/>
    <xf numFmtId="0" fontId="0" fillId="9" borderId="1" xfId="0" applyFill="1" applyBorder="1"/>
    <xf numFmtId="0" fontId="6" fillId="0" borderId="0" xfId="0" applyFont="1" applyAlignment="1">
      <alignment horizontal="left" indent="1"/>
    </xf>
    <xf numFmtId="0" fontId="0" fillId="0" borderId="0" xfId="0" applyFont="1"/>
    <xf numFmtId="43" fontId="1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43" fontId="3" fillId="7" borderId="0" xfId="1" applyFont="1" applyFill="1" applyBorder="1" applyAlignment="1">
      <alignment horizontal="center"/>
    </xf>
    <xf numFmtId="43" fontId="0" fillId="10" borderId="0" xfId="1" applyFont="1" applyFill="1" applyBorder="1" applyAlignment="1">
      <alignment horizontal="center"/>
    </xf>
    <xf numFmtId="43" fontId="3" fillId="10" borderId="0" xfId="1" applyFont="1" applyFill="1" applyBorder="1" applyAlignment="1">
      <alignment horizontal="center"/>
    </xf>
    <xf numFmtId="9" fontId="1" fillId="10" borderId="0" xfId="2" applyFont="1" applyFill="1" applyBorder="1" applyAlignment="1">
      <alignment horizontal="center"/>
    </xf>
    <xf numFmtId="0" fontId="0" fillId="10" borderId="0" xfId="0" applyFill="1"/>
    <xf numFmtId="43" fontId="1" fillId="11" borderId="0" xfId="1" applyFont="1" applyFill="1" applyBorder="1" applyAlignment="1">
      <alignment horizontal="center"/>
    </xf>
    <xf numFmtId="43" fontId="0" fillId="11" borderId="0" xfId="1" applyFont="1" applyFill="1" applyBorder="1" applyAlignment="1">
      <alignment horizontal="center"/>
    </xf>
    <xf numFmtId="43" fontId="3" fillId="11" borderId="0" xfId="1" applyFont="1" applyFill="1" applyBorder="1" applyAlignment="1">
      <alignment horizontal="center"/>
    </xf>
    <xf numFmtId="9" fontId="1" fillId="11" borderId="0" xfId="2" applyFont="1" applyFill="1" applyBorder="1" applyAlignment="1">
      <alignment horizontal="center"/>
    </xf>
    <xf numFmtId="0" fontId="0" fillId="11" borderId="0" xfId="0" applyFill="1"/>
    <xf numFmtId="43" fontId="3" fillId="11" borderId="0" xfId="0" applyNumberFormat="1" applyFont="1" applyFill="1" applyBorder="1" applyAlignment="1">
      <alignment horizontal="center"/>
    </xf>
    <xf numFmtId="9" fontId="3" fillId="11" borderId="0" xfId="2" applyFont="1" applyFill="1" applyBorder="1" applyAlignment="1">
      <alignment horizontal="center"/>
    </xf>
    <xf numFmtId="9" fontId="3" fillId="10" borderId="0" xfId="2" applyFont="1" applyFill="1" applyBorder="1" applyAlignment="1">
      <alignment horizontal="center"/>
    </xf>
    <xf numFmtId="43" fontId="0" fillId="0" borderId="0" xfId="0" applyNumberFormat="1"/>
    <xf numFmtId="9" fontId="0" fillId="0" borderId="0" xfId="0" applyNumberFormat="1"/>
    <xf numFmtId="43" fontId="0" fillId="0" borderId="1" xfId="0" applyNumberForma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0" fillId="0" borderId="1" xfId="0" applyFill="1" applyBorder="1"/>
    <xf numFmtId="43" fontId="1" fillId="0" borderId="1" xfId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3" fontId="1" fillId="0" borderId="0" xfId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43" fontId="0" fillId="12" borderId="0" xfId="1" applyFont="1" applyFill="1" applyBorder="1" applyAlignment="1">
      <alignment horizontal="center"/>
    </xf>
    <xf numFmtId="43" fontId="3" fillId="12" borderId="0" xfId="1" applyFont="1" applyFill="1" applyBorder="1" applyAlignment="1">
      <alignment horizontal="center"/>
    </xf>
    <xf numFmtId="9" fontId="1" fillId="12" borderId="0" xfId="2" applyFont="1" applyFill="1" applyBorder="1" applyAlignment="1">
      <alignment horizontal="center"/>
    </xf>
    <xf numFmtId="9" fontId="3" fillId="12" borderId="0" xfId="2" applyFont="1" applyFill="1" applyBorder="1" applyAlignment="1">
      <alignment horizontal="center"/>
    </xf>
    <xf numFmtId="0" fontId="0" fillId="12" borderId="0" xfId="0" applyFill="1"/>
    <xf numFmtId="43" fontId="1" fillId="9" borderId="1" xfId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1" xfId="0" applyFont="1" applyBorder="1"/>
    <xf numFmtId="43" fontId="7" fillId="0" borderId="1" xfId="0" applyNumberFormat="1" applyFont="1" applyBorder="1"/>
    <xf numFmtId="0" fontId="0" fillId="10" borderId="1" xfId="0" applyFill="1" applyBorder="1"/>
    <xf numFmtId="0" fontId="0" fillId="13" borderId="1" xfId="0" applyFill="1" applyBorder="1"/>
    <xf numFmtId="43" fontId="1" fillId="13" borderId="1" xfId="1" applyFont="1" applyFill="1" applyBorder="1" applyAlignment="1">
      <alignment horizontal="center"/>
    </xf>
    <xf numFmtId="0" fontId="3" fillId="10" borderId="1" xfId="0" applyFont="1" applyFill="1" applyBorder="1"/>
    <xf numFmtId="3" fontId="0" fillId="10" borderId="1" xfId="0" applyNumberFormat="1" applyFill="1" applyBorder="1"/>
    <xf numFmtId="0" fontId="7" fillId="0" borderId="0" xfId="0" applyFont="1"/>
    <xf numFmtId="43" fontId="0" fillId="0" borderId="0" xfId="1" applyFont="1" applyAlignment="1">
      <alignment horizontal="left"/>
    </xf>
    <xf numFmtId="165" fontId="0" fillId="0" borderId="1" xfId="1" applyNumberFormat="1" applyFont="1" applyBorder="1"/>
    <xf numFmtId="0" fontId="8" fillId="0" borderId="1" xfId="0" applyFont="1" applyBorder="1"/>
    <xf numFmtId="165" fontId="0" fillId="0" borderId="1" xfId="0" applyNumberFormat="1" applyBorder="1"/>
    <xf numFmtId="0" fontId="0" fillId="0" borderId="0" xfId="0" applyBorder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showGridLines="0" tabSelected="1" topLeftCell="V1" zoomScale="160" zoomScaleNormal="160" workbookViewId="0">
      <pane ySplit="2" topLeftCell="A3" activePane="bottomLeft" state="frozen"/>
      <selection activeCell="V1" sqref="V1"/>
      <selection pane="bottomLeft" activeCell="Y49" sqref="Y49:Y55"/>
    </sheetView>
  </sheetViews>
  <sheetFormatPr defaultRowHeight="15" x14ac:dyDescent="0.25"/>
  <cols>
    <col min="1" max="1" width="25.140625" bestFit="1" customWidth="1"/>
    <col min="2" max="2" width="12.28515625" style="1" bestFit="1" customWidth="1"/>
    <col min="3" max="4" width="12.28515625" style="2" bestFit="1" customWidth="1"/>
    <col min="5" max="5" width="3.85546875" style="2" customWidth="1"/>
    <col min="6" max="6" width="7.42578125" style="2" bestFit="1" customWidth="1"/>
    <col min="7" max="7" width="7.42578125" bestFit="1" customWidth="1"/>
    <col min="8" max="9" width="7.42578125" customWidth="1"/>
    <col min="10" max="12" width="5.85546875" bestFit="1" customWidth="1"/>
    <col min="13" max="13" width="5.85546875" customWidth="1"/>
    <col min="14" max="14" width="5.85546875" style="77" customWidth="1"/>
    <col min="15" max="15" width="13.5703125" style="77" bestFit="1" customWidth="1"/>
    <col min="16" max="17" width="11.7109375" style="77" bestFit="1" customWidth="1"/>
    <col min="18" max="18" width="11.7109375" bestFit="1" customWidth="1"/>
    <col min="19" max="19" width="11.28515625" bestFit="1" customWidth="1"/>
    <col min="20" max="24" width="11.28515625" customWidth="1"/>
    <col min="25" max="25" width="26.42578125" customWidth="1"/>
    <col min="26" max="26" width="11.42578125" bestFit="1" customWidth="1"/>
    <col min="27" max="27" width="16.140625" bestFit="1" customWidth="1"/>
    <col min="28" max="28" width="14.42578125" customWidth="1"/>
    <col min="29" max="29" width="10.28515625" bestFit="1" customWidth="1"/>
    <col min="30" max="30" width="11.42578125" customWidth="1"/>
    <col min="31" max="33" width="11.5703125" bestFit="1" customWidth="1"/>
  </cols>
  <sheetData>
    <row r="1" spans="1:28" ht="14.25" customHeight="1" x14ac:dyDescent="0.25">
      <c r="E1" s="103" t="s">
        <v>96</v>
      </c>
      <c r="O1" s="103" t="s">
        <v>97</v>
      </c>
      <c r="Y1" t="s">
        <v>98</v>
      </c>
    </row>
    <row r="2" spans="1:28" x14ac:dyDescent="0.25">
      <c r="Z2" s="3" t="s">
        <v>0</v>
      </c>
      <c r="AA2" s="4" t="s">
        <v>1</v>
      </c>
      <c r="AB2" s="4" t="s">
        <v>2</v>
      </c>
    </row>
    <row r="3" spans="1:28" x14ac:dyDescent="0.25">
      <c r="A3" s="5" t="s">
        <v>3</v>
      </c>
      <c r="B3" s="6"/>
      <c r="C3" s="7"/>
      <c r="D3" s="7"/>
      <c r="E3" s="60"/>
      <c r="F3" s="61" t="s">
        <v>84</v>
      </c>
      <c r="G3" s="61" t="s">
        <v>84</v>
      </c>
      <c r="H3" s="86" t="s">
        <v>84</v>
      </c>
      <c r="I3" s="86" t="s">
        <v>84</v>
      </c>
      <c r="J3" s="56" t="s">
        <v>85</v>
      </c>
      <c r="K3" s="56" t="s">
        <v>85</v>
      </c>
      <c r="L3" s="56" t="s">
        <v>85</v>
      </c>
      <c r="M3" s="56"/>
      <c r="N3" s="82"/>
      <c r="O3" s="10"/>
      <c r="P3" s="11" t="s">
        <v>0</v>
      </c>
      <c r="Q3" s="12" t="s">
        <v>1</v>
      </c>
      <c r="R3" s="12" t="s">
        <v>2</v>
      </c>
      <c r="S3" s="10"/>
      <c r="T3" s="93"/>
      <c r="U3" s="93"/>
      <c r="V3" s="93"/>
      <c r="W3" s="93"/>
      <c r="Y3" s="8" t="s">
        <v>4</v>
      </c>
      <c r="Z3" s="9">
        <f>Z4+Z5</f>
        <v>252000</v>
      </c>
      <c r="AA3" s="9">
        <f>AA4+AA5</f>
        <v>289883</v>
      </c>
      <c r="AB3" s="9">
        <f>AB4+AB5</f>
        <v>328255</v>
      </c>
    </row>
    <row r="4" spans="1:28" x14ac:dyDescent="0.25">
      <c r="A4" s="71" t="s">
        <v>5</v>
      </c>
      <c r="B4" s="72" t="s">
        <v>0</v>
      </c>
      <c r="C4" s="73" t="s">
        <v>1</v>
      </c>
      <c r="D4" s="73" t="s">
        <v>2</v>
      </c>
      <c r="E4" s="62"/>
      <c r="F4" s="62" t="s">
        <v>86</v>
      </c>
      <c r="G4" s="62" t="s">
        <v>87</v>
      </c>
      <c r="H4" s="87" t="s">
        <v>86</v>
      </c>
      <c r="I4" s="87" t="s">
        <v>88</v>
      </c>
      <c r="J4" s="57" t="s">
        <v>0</v>
      </c>
      <c r="K4" s="57" t="s">
        <v>1</v>
      </c>
      <c r="L4" s="57" t="s">
        <v>2</v>
      </c>
      <c r="M4" s="57"/>
      <c r="N4" s="83"/>
      <c r="O4" s="10" t="s">
        <v>7</v>
      </c>
      <c r="P4" s="15">
        <f>B9-B19</f>
        <v>129000</v>
      </c>
      <c r="Q4" s="15">
        <f>C9-C19</f>
        <v>145383</v>
      </c>
      <c r="R4" s="15">
        <f>D9-D19</f>
        <v>161755</v>
      </c>
      <c r="S4" s="10"/>
      <c r="T4" s="93"/>
      <c r="U4" s="93"/>
      <c r="V4" s="93"/>
      <c r="W4" s="93"/>
      <c r="Y4" s="13" t="s">
        <v>6</v>
      </c>
      <c r="Z4" s="14">
        <f>B20</f>
        <v>90000</v>
      </c>
      <c r="AA4" s="14">
        <f>C20</f>
        <v>119500</v>
      </c>
      <c r="AB4" s="14">
        <f>D20</f>
        <v>150000</v>
      </c>
    </row>
    <row r="5" spans="1:28" x14ac:dyDescent="0.25">
      <c r="A5" s="98" t="s">
        <v>8</v>
      </c>
      <c r="B5" s="99">
        <v>3000</v>
      </c>
      <c r="C5" s="99">
        <v>4000</v>
      </c>
      <c r="D5" s="99">
        <v>2000</v>
      </c>
      <c r="E5" s="60"/>
      <c r="F5" s="63">
        <f>(C5-B5)/B5</f>
        <v>0.33333333333333331</v>
      </c>
      <c r="G5" s="63">
        <f>(D5-C5)/C5</f>
        <v>-0.5</v>
      </c>
      <c r="H5" s="88">
        <f>F5</f>
        <v>0.33333333333333331</v>
      </c>
      <c r="I5" s="88">
        <f>(D5-B5)/B5</f>
        <v>-0.33333333333333331</v>
      </c>
      <c r="J5" s="58">
        <f>B5/B$14</f>
        <v>8.7976539589442824E-3</v>
      </c>
      <c r="K5" s="58">
        <f t="shared" ref="K5:K14" si="0">C5/C$14</f>
        <v>1.0917984103415145E-2</v>
      </c>
      <c r="L5" s="58">
        <f t="shared" ref="L5:L14" si="1">D5/D$14</f>
        <v>4.9649351455346618E-3</v>
      </c>
      <c r="M5" s="58"/>
      <c r="N5" s="84"/>
      <c r="O5" s="95" t="s">
        <v>10</v>
      </c>
      <c r="P5" s="96">
        <f>Z16</f>
        <v>104000</v>
      </c>
      <c r="Q5" s="96">
        <f>AA16</f>
        <v>132515</v>
      </c>
      <c r="R5" s="96">
        <f>AB16</f>
        <v>135430</v>
      </c>
      <c r="S5" s="10"/>
      <c r="T5" s="93"/>
      <c r="U5" s="93"/>
      <c r="V5" s="93"/>
      <c r="W5" s="93"/>
      <c r="Y5" s="13" t="s">
        <v>9</v>
      </c>
      <c r="Z5" s="14">
        <f>B24</f>
        <v>162000</v>
      </c>
      <c r="AA5" s="14">
        <f>C24</f>
        <v>170383</v>
      </c>
      <c r="AB5" s="14">
        <f>D24</f>
        <v>178255</v>
      </c>
    </row>
    <row r="6" spans="1:28" x14ac:dyDescent="0.25">
      <c r="A6" s="74" t="s">
        <v>11</v>
      </c>
      <c r="B6" s="75">
        <v>25000</v>
      </c>
      <c r="C6" s="91">
        <v>12868</v>
      </c>
      <c r="D6" s="75">
        <v>26325</v>
      </c>
      <c r="E6" s="60"/>
      <c r="F6" s="63">
        <f t="shared" ref="F6:F14" si="2">(C6-B6)/B6</f>
        <v>-0.48527999999999999</v>
      </c>
      <c r="G6" s="63">
        <f t="shared" ref="G6:G14" si="3">(D6-C6)/C6</f>
        <v>1.0457724588125583</v>
      </c>
      <c r="H6" s="88">
        <f t="shared" ref="H6:H14" si="4">F6</f>
        <v>-0.48527999999999999</v>
      </c>
      <c r="I6" s="88">
        <f t="shared" ref="I6:I14" si="5">(D6-B6)/B6</f>
        <v>5.2999999999999999E-2</v>
      </c>
      <c r="J6" s="58">
        <f t="shared" ref="J6:J14" si="6">B6/B$14</f>
        <v>7.331378299120235E-2</v>
      </c>
      <c r="K6" s="58">
        <f t="shared" si="0"/>
        <v>3.5123154860686526E-2</v>
      </c>
      <c r="L6" s="58">
        <f t="shared" si="1"/>
        <v>6.535095885309998E-2</v>
      </c>
      <c r="M6" s="58"/>
      <c r="N6" s="84"/>
      <c r="O6" s="10" t="s">
        <v>12</v>
      </c>
      <c r="P6" s="18">
        <f>B9/B19</f>
        <v>2.4494382022471912</v>
      </c>
      <c r="Q6" s="18">
        <f>C9/C19</f>
        <v>2.900804079231222</v>
      </c>
      <c r="R6" s="18">
        <f>D9/D19</f>
        <v>3.1691699074694917</v>
      </c>
      <c r="S6" s="10"/>
      <c r="T6" s="93"/>
      <c r="U6" s="93"/>
      <c r="V6" s="93"/>
      <c r="W6" s="93"/>
      <c r="Z6" s="17"/>
      <c r="AA6" s="17"/>
      <c r="AB6" s="17"/>
    </row>
    <row r="7" spans="1:28" x14ac:dyDescent="0.25">
      <c r="A7" s="98" t="s">
        <v>13</v>
      </c>
      <c r="B7" s="99">
        <v>100000</v>
      </c>
      <c r="C7" s="99">
        <v>130000</v>
      </c>
      <c r="D7" s="99">
        <v>143000</v>
      </c>
      <c r="E7" s="60"/>
      <c r="F7" s="63">
        <f t="shared" si="2"/>
        <v>0.3</v>
      </c>
      <c r="G7" s="63">
        <f t="shared" si="3"/>
        <v>0.1</v>
      </c>
      <c r="H7" s="88">
        <f t="shared" si="4"/>
        <v>0.3</v>
      </c>
      <c r="I7" s="88">
        <f t="shared" si="5"/>
        <v>0.43</v>
      </c>
      <c r="J7" s="58">
        <f t="shared" si="6"/>
        <v>0.2932551319648094</v>
      </c>
      <c r="K7" s="58">
        <f t="shared" si="0"/>
        <v>0.35483448336099221</v>
      </c>
      <c r="L7" s="58">
        <f t="shared" si="1"/>
        <v>0.35499286290572829</v>
      </c>
      <c r="M7" s="58"/>
      <c r="N7" s="84"/>
      <c r="O7" s="10" t="s">
        <v>15</v>
      </c>
      <c r="P7" s="15">
        <f>(B5+B6)/B19</f>
        <v>0.3146067415730337</v>
      </c>
      <c r="Q7" s="15">
        <f>(C5+C6)/C19</f>
        <v>0.22053997515852783</v>
      </c>
      <c r="R7" s="15">
        <f>(D5+D6)/D19</f>
        <v>0.37984444146439589</v>
      </c>
      <c r="S7" s="10"/>
      <c r="T7" s="93"/>
      <c r="U7" s="93"/>
      <c r="V7" s="93"/>
      <c r="W7" s="93"/>
      <c r="Y7" s="19" t="s">
        <v>14</v>
      </c>
      <c r="Z7" s="17"/>
      <c r="AA7" s="17"/>
      <c r="AB7" s="17"/>
    </row>
    <row r="8" spans="1:28" x14ac:dyDescent="0.25">
      <c r="A8" s="98" t="s">
        <v>16</v>
      </c>
      <c r="B8" s="99">
        <v>90000</v>
      </c>
      <c r="C8" s="99">
        <v>75000</v>
      </c>
      <c r="D8" s="99">
        <v>65000</v>
      </c>
      <c r="E8" s="60"/>
      <c r="F8" s="63">
        <f t="shared" si="2"/>
        <v>-0.16666666666666666</v>
      </c>
      <c r="G8" s="63">
        <f t="shared" si="3"/>
        <v>-0.13333333333333333</v>
      </c>
      <c r="H8" s="88">
        <f t="shared" si="4"/>
        <v>-0.16666666666666666</v>
      </c>
      <c r="I8" s="88">
        <f t="shared" si="5"/>
        <v>-0.27777777777777779</v>
      </c>
      <c r="J8" s="58">
        <f t="shared" si="6"/>
        <v>0.26392961876832843</v>
      </c>
      <c r="K8" s="58">
        <f t="shared" si="0"/>
        <v>0.20471220193903397</v>
      </c>
      <c r="L8" s="58">
        <f t="shared" si="1"/>
        <v>0.1613603922298765</v>
      </c>
      <c r="M8" s="58"/>
      <c r="N8" s="84"/>
      <c r="O8" s="10" t="s">
        <v>17</v>
      </c>
      <c r="P8" s="15">
        <f>(B9-B8)/B19</f>
        <v>1.4382022471910112</v>
      </c>
      <c r="Q8" s="15">
        <f>(C9-C8)/C19</f>
        <v>1.9202196509119436</v>
      </c>
      <c r="R8" s="15">
        <f>(D9-D8)/D19</f>
        <v>2.2975056993428993</v>
      </c>
      <c r="S8" s="10"/>
      <c r="T8" s="93"/>
      <c r="U8" s="93"/>
      <c r="V8" s="93"/>
      <c r="W8" s="93"/>
      <c r="Y8" s="16" t="str">
        <f>A5</f>
        <v>Caixa</v>
      </c>
      <c r="Z8" s="20">
        <f>B5</f>
        <v>3000</v>
      </c>
      <c r="AA8" s="20">
        <f>C5</f>
        <v>4000</v>
      </c>
      <c r="AB8" s="20">
        <f>D5</f>
        <v>2000</v>
      </c>
    </row>
    <row r="9" spans="1:28" x14ac:dyDescent="0.25">
      <c r="A9" s="71" t="s">
        <v>18</v>
      </c>
      <c r="B9" s="73">
        <f>SUM(B5:B8)</f>
        <v>218000</v>
      </c>
      <c r="C9" s="73">
        <f>SUM(C5:C8)</f>
        <v>221868</v>
      </c>
      <c r="D9" s="73">
        <f>SUM(D5:D8)</f>
        <v>236325</v>
      </c>
      <c r="E9" s="60"/>
      <c r="F9" s="66">
        <f t="shared" si="2"/>
        <v>1.7743119266055044E-2</v>
      </c>
      <c r="G9" s="66">
        <f t="shared" si="3"/>
        <v>6.5160365622802752E-2</v>
      </c>
      <c r="H9" s="89">
        <f t="shared" si="4"/>
        <v>1.7743119266055044E-2</v>
      </c>
      <c r="I9" s="89">
        <f t="shared" si="5"/>
        <v>8.4059633027522937E-2</v>
      </c>
      <c r="J9" s="67">
        <f t="shared" si="6"/>
        <v>0.63929618768328444</v>
      </c>
      <c r="K9" s="67">
        <f t="shared" si="0"/>
        <v>0.60558782426412783</v>
      </c>
      <c r="L9" s="67">
        <f t="shared" si="1"/>
        <v>0.5866691491342394</v>
      </c>
      <c r="M9" s="67"/>
      <c r="N9" s="92"/>
      <c r="O9" s="10"/>
      <c r="P9" s="10"/>
      <c r="Q9" s="10"/>
      <c r="R9" s="10"/>
      <c r="S9" s="10"/>
      <c r="T9" s="93"/>
      <c r="U9" s="93"/>
      <c r="V9" s="93"/>
      <c r="W9" s="93"/>
      <c r="Y9" s="16" t="str">
        <f t="shared" ref="Y9:AB10" si="7">A7</f>
        <v>Dupl. A Receber</v>
      </c>
      <c r="Z9" s="20">
        <f t="shared" si="7"/>
        <v>100000</v>
      </c>
      <c r="AA9" s="20">
        <f t="shared" si="7"/>
        <v>130000</v>
      </c>
      <c r="AB9" s="20">
        <f t="shared" si="7"/>
        <v>143000</v>
      </c>
    </row>
    <row r="10" spans="1:28" x14ac:dyDescent="0.25">
      <c r="A10" s="49" t="s">
        <v>19</v>
      </c>
      <c r="B10" s="91">
        <v>43000</v>
      </c>
      <c r="C10" s="91">
        <v>65000</v>
      </c>
      <c r="D10" s="91">
        <v>98000</v>
      </c>
      <c r="E10" s="60"/>
      <c r="F10" s="63">
        <f t="shared" si="2"/>
        <v>0.51162790697674421</v>
      </c>
      <c r="G10" s="63">
        <f t="shared" si="3"/>
        <v>0.50769230769230766</v>
      </c>
      <c r="H10" s="88">
        <f t="shared" si="4"/>
        <v>0.51162790697674421</v>
      </c>
      <c r="I10" s="88">
        <f t="shared" si="5"/>
        <v>1.2790697674418605</v>
      </c>
      <c r="J10" s="58">
        <f t="shared" si="6"/>
        <v>0.12609970674486803</v>
      </c>
      <c r="K10" s="58">
        <f t="shared" si="0"/>
        <v>0.17741724168049611</v>
      </c>
      <c r="L10" s="58">
        <f t="shared" si="1"/>
        <v>0.24328182213119842</v>
      </c>
      <c r="M10" s="58"/>
      <c r="N10" s="84"/>
      <c r="O10" s="10" t="s">
        <v>20</v>
      </c>
      <c r="P10" s="10"/>
      <c r="Q10" s="10"/>
      <c r="R10" s="10"/>
      <c r="S10" s="10"/>
      <c r="T10" s="93"/>
      <c r="U10" s="93"/>
      <c r="V10" s="93"/>
      <c r="W10" s="93"/>
      <c r="Y10" s="16" t="str">
        <f t="shared" si="7"/>
        <v>Estoques</v>
      </c>
      <c r="Z10" s="20">
        <f t="shared" si="7"/>
        <v>90000</v>
      </c>
      <c r="AA10" s="20">
        <f t="shared" si="7"/>
        <v>75000</v>
      </c>
      <c r="AB10" s="20">
        <f t="shared" si="7"/>
        <v>65000</v>
      </c>
    </row>
    <row r="11" spans="1:28" x14ac:dyDescent="0.25">
      <c r="A11" s="49" t="s">
        <v>21</v>
      </c>
      <c r="B11" s="91">
        <v>100000</v>
      </c>
      <c r="C11" s="91">
        <v>110000</v>
      </c>
      <c r="D11" s="91">
        <v>110000</v>
      </c>
      <c r="E11" s="60"/>
      <c r="F11" s="63">
        <f t="shared" si="2"/>
        <v>0.1</v>
      </c>
      <c r="G11" s="63">
        <f t="shared" si="3"/>
        <v>0</v>
      </c>
      <c r="H11" s="88">
        <f t="shared" si="4"/>
        <v>0.1</v>
      </c>
      <c r="I11" s="88">
        <f t="shared" si="5"/>
        <v>0.1</v>
      </c>
      <c r="J11" s="58">
        <f t="shared" si="6"/>
        <v>0.2932551319648094</v>
      </c>
      <c r="K11" s="58">
        <f t="shared" si="0"/>
        <v>0.30024456284391648</v>
      </c>
      <c r="L11" s="58">
        <f t="shared" si="1"/>
        <v>0.27307143300440639</v>
      </c>
      <c r="M11" s="58"/>
      <c r="N11" s="84"/>
      <c r="O11" s="10" t="s">
        <v>22</v>
      </c>
      <c r="P11" s="10"/>
      <c r="Q11" s="10"/>
      <c r="R11" s="10"/>
      <c r="S11" s="10"/>
      <c r="T11" s="93"/>
      <c r="U11" s="93"/>
      <c r="V11" s="93"/>
      <c r="W11" s="93"/>
      <c r="Y11" s="10"/>
      <c r="Z11" s="21"/>
      <c r="AA11" s="21"/>
      <c r="AB11" s="21"/>
    </row>
    <row r="12" spans="1:28" x14ac:dyDescent="0.25">
      <c r="A12" s="74" t="s">
        <v>23</v>
      </c>
      <c r="B12" s="75">
        <v>-20000</v>
      </c>
      <c r="C12" s="75">
        <v>-30500</v>
      </c>
      <c r="D12" s="75">
        <v>-41500</v>
      </c>
      <c r="E12" s="60"/>
      <c r="F12" s="63">
        <f t="shared" si="2"/>
        <v>0.52500000000000002</v>
      </c>
      <c r="G12" s="63">
        <f t="shared" si="3"/>
        <v>0.36065573770491804</v>
      </c>
      <c r="H12" s="88">
        <f t="shared" si="4"/>
        <v>0.52500000000000002</v>
      </c>
      <c r="I12" s="88">
        <f t="shared" si="5"/>
        <v>1.075</v>
      </c>
      <c r="J12" s="58">
        <f t="shared" si="6"/>
        <v>-5.865102639296188E-2</v>
      </c>
      <c r="K12" s="58">
        <f t="shared" si="0"/>
        <v>-8.3249628788540489E-2</v>
      </c>
      <c r="L12" s="58">
        <f t="shared" si="1"/>
        <v>-0.10302240426984423</v>
      </c>
      <c r="M12" s="58"/>
      <c r="N12" s="84"/>
      <c r="O12" s="10" t="s">
        <v>24</v>
      </c>
      <c r="P12" s="10"/>
      <c r="Q12" s="15">
        <f>C8-B8-C30</f>
        <v>243100</v>
      </c>
      <c r="R12" s="15">
        <f>D8-C8-D30</f>
        <v>300400</v>
      </c>
      <c r="S12" s="10"/>
      <c r="T12" s="93"/>
      <c r="U12" s="93"/>
      <c r="V12" s="93"/>
      <c r="W12" s="93"/>
      <c r="Y12" s="16" t="str">
        <f t="shared" ref="Y12:AB14" si="8">A16</f>
        <v>Fornecedores</v>
      </c>
      <c r="Z12" s="20">
        <f t="shared" si="8"/>
        <v>72000</v>
      </c>
      <c r="AA12" s="20">
        <f t="shared" si="8"/>
        <v>60000</v>
      </c>
      <c r="AB12" s="20">
        <f t="shared" si="8"/>
        <v>61750</v>
      </c>
    </row>
    <row r="13" spans="1:28" x14ac:dyDescent="0.25">
      <c r="A13" s="74" t="s">
        <v>25</v>
      </c>
      <c r="B13" s="73">
        <f>SUM(B10:B12)</f>
        <v>123000</v>
      </c>
      <c r="C13" s="73">
        <f>SUM(C10:C12)</f>
        <v>144500</v>
      </c>
      <c r="D13" s="73">
        <f>SUM(D10:D12)</f>
        <v>166500</v>
      </c>
      <c r="E13" s="62"/>
      <c r="F13" s="66">
        <f t="shared" si="2"/>
        <v>0.17479674796747968</v>
      </c>
      <c r="G13" s="66">
        <f t="shared" si="3"/>
        <v>0.15224913494809689</v>
      </c>
      <c r="H13" s="89">
        <f t="shared" si="4"/>
        <v>0.17479674796747968</v>
      </c>
      <c r="I13" s="89">
        <f t="shared" si="5"/>
        <v>0.35365853658536583</v>
      </c>
      <c r="J13" s="67">
        <f t="shared" si="6"/>
        <v>0.36070381231671556</v>
      </c>
      <c r="K13" s="67">
        <f t="shared" si="0"/>
        <v>0.39441217573587212</v>
      </c>
      <c r="L13" s="67">
        <f t="shared" si="1"/>
        <v>0.41333085086576055</v>
      </c>
      <c r="M13" s="67"/>
      <c r="N13" s="92"/>
      <c r="O13" s="10" t="s">
        <v>26</v>
      </c>
      <c r="P13" s="10"/>
      <c r="Q13" s="15">
        <f>B8+Q12+C30</f>
        <v>75000</v>
      </c>
      <c r="R13" s="15">
        <f>C8+R12+D30</f>
        <v>65000</v>
      </c>
      <c r="S13" s="10"/>
      <c r="T13" s="93"/>
      <c r="U13" s="93"/>
      <c r="V13" s="93"/>
      <c r="W13" s="93"/>
      <c r="Y13" s="16" t="str">
        <f t="shared" si="8"/>
        <v>Prov. IR</v>
      </c>
      <c r="Z13" s="20">
        <f t="shared" si="8"/>
        <v>2000</v>
      </c>
      <c r="AA13" s="20">
        <f t="shared" si="8"/>
        <v>4485</v>
      </c>
      <c r="AB13" s="20">
        <f t="shared" si="8"/>
        <v>1820</v>
      </c>
    </row>
    <row r="14" spans="1:28" x14ac:dyDescent="0.25">
      <c r="A14" s="71" t="s">
        <v>27</v>
      </c>
      <c r="B14" s="73">
        <f>B9+B13</f>
        <v>341000</v>
      </c>
      <c r="C14" s="73">
        <f>C9+C13</f>
        <v>366368</v>
      </c>
      <c r="D14" s="73">
        <f>D9+D13</f>
        <v>402825</v>
      </c>
      <c r="E14" s="62"/>
      <c r="F14" s="66">
        <f t="shared" si="2"/>
        <v>7.439296187683285E-2</v>
      </c>
      <c r="G14" s="66">
        <f t="shared" si="3"/>
        <v>9.9509236614551494E-2</v>
      </c>
      <c r="H14" s="89">
        <f t="shared" si="4"/>
        <v>7.439296187683285E-2</v>
      </c>
      <c r="I14" s="89">
        <f t="shared" si="5"/>
        <v>0.1813049853372434</v>
      </c>
      <c r="J14" s="67">
        <f t="shared" si="6"/>
        <v>1</v>
      </c>
      <c r="K14" s="67">
        <f t="shared" si="0"/>
        <v>1</v>
      </c>
      <c r="L14" s="67">
        <f t="shared" si="1"/>
        <v>1</v>
      </c>
      <c r="M14" s="67"/>
      <c r="N14" s="92"/>
      <c r="O14" s="10" t="s">
        <v>28</v>
      </c>
      <c r="P14" s="10"/>
      <c r="Q14" s="22">
        <f>(((B16+C16)/2)/Q12)*360</f>
        <v>97.737556561085967</v>
      </c>
      <c r="R14" s="22">
        <f>(((C16+D16)/2)/R12)*360</f>
        <v>72.952729693741674</v>
      </c>
      <c r="S14" s="23" t="s">
        <v>29</v>
      </c>
      <c r="T14" s="94"/>
      <c r="U14" s="94"/>
      <c r="V14" s="94"/>
      <c r="W14" s="94"/>
      <c r="Y14" s="16" t="str">
        <f t="shared" si="8"/>
        <v>Contas a Pagar</v>
      </c>
      <c r="Z14" s="20">
        <f t="shared" si="8"/>
        <v>15000</v>
      </c>
      <c r="AA14" s="20">
        <f t="shared" si="8"/>
        <v>12000</v>
      </c>
      <c r="AB14" s="20">
        <f t="shared" si="8"/>
        <v>11000</v>
      </c>
    </row>
    <row r="15" spans="1:28" x14ac:dyDescent="0.25">
      <c r="A15" s="74"/>
      <c r="B15" s="75"/>
      <c r="C15" s="75"/>
      <c r="D15" s="75"/>
      <c r="E15" s="60"/>
      <c r="F15" s="60"/>
      <c r="G15" s="64"/>
      <c r="H15" s="90"/>
      <c r="I15" s="90"/>
      <c r="J15" s="59"/>
      <c r="K15" s="59"/>
      <c r="L15" s="59"/>
      <c r="M15" s="59"/>
      <c r="O15" s="10" t="s">
        <v>30</v>
      </c>
      <c r="P15" s="10"/>
      <c r="Q15" s="22">
        <f>(((B7+C7)/2)/C29)*360</f>
        <v>93.033707865168552</v>
      </c>
      <c r="R15" s="22">
        <f>(((C7+D7)/2)/D29)*360</f>
        <v>101.31958762886597</v>
      </c>
      <c r="S15" s="23" t="s">
        <v>29</v>
      </c>
      <c r="T15" s="94"/>
      <c r="U15" s="94"/>
      <c r="V15" s="94"/>
      <c r="W15" s="94"/>
      <c r="Y15" s="97" t="s">
        <v>89</v>
      </c>
      <c r="Z15" s="101">
        <f>B6</f>
        <v>25000</v>
      </c>
      <c r="AA15" s="101">
        <f>C6</f>
        <v>12868</v>
      </c>
      <c r="AB15" s="101">
        <f>D6</f>
        <v>26325</v>
      </c>
    </row>
    <row r="16" spans="1:28" x14ac:dyDescent="0.25">
      <c r="A16" s="98" t="s">
        <v>31</v>
      </c>
      <c r="B16" s="99">
        <v>72000</v>
      </c>
      <c r="C16" s="99">
        <v>60000</v>
      </c>
      <c r="D16" s="99">
        <v>61750</v>
      </c>
      <c r="E16" s="60"/>
      <c r="F16" s="63">
        <f t="shared" ref="F16:F20" si="9">(C16-B16)/B16</f>
        <v>-0.16666666666666666</v>
      </c>
      <c r="G16" s="63">
        <f t="shared" ref="G16:G20" si="10">(D16-C16)/C16</f>
        <v>2.9166666666666667E-2</v>
      </c>
      <c r="H16" s="88">
        <f>F16</f>
        <v>-0.16666666666666666</v>
      </c>
      <c r="I16" s="88">
        <f>(D16-B16)/B16</f>
        <v>-0.1423611111111111</v>
      </c>
      <c r="J16" s="58">
        <f t="shared" ref="J16:J25" si="11">B16/B$14</f>
        <v>0.21114369501466276</v>
      </c>
      <c r="K16" s="58">
        <f t="shared" ref="K16:K25" si="12">C16/C$14</f>
        <v>0.16376976155122719</v>
      </c>
      <c r="L16" s="58">
        <f t="shared" ref="L16:L25" si="13">D16/D$14</f>
        <v>0.15329237261838266</v>
      </c>
      <c r="M16" s="58"/>
      <c r="N16" s="84"/>
      <c r="O16" s="10" t="s">
        <v>32</v>
      </c>
      <c r="P16" s="10"/>
      <c r="Q16" s="22">
        <f>-(((B8+C8)/2)/C30)*360</f>
        <v>115.07167764432391</v>
      </c>
      <c r="R16" s="22">
        <f>-(((C8+D8)/2)/D30)*360</f>
        <v>81.185567010309285</v>
      </c>
      <c r="S16" s="23" t="s">
        <v>29</v>
      </c>
      <c r="T16" s="94"/>
      <c r="U16" s="94"/>
      <c r="V16" s="94"/>
      <c r="W16" s="94"/>
      <c r="Y16" s="100" t="s">
        <v>10</v>
      </c>
      <c r="Z16" s="101">
        <f>SUM(Z8:Z11)-SUM(Z12:Z14)</f>
        <v>104000</v>
      </c>
      <c r="AA16" s="101">
        <f>SUM(AA8:AA11)-SUM(AA12:AA14)</f>
        <v>132515</v>
      </c>
      <c r="AB16" s="101">
        <f>SUM(AB8:AB11)-SUM(AB12:AB14)</f>
        <v>135430</v>
      </c>
    </row>
    <row r="17" spans="1:28" x14ac:dyDescent="0.25">
      <c r="A17" s="98" t="s">
        <v>33</v>
      </c>
      <c r="B17" s="99">
        <v>2000</v>
      </c>
      <c r="C17" s="99">
        <v>4485</v>
      </c>
      <c r="D17" s="99">
        <v>1820</v>
      </c>
      <c r="E17" s="60"/>
      <c r="F17" s="63">
        <f t="shared" si="9"/>
        <v>1.2424999999999999</v>
      </c>
      <c r="G17" s="63">
        <f t="shared" si="10"/>
        <v>-0.59420289855072461</v>
      </c>
      <c r="H17" s="88">
        <f t="shared" ref="H17:H20" si="14">F17</f>
        <v>1.2424999999999999</v>
      </c>
      <c r="I17" s="88">
        <f t="shared" ref="I17:I20" si="15">(D17-B17)/B17</f>
        <v>-0.09</v>
      </c>
      <c r="J17" s="58">
        <f t="shared" si="11"/>
        <v>5.8651026392961877E-3</v>
      </c>
      <c r="K17" s="58">
        <f t="shared" si="12"/>
        <v>1.2241789675954231E-2</v>
      </c>
      <c r="L17" s="58">
        <f t="shared" si="13"/>
        <v>4.5180909824365416E-3</v>
      </c>
      <c r="M17" s="58"/>
      <c r="N17" s="84"/>
      <c r="O17" s="10" t="s">
        <v>34</v>
      </c>
      <c r="P17" s="10"/>
      <c r="Q17" s="22">
        <f>Q16+Q15</f>
        <v>208.10538550949246</v>
      </c>
      <c r="R17" s="22">
        <f>R16+R15</f>
        <v>182.50515463917526</v>
      </c>
      <c r="S17" s="23" t="s">
        <v>29</v>
      </c>
      <c r="T17" s="94"/>
      <c r="U17" s="94"/>
      <c r="V17" s="94"/>
      <c r="W17" s="94"/>
      <c r="Y17" s="97" t="s">
        <v>7</v>
      </c>
      <c r="Z17" s="101">
        <f>Z16+Z15</f>
        <v>129000</v>
      </c>
      <c r="AA17" s="101">
        <f>AA16+AA15</f>
        <v>145383</v>
      </c>
      <c r="AB17" s="101">
        <f>AB16+AB15</f>
        <v>161755</v>
      </c>
    </row>
    <row r="18" spans="1:28" x14ac:dyDescent="0.25">
      <c r="A18" s="98" t="s">
        <v>35</v>
      </c>
      <c r="B18" s="99">
        <v>15000</v>
      </c>
      <c r="C18" s="99">
        <v>12000</v>
      </c>
      <c r="D18" s="99">
        <v>11000</v>
      </c>
      <c r="E18" s="60"/>
      <c r="F18" s="63">
        <f t="shared" si="9"/>
        <v>-0.2</v>
      </c>
      <c r="G18" s="63">
        <f t="shared" si="10"/>
        <v>-8.3333333333333329E-2</v>
      </c>
      <c r="H18" s="88">
        <f t="shared" si="14"/>
        <v>-0.2</v>
      </c>
      <c r="I18" s="88">
        <f t="shared" si="15"/>
        <v>-0.26666666666666666</v>
      </c>
      <c r="J18" s="58">
        <f t="shared" si="11"/>
        <v>4.398826979472141E-2</v>
      </c>
      <c r="K18" s="58">
        <f t="shared" si="12"/>
        <v>3.2753952310245436E-2</v>
      </c>
      <c r="L18" s="58">
        <f t="shared" si="13"/>
        <v>2.7307143300440637E-2</v>
      </c>
      <c r="M18" s="58"/>
      <c r="N18" s="84"/>
      <c r="O18" s="10" t="s">
        <v>37</v>
      </c>
      <c r="P18" s="10"/>
      <c r="Q18" s="22">
        <f>Q17-Q14</f>
        <v>110.3678289484065</v>
      </c>
      <c r="R18" s="22">
        <f>R17-R14</f>
        <v>109.55242494543359</v>
      </c>
      <c r="S18" s="23" t="s">
        <v>29</v>
      </c>
      <c r="T18" s="94"/>
      <c r="U18" s="94"/>
      <c r="V18" s="94"/>
      <c r="W18" s="94"/>
      <c r="Y18" s="97" t="s">
        <v>90</v>
      </c>
      <c r="Z18" s="101">
        <f>B9-B19</f>
        <v>129000</v>
      </c>
      <c r="AA18" s="101">
        <f>C9-C19</f>
        <v>145383</v>
      </c>
      <c r="AB18" s="101">
        <f>D9-D19</f>
        <v>161755</v>
      </c>
    </row>
    <row r="19" spans="1:28" x14ac:dyDescent="0.25">
      <c r="A19" s="71" t="s">
        <v>38</v>
      </c>
      <c r="B19" s="73">
        <f>SUM(B16:B18)</f>
        <v>89000</v>
      </c>
      <c r="C19" s="73">
        <f>SUM(C16:C18)</f>
        <v>76485</v>
      </c>
      <c r="D19" s="73">
        <f>SUM(D16:D18)</f>
        <v>74570</v>
      </c>
      <c r="E19" s="62"/>
      <c r="F19" s="66">
        <f t="shared" si="9"/>
        <v>-0.14061797752808988</v>
      </c>
      <c r="G19" s="66">
        <f t="shared" si="10"/>
        <v>-2.5037589069752238E-2</v>
      </c>
      <c r="H19" s="89">
        <f t="shared" si="14"/>
        <v>-0.14061797752808988</v>
      </c>
      <c r="I19" s="89">
        <f t="shared" si="15"/>
        <v>-0.16213483146067414</v>
      </c>
      <c r="J19" s="67">
        <f t="shared" si="11"/>
        <v>0.26099706744868034</v>
      </c>
      <c r="K19" s="67">
        <f t="shared" si="12"/>
        <v>0.20876550353742684</v>
      </c>
      <c r="L19" s="67">
        <f t="shared" si="13"/>
        <v>0.18511760690125986</v>
      </c>
      <c r="M19" s="67"/>
      <c r="N19" s="92"/>
      <c r="O19" s="92"/>
      <c r="P19" s="92"/>
      <c r="Q19" s="92"/>
      <c r="R19" s="84"/>
      <c r="Y19" s="5" t="s">
        <v>36</v>
      </c>
      <c r="Z19" s="21">
        <f>B11+B12</f>
        <v>80000</v>
      </c>
      <c r="AA19" s="21">
        <f>C11+C12</f>
        <v>79500</v>
      </c>
      <c r="AB19" s="21">
        <f>D11+D12</f>
        <v>68500</v>
      </c>
    </row>
    <row r="20" spans="1:28" x14ac:dyDescent="0.25">
      <c r="A20" s="49" t="s">
        <v>39</v>
      </c>
      <c r="B20" s="91">
        <v>90000</v>
      </c>
      <c r="C20" s="91">
        <v>119500</v>
      </c>
      <c r="D20" s="91">
        <v>150000</v>
      </c>
      <c r="E20" s="60"/>
      <c r="F20" s="63">
        <f t="shared" si="9"/>
        <v>0.32777777777777778</v>
      </c>
      <c r="G20" s="63">
        <f t="shared" si="10"/>
        <v>0.25523012552301255</v>
      </c>
      <c r="H20" s="88">
        <f t="shared" si="14"/>
        <v>0.32777777777777778</v>
      </c>
      <c r="I20" s="88">
        <f t="shared" si="15"/>
        <v>0.66666666666666663</v>
      </c>
      <c r="J20" s="58">
        <f t="shared" si="11"/>
        <v>0.26392961876832843</v>
      </c>
      <c r="K20" s="58">
        <f t="shared" si="12"/>
        <v>0.32617477508952747</v>
      </c>
      <c r="L20" s="58">
        <f t="shared" si="13"/>
        <v>0.3723701359150996</v>
      </c>
      <c r="M20" s="58"/>
      <c r="N20" s="84"/>
      <c r="O20" s="84"/>
      <c r="P20" s="84"/>
      <c r="Q20" s="84"/>
      <c r="R20" s="84"/>
      <c r="Y20" s="5" t="s">
        <v>40</v>
      </c>
      <c r="Z20" s="21">
        <f>Z19+Z16</f>
        <v>184000</v>
      </c>
      <c r="AA20" s="21">
        <f>AA19+AA16</f>
        <v>212015</v>
      </c>
      <c r="AB20" s="21">
        <f>AB19+AB16</f>
        <v>203930</v>
      </c>
    </row>
    <row r="21" spans="1:28" x14ac:dyDescent="0.25">
      <c r="A21" s="71" t="s">
        <v>41</v>
      </c>
      <c r="B21" s="73"/>
      <c r="C21" s="73"/>
      <c r="D21" s="73"/>
      <c r="E21" s="62"/>
      <c r="F21" s="62"/>
      <c r="G21" s="64"/>
      <c r="H21" s="90"/>
      <c r="I21" s="90"/>
      <c r="J21" s="58">
        <f t="shared" si="11"/>
        <v>0</v>
      </c>
      <c r="K21" s="58">
        <f t="shared" si="12"/>
        <v>0</v>
      </c>
      <c r="L21" s="58">
        <f t="shared" si="13"/>
        <v>0</v>
      </c>
      <c r="M21" s="58"/>
      <c r="N21" s="84"/>
      <c r="O21" s="84"/>
      <c r="P21" s="84"/>
      <c r="Q21" s="84"/>
      <c r="R21" s="77"/>
      <c r="Y21" s="10"/>
      <c r="Z21" s="21"/>
      <c r="AA21" s="21"/>
      <c r="AB21" s="21"/>
    </row>
    <row r="22" spans="1:28" x14ac:dyDescent="0.25">
      <c r="A22" s="74" t="s">
        <v>42</v>
      </c>
      <c r="B22" s="75">
        <v>150000</v>
      </c>
      <c r="C22" s="75">
        <v>150000</v>
      </c>
      <c r="D22" s="75">
        <v>150000</v>
      </c>
      <c r="E22" s="60"/>
      <c r="F22" s="63">
        <f t="shared" ref="F22:F24" si="16">(C22-B22)/B22</f>
        <v>0</v>
      </c>
      <c r="G22" s="63">
        <f t="shared" ref="G22:G24" si="17">(D22-C22)/C22</f>
        <v>0</v>
      </c>
      <c r="H22" s="88">
        <f>F22</f>
        <v>0</v>
      </c>
      <c r="I22" s="88">
        <f t="shared" ref="I22:I25" si="18">(D22-B22)/B22</f>
        <v>0</v>
      </c>
      <c r="J22" s="58">
        <f t="shared" si="11"/>
        <v>0.43988269794721407</v>
      </c>
      <c r="K22" s="58">
        <f t="shared" si="12"/>
        <v>0.40942440387806794</v>
      </c>
      <c r="L22" s="58">
        <f t="shared" si="13"/>
        <v>0.3723701359150996</v>
      </c>
      <c r="M22" s="58"/>
      <c r="N22" s="84"/>
      <c r="O22" s="84"/>
      <c r="P22" s="84"/>
      <c r="Q22" s="84"/>
      <c r="R22" s="84"/>
      <c r="Y22" s="5" t="s">
        <v>43</v>
      </c>
      <c r="Z22" s="21">
        <f>B10</f>
        <v>43000</v>
      </c>
      <c r="AA22" s="21">
        <f>C10</f>
        <v>65000</v>
      </c>
      <c r="AB22" s="21">
        <f>D10</f>
        <v>98000</v>
      </c>
    </row>
    <row r="23" spans="1:28" x14ac:dyDescent="0.25">
      <c r="A23" s="74" t="s">
        <v>44</v>
      </c>
      <c r="B23" s="75">
        <v>12000</v>
      </c>
      <c r="C23" s="75">
        <v>20383</v>
      </c>
      <c r="D23" s="75">
        <v>28255</v>
      </c>
      <c r="E23" s="60"/>
      <c r="F23" s="63">
        <f t="shared" si="16"/>
        <v>0.69858333333333333</v>
      </c>
      <c r="G23" s="63">
        <f>(D23-C23)/C23</f>
        <v>0.38620418976598148</v>
      </c>
      <c r="H23" s="88">
        <f>F23</f>
        <v>0.69858333333333333</v>
      </c>
      <c r="I23" s="88">
        <f t="shared" si="18"/>
        <v>1.3545833333333333</v>
      </c>
      <c r="J23" s="58">
        <f t="shared" si="11"/>
        <v>3.519061583577713E-2</v>
      </c>
      <c r="K23" s="58">
        <f t="shared" si="12"/>
        <v>5.5635317494977729E-2</v>
      </c>
      <c r="L23" s="58">
        <f t="shared" si="13"/>
        <v>7.0142121268540927E-2</v>
      </c>
      <c r="M23" s="58"/>
      <c r="N23" s="84"/>
      <c r="O23" s="84"/>
      <c r="P23" s="84"/>
      <c r="Q23" s="84"/>
      <c r="R23" s="84"/>
      <c r="Y23" s="10"/>
      <c r="Z23" s="21"/>
      <c r="AA23" s="21"/>
      <c r="AB23" s="21"/>
    </row>
    <row r="24" spans="1:28" x14ac:dyDescent="0.25">
      <c r="A24" s="71" t="s">
        <v>9</v>
      </c>
      <c r="B24" s="73">
        <f>SUM(B22:B23)</f>
        <v>162000</v>
      </c>
      <c r="C24" s="73">
        <f>SUM(C22:C23)</f>
        <v>170383</v>
      </c>
      <c r="D24" s="73">
        <f>SUM(D22:D23)</f>
        <v>178255</v>
      </c>
      <c r="E24" s="62"/>
      <c r="F24" s="66">
        <f t="shared" si="16"/>
        <v>5.1746913580246912E-2</v>
      </c>
      <c r="G24" s="66">
        <f t="shared" si="17"/>
        <v>4.6201792432343604E-2</v>
      </c>
      <c r="H24" s="89">
        <f>F24</f>
        <v>5.1746913580246912E-2</v>
      </c>
      <c r="I24" s="89">
        <f t="shared" si="18"/>
        <v>0.1003395061728395</v>
      </c>
      <c r="J24" s="67">
        <f t="shared" si="11"/>
        <v>0.47507331378299122</v>
      </c>
      <c r="K24" s="67">
        <f t="shared" si="12"/>
        <v>0.46505972137304569</v>
      </c>
      <c r="L24" s="67">
        <f t="shared" si="13"/>
        <v>0.44251225718364051</v>
      </c>
      <c r="M24" s="67"/>
      <c r="N24" s="92"/>
      <c r="O24" s="92"/>
      <c r="P24" s="92"/>
      <c r="Q24" s="92"/>
      <c r="R24" s="84"/>
      <c r="Y24" s="10" t="str">
        <f>A6</f>
        <v>Aplic. Financeiras</v>
      </c>
      <c r="Z24" s="21">
        <f>B6</f>
        <v>25000</v>
      </c>
      <c r="AA24" s="21">
        <f>C6</f>
        <v>12868</v>
      </c>
      <c r="AB24" s="21">
        <f>D6</f>
        <v>26325</v>
      </c>
    </row>
    <row r="25" spans="1:28" x14ac:dyDescent="0.25">
      <c r="A25" s="71" t="s">
        <v>45</v>
      </c>
      <c r="B25" s="76">
        <f>B19+B20+B24</f>
        <v>341000</v>
      </c>
      <c r="C25" s="76">
        <f>C19+C20+C24</f>
        <v>366368</v>
      </c>
      <c r="D25" s="76">
        <f>D19+D20+D24</f>
        <v>402825</v>
      </c>
      <c r="E25" s="65"/>
      <c r="F25" s="66">
        <f t="shared" ref="F25" si="19">(C25-B25)/B25</f>
        <v>7.439296187683285E-2</v>
      </c>
      <c r="G25" s="66">
        <f t="shared" ref="G25" si="20">(D25-C25)/C25</f>
        <v>9.9509236614551494E-2</v>
      </c>
      <c r="H25" s="89">
        <f>F25</f>
        <v>7.439296187683285E-2</v>
      </c>
      <c r="I25" s="89">
        <f t="shared" si="18"/>
        <v>0.1813049853372434</v>
      </c>
      <c r="J25" s="67">
        <f t="shared" si="11"/>
        <v>1</v>
      </c>
      <c r="K25" s="67">
        <f t="shared" si="12"/>
        <v>1</v>
      </c>
      <c r="L25" s="67">
        <f t="shared" si="13"/>
        <v>1</v>
      </c>
      <c r="M25" s="67"/>
      <c r="N25" s="92"/>
      <c r="O25" s="92"/>
      <c r="P25" s="92"/>
      <c r="Q25" s="92"/>
      <c r="R25" s="84"/>
      <c r="Y25" s="10"/>
      <c r="Z25" s="21"/>
      <c r="AA25" s="21"/>
      <c r="AB25" s="21"/>
    </row>
    <row r="26" spans="1:28" x14ac:dyDescent="0.25">
      <c r="A26" s="77"/>
      <c r="B26" s="78"/>
      <c r="C26" s="79"/>
      <c r="D26" s="79"/>
      <c r="Y26" s="5" t="s">
        <v>46</v>
      </c>
      <c r="Z26" s="21">
        <f>Z24-Z25</f>
        <v>25000</v>
      </c>
      <c r="AA26" s="21">
        <f>AA24-AA25</f>
        <v>12868</v>
      </c>
      <c r="AB26" s="21">
        <f>AB24-AB25</f>
        <v>26325</v>
      </c>
    </row>
    <row r="27" spans="1:28" x14ac:dyDescent="0.25">
      <c r="A27" s="77"/>
      <c r="B27" s="78"/>
      <c r="C27" s="79"/>
      <c r="D27" s="79"/>
      <c r="Z27" s="17"/>
      <c r="AA27" s="17"/>
      <c r="AB27" s="17"/>
    </row>
    <row r="28" spans="1:28" s="19" customFormat="1" x14ac:dyDescent="0.25">
      <c r="A28" s="71" t="s">
        <v>47</v>
      </c>
      <c r="B28" s="72"/>
      <c r="C28" s="73" t="s">
        <v>1</v>
      </c>
      <c r="D28" s="73" t="s">
        <v>2</v>
      </c>
      <c r="E28" s="53"/>
      <c r="F28" s="53"/>
      <c r="G28" s="62" t="s">
        <v>87</v>
      </c>
      <c r="H28" s="87"/>
      <c r="I28" s="87"/>
      <c r="J28" s="57" t="s">
        <v>1</v>
      </c>
      <c r="K28" s="57" t="s">
        <v>2</v>
      </c>
      <c r="L28" s="83"/>
      <c r="M28" s="83"/>
      <c r="N28" s="83"/>
      <c r="O28" s="83"/>
      <c r="P28" s="83"/>
      <c r="Q28" s="83"/>
      <c r="R28" s="53"/>
      <c r="X28"/>
      <c r="Y28" s="8" t="s">
        <v>4</v>
      </c>
      <c r="Z28" s="9">
        <f>Z26+Z22+Z16+Z19</f>
        <v>252000</v>
      </c>
      <c r="AA28" s="9">
        <f>AA26+AA22+AA16+AA19</f>
        <v>289883</v>
      </c>
      <c r="AB28" s="9">
        <f>AB26+AB22+AB16+AB19</f>
        <v>328255</v>
      </c>
    </row>
    <row r="29" spans="1:28" x14ac:dyDescent="0.25">
      <c r="A29" s="74" t="s">
        <v>48</v>
      </c>
      <c r="B29" s="80"/>
      <c r="C29" s="75">
        <v>445000</v>
      </c>
      <c r="D29" s="75">
        <v>485000</v>
      </c>
      <c r="E29" s="52"/>
      <c r="F29" s="84"/>
      <c r="G29" s="63">
        <f t="shared" ref="G29:G41" si="21">(D29-C29)/C29</f>
        <v>8.98876404494382E-2</v>
      </c>
      <c r="H29" s="88"/>
      <c r="I29" s="88"/>
      <c r="J29" s="58">
        <f>C29/C$29</f>
        <v>1</v>
      </c>
      <c r="K29" s="58">
        <f t="shared" ref="K29:K41" si="22">D29/D$29</f>
        <v>1</v>
      </c>
      <c r="L29" s="84"/>
      <c r="M29" s="84"/>
      <c r="N29" s="84"/>
      <c r="O29" s="84"/>
      <c r="P29" s="84"/>
      <c r="Q29" s="84"/>
      <c r="R29" s="84"/>
      <c r="Y29" s="10"/>
      <c r="Z29" s="21"/>
      <c r="AA29" s="21"/>
      <c r="AB29" s="21"/>
    </row>
    <row r="30" spans="1:28" x14ac:dyDescent="0.25">
      <c r="A30" s="74" t="s">
        <v>49</v>
      </c>
      <c r="B30" s="80"/>
      <c r="C30" s="75">
        <v>-258100</v>
      </c>
      <c r="D30" s="75">
        <v>-310400</v>
      </c>
      <c r="E30" s="52"/>
      <c r="F30" s="84"/>
      <c r="G30" s="63">
        <f t="shared" si="21"/>
        <v>0.20263463773731111</v>
      </c>
      <c r="H30" s="88"/>
      <c r="I30" s="88"/>
      <c r="J30" s="58">
        <f t="shared" ref="J30:J41" si="23">C30/C$29</f>
        <v>-0.57999999999999996</v>
      </c>
      <c r="K30" s="58">
        <f t="shared" si="22"/>
        <v>-0.64</v>
      </c>
      <c r="L30" s="84"/>
      <c r="M30" s="84"/>
      <c r="N30" s="84"/>
      <c r="O30" s="84"/>
      <c r="P30" s="84"/>
      <c r="Q30" s="84"/>
      <c r="R30" s="84"/>
      <c r="Y30" s="8" t="s">
        <v>4</v>
      </c>
      <c r="Z30" s="9">
        <f>Z3</f>
        <v>252000</v>
      </c>
      <c r="AA30" s="9">
        <f>AA3</f>
        <v>289883</v>
      </c>
      <c r="AB30" s="9">
        <f>AB3</f>
        <v>328255</v>
      </c>
    </row>
    <row r="31" spans="1:28" s="19" customFormat="1" x14ac:dyDescent="0.25">
      <c r="A31" s="71" t="s">
        <v>50</v>
      </c>
      <c r="B31" s="72"/>
      <c r="C31" s="73">
        <f>SUM(C29:C30)</f>
        <v>186900</v>
      </c>
      <c r="D31" s="73">
        <f>SUM(D29:D30)</f>
        <v>174600</v>
      </c>
      <c r="E31" s="53"/>
      <c r="F31" s="84"/>
      <c r="G31" s="66">
        <f t="shared" si="21"/>
        <v>-6.5810593900481537E-2</v>
      </c>
      <c r="H31" s="89"/>
      <c r="I31" s="89"/>
      <c r="J31" s="67">
        <f t="shared" si="23"/>
        <v>0.42</v>
      </c>
      <c r="K31" s="67">
        <f t="shared" si="22"/>
        <v>0.36</v>
      </c>
      <c r="L31" s="84"/>
      <c r="M31" s="84"/>
      <c r="N31" s="84"/>
      <c r="O31" s="84"/>
      <c r="P31" s="84"/>
      <c r="Q31" s="84"/>
      <c r="R31" s="84"/>
      <c r="X31"/>
      <c r="Y31"/>
      <c r="Z31" s="17"/>
      <c r="AA31" s="17"/>
      <c r="AB31" s="17"/>
    </row>
    <row r="32" spans="1:28" x14ac:dyDescent="0.25">
      <c r="A32" s="74" t="s">
        <v>51</v>
      </c>
      <c r="B32" s="80"/>
      <c r="C32" s="75">
        <v>6300</v>
      </c>
      <c r="D32" s="75">
        <v>11500</v>
      </c>
      <c r="E32" s="81"/>
      <c r="F32" s="84"/>
      <c r="G32" s="63">
        <f t="shared" si="21"/>
        <v>0.82539682539682535</v>
      </c>
      <c r="H32" s="88"/>
      <c r="I32" s="88"/>
      <c r="J32" s="58">
        <f t="shared" si="23"/>
        <v>1.4157303370786517E-2</v>
      </c>
      <c r="K32" s="58">
        <f t="shared" si="22"/>
        <v>2.3711340206185566E-2</v>
      </c>
      <c r="L32" s="84"/>
      <c r="M32" s="84"/>
      <c r="N32" s="84"/>
      <c r="O32" s="84"/>
      <c r="P32" s="84"/>
      <c r="Q32" s="84"/>
      <c r="R32" s="84"/>
      <c r="Z32" s="27"/>
      <c r="AA32" s="27"/>
      <c r="AB32" s="27"/>
    </row>
    <row r="33" spans="1:28" x14ac:dyDescent="0.25">
      <c r="A33" s="74" t="s">
        <v>52</v>
      </c>
      <c r="B33" s="80"/>
      <c r="C33" s="75">
        <v>-75000</v>
      </c>
      <c r="D33" s="75">
        <v>-71000</v>
      </c>
      <c r="E33" s="52"/>
      <c r="F33" s="84"/>
      <c r="G33" s="63">
        <f t="shared" si="21"/>
        <v>-5.3333333333333337E-2</v>
      </c>
      <c r="H33" s="88"/>
      <c r="I33" s="88"/>
      <c r="J33" s="58">
        <f t="shared" si="23"/>
        <v>-0.16853932584269662</v>
      </c>
      <c r="K33" s="58">
        <f t="shared" si="22"/>
        <v>-0.14639175257731959</v>
      </c>
      <c r="L33" s="84"/>
      <c r="M33" s="84"/>
      <c r="N33" s="84"/>
      <c r="O33" s="84"/>
      <c r="P33" s="84"/>
      <c r="Q33" s="84"/>
      <c r="R33" s="84"/>
      <c r="Y33" s="19"/>
      <c r="Z33" s="28"/>
      <c r="AA33" s="28"/>
      <c r="AB33" s="28"/>
    </row>
    <row r="34" spans="1:28" x14ac:dyDescent="0.25">
      <c r="A34" s="74" t="s">
        <v>53</v>
      </c>
      <c r="B34" s="80"/>
      <c r="C34" s="75">
        <v>-65000</v>
      </c>
      <c r="D34" s="75">
        <v>-58000</v>
      </c>
      <c r="E34" s="52"/>
      <c r="F34" s="84"/>
      <c r="G34" s="63">
        <f t="shared" si="21"/>
        <v>-0.1076923076923077</v>
      </c>
      <c r="H34" s="88"/>
      <c r="I34" s="88"/>
      <c r="J34" s="58">
        <f t="shared" si="23"/>
        <v>-0.14606741573033707</v>
      </c>
      <c r="K34" s="58">
        <f t="shared" si="22"/>
        <v>-0.11958762886597939</v>
      </c>
      <c r="L34" s="84"/>
      <c r="M34" s="84"/>
      <c r="N34" s="84"/>
      <c r="O34" s="84"/>
      <c r="P34" s="84"/>
      <c r="Q34" s="84"/>
      <c r="R34" s="84"/>
      <c r="Y34" s="5" t="s">
        <v>54</v>
      </c>
      <c r="Z34" s="29"/>
      <c r="AA34" s="29"/>
      <c r="AB34" s="29"/>
    </row>
    <row r="35" spans="1:28" x14ac:dyDescent="0.25">
      <c r="A35" s="74" t="s">
        <v>55</v>
      </c>
      <c r="B35" s="80"/>
      <c r="C35" s="75">
        <v>-10500</v>
      </c>
      <c r="D35" s="75">
        <v>-11000</v>
      </c>
      <c r="E35" s="52"/>
      <c r="F35" s="84"/>
      <c r="G35" s="63">
        <f t="shared" si="21"/>
        <v>4.7619047619047616E-2</v>
      </c>
      <c r="H35" s="88"/>
      <c r="I35" s="88"/>
      <c r="J35" s="58">
        <f t="shared" si="23"/>
        <v>-2.359550561797753E-2</v>
      </c>
      <c r="K35" s="58">
        <f t="shared" si="22"/>
        <v>-2.268041237113402E-2</v>
      </c>
      <c r="L35" s="84"/>
      <c r="M35" s="84"/>
      <c r="N35" s="84"/>
      <c r="O35" s="84"/>
      <c r="P35" s="84"/>
      <c r="Q35" s="84"/>
      <c r="R35" s="84"/>
      <c r="Y35" s="5" t="s">
        <v>56</v>
      </c>
      <c r="Z35" s="21"/>
      <c r="AA35" s="21">
        <f>AVERAGE(Z30:AA30)</f>
        <v>270941.5</v>
      </c>
      <c r="AB35" s="21">
        <f>AVERAGE(AA30:AB30)</f>
        <v>309069</v>
      </c>
    </row>
    <row r="36" spans="1:28" x14ac:dyDescent="0.25">
      <c r="A36" s="74" t="s">
        <v>57</v>
      </c>
      <c r="B36" s="80"/>
      <c r="C36" s="75">
        <v>-3000</v>
      </c>
      <c r="D36" s="75">
        <v>-3900</v>
      </c>
      <c r="E36" s="52"/>
      <c r="F36" s="84"/>
      <c r="G36" s="63">
        <f t="shared" si="21"/>
        <v>0.3</v>
      </c>
      <c r="H36" s="88"/>
      <c r="I36" s="88"/>
      <c r="J36" s="58">
        <f t="shared" si="23"/>
        <v>-6.7415730337078653E-3</v>
      </c>
      <c r="K36" s="58">
        <f t="shared" si="22"/>
        <v>-8.0412371134020617E-3</v>
      </c>
      <c r="L36" s="84"/>
      <c r="M36" s="84"/>
      <c r="N36" s="84"/>
      <c r="O36" s="84"/>
      <c r="P36" s="84"/>
      <c r="Q36" s="84"/>
      <c r="R36" s="84"/>
      <c r="Y36" s="5" t="s">
        <v>58</v>
      </c>
      <c r="Z36" s="21"/>
      <c r="AA36" s="21">
        <f>AVERAGE(Z20:AA20)</f>
        <v>198007.5</v>
      </c>
      <c r="AB36" s="21">
        <f>AVERAGE(AA20:AB20)</f>
        <v>207972.5</v>
      </c>
    </row>
    <row r="37" spans="1:28" x14ac:dyDescent="0.25">
      <c r="A37" s="74" t="s">
        <v>59</v>
      </c>
      <c r="B37" s="80"/>
      <c r="C37" s="75">
        <v>2500</v>
      </c>
      <c r="D37" s="75">
        <v>2316</v>
      </c>
      <c r="E37" s="81"/>
      <c r="F37" s="84"/>
      <c r="G37" s="63">
        <f t="shared" si="21"/>
        <v>-7.3599999999999999E-2</v>
      </c>
      <c r="H37" s="88"/>
      <c r="I37" s="88"/>
      <c r="J37" s="58">
        <f t="shared" si="23"/>
        <v>5.6179775280898875E-3</v>
      </c>
      <c r="K37" s="58">
        <f t="shared" si="22"/>
        <v>4.7752577319587625E-3</v>
      </c>
      <c r="L37" s="84"/>
      <c r="M37" s="84"/>
      <c r="N37" s="84"/>
      <c r="O37" s="84"/>
      <c r="P37" s="84"/>
      <c r="Q37" s="84"/>
      <c r="R37" s="84"/>
      <c r="Y37" s="5" t="s">
        <v>60</v>
      </c>
      <c r="Z37" s="21"/>
      <c r="AA37" s="21">
        <f>AVERAGE(Z26:AA26)</f>
        <v>18934</v>
      </c>
      <c r="AB37" s="21">
        <f>AVERAGE(AA26:AB26)</f>
        <v>19596.5</v>
      </c>
    </row>
    <row r="38" spans="1:28" x14ac:dyDescent="0.25">
      <c r="A38" s="74" t="s">
        <v>61</v>
      </c>
      <c r="B38" s="80"/>
      <c r="C38" s="75">
        <v>-20950</v>
      </c>
      <c r="D38" s="75">
        <v>-26950</v>
      </c>
      <c r="E38" s="52"/>
      <c r="F38" s="84"/>
      <c r="G38" s="63">
        <f t="shared" si="21"/>
        <v>0.28639618138424822</v>
      </c>
      <c r="H38" s="88"/>
      <c r="I38" s="88"/>
      <c r="J38" s="58">
        <f t="shared" si="23"/>
        <v>-4.7078651685393255E-2</v>
      </c>
      <c r="K38" s="58">
        <f t="shared" si="22"/>
        <v>-5.5567010309278353E-2</v>
      </c>
      <c r="L38" s="84"/>
      <c r="M38" s="84"/>
      <c r="N38" s="84"/>
      <c r="O38" s="84"/>
      <c r="P38" s="84"/>
      <c r="Q38" s="84"/>
      <c r="R38" s="84"/>
      <c r="Y38" s="5" t="s">
        <v>62</v>
      </c>
      <c r="Z38" s="21"/>
      <c r="AA38" s="21">
        <f>AVERAGE(Z22:AA22)</f>
        <v>54000</v>
      </c>
      <c r="AB38" s="21">
        <f>AVERAGE(AA22:AB22)</f>
        <v>81500</v>
      </c>
    </row>
    <row r="39" spans="1:28" x14ac:dyDescent="0.25">
      <c r="A39" s="71" t="s">
        <v>63</v>
      </c>
      <c r="B39" s="72"/>
      <c r="C39" s="73">
        <f>SUM(C31:C38)</f>
        <v>21250</v>
      </c>
      <c r="D39" s="73">
        <f>SUM(D31:D38)</f>
        <v>17566</v>
      </c>
      <c r="E39" s="53"/>
      <c r="F39" s="84"/>
      <c r="G39" s="66">
        <f t="shared" si="21"/>
        <v>-0.17336470588235295</v>
      </c>
      <c r="H39" s="89"/>
      <c r="I39" s="89"/>
      <c r="J39" s="67">
        <f t="shared" si="23"/>
        <v>4.7752808988764044E-2</v>
      </c>
      <c r="K39" s="67">
        <f t="shared" si="22"/>
        <v>3.6218556701030927E-2</v>
      </c>
      <c r="L39" s="84"/>
      <c r="M39" s="84"/>
      <c r="N39" s="84"/>
      <c r="O39" s="84"/>
      <c r="P39" s="84"/>
      <c r="Q39" s="84"/>
      <c r="R39" s="84"/>
    </row>
    <row r="40" spans="1:28" x14ac:dyDescent="0.25">
      <c r="A40" s="74" t="s">
        <v>64</v>
      </c>
      <c r="B40" s="80"/>
      <c r="C40" s="75">
        <v>-4485</v>
      </c>
      <c r="D40" s="75">
        <v>-1820</v>
      </c>
      <c r="E40" s="52"/>
      <c r="F40" s="84"/>
      <c r="G40" s="63">
        <f t="shared" si="21"/>
        <v>-0.59420289855072461</v>
      </c>
      <c r="H40" s="88"/>
      <c r="I40" s="88"/>
      <c r="J40" s="58">
        <f t="shared" si="23"/>
        <v>-1.0078651685393259E-2</v>
      </c>
      <c r="K40" s="58">
        <f t="shared" si="22"/>
        <v>-3.7525773195876289E-3</v>
      </c>
      <c r="L40" s="84"/>
      <c r="M40" s="84"/>
      <c r="N40" s="84"/>
      <c r="O40" s="84"/>
      <c r="P40" s="84"/>
      <c r="Q40" s="84"/>
      <c r="R40" s="84"/>
      <c r="Y40" s="5" t="s">
        <v>91</v>
      </c>
      <c r="Z40" s="10"/>
      <c r="AA40" s="15">
        <f>C52/AA36</f>
        <v>2.2473896190800855</v>
      </c>
      <c r="AB40" s="15">
        <f>D52/AB36</f>
        <v>2.3320390917068363</v>
      </c>
    </row>
    <row r="41" spans="1:28" x14ac:dyDescent="0.25">
      <c r="A41" s="71" t="s">
        <v>65</v>
      </c>
      <c r="B41" s="72"/>
      <c r="C41" s="73">
        <f>C39+C40</f>
        <v>16765</v>
      </c>
      <c r="D41" s="73">
        <f>D39+D40</f>
        <v>15746</v>
      </c>
      <c r="E41" s="53"/>
      <c r="F41" s="84"/>
      <c r="G41" s="66">
        <f t="shared" si="21"/>
        <v>-6.0781389800178942E-2</v>
      </c>
      <c r="H41" s="89"/>
      <c r="I41" s="89"/>
      <c r="J41" s="67">
        <f t="shared" si="23"/>
        <v>3.7674157303370787E-2</v>
      </c>
      <c r="K41" s="67">
        <f t="shared" si="22"/>
        <v>3.24659793814433E-2</v>
      </c>
      <c r="L41" s="84"/>
      <c r="M41" s="84"/>
      <c r="N41" s="84"/>
      <c r="O41" s="84"/>
      <c r="P41" s="84"/>
      <c r="Q41" s="84"/>
      <c r="R41" s="84"/>
      <c r="Y41" s="5" t="s">
        <v>92</v>
      </c>
      <c r="Z41" s="10"/>
      <c r="AA41" s="33">
        <f>C61/C52</f>
        <v>5.0880898876404491E-2</v>
      </c>
      <c r="AB41" s="33">
        <f>D61/D52</f>
        <v>4.2277195876288663E-2</v>
      </c>
    </row>
    <row r="42" spans="1:28" x14ac:dyDescent="0.25">
      <c r="A42" s="10"/>
      <c r="B42" s="6"/>
      <c r="C42" s="34"/>
      <c r="D42" s="34"/>
      <c r="E42" s="54"/>
      <c r="F42" s="85"/>
      <c r="G42" s="77"/>
      <c r="H42" s="77"/>
      <c r="I42" s="77"/>
      <c r="J42" s="77"/>
      <c r="K42" s="77"/>
      <c r="L42" s="77"/>
      <c r="M42" s="77"/>
      <c r="R42" s="77"/>
      <c r="Y42" s="5" t="s">
        <v>93</v>
      </c>
      <c r="Z42" s="10"/>
      <c r="AA42" s="33">
        <f>C54/C52</f>
        <v>0.42</v>
      </c>
      <c r="AB42" s="33">
        <f>D54/D52</f>
        <v>0.36</v>
      </c>
    </row>
    <row r="43" spans="1:28" x14ac:dyDescent="0.25">
      <c r="A43" s="10" t="s">
        <v>66</v>
      </c>
      <c r="B43" s="6"/>
      <c r="C43" s="7"/>
      <c r="D43" s="7"/>
      <c r="E43" s="52"/>
      <c r="F43" s="81"/>
      <c r="G43" s="77"/>
      <c r="H43" s="77"/>
      <c r="I43" s="77"/>
      <c r="J43" s="77"/>
      <c r="K43" s="77"/>
      <c r="L43" s="77"/>
      <c r="M43" s="77"/>
      <c r="R43" s="77"/>
      <c r="Y43" s="35" t="s">
        <v>67</v>
      </c>
      <c r="Z43" s="36"/>
      <c r="AA43" s="37">
        <f>AA41*AA40</f>
        <v>0.11434920394429504</v>
      </c>
      <c r="AB43" s="37">
        <f>AB41*AB40</f>
        <v>9.859207347125222E-2</v>
      </c>
    </row>
    <row r="44" spans="1:28" x14ac:dyDescent="0.25">
      <c r="A44" s="10" t="s">
        <v>68</v>
      </c>
      <c r="B44" s="6"/>
      <c r="C44" s="7">
        <f>-C40</f>
        <v>4485</v>
      </c>
      <c r="D44" s="7">
        <f>-D40</f>
        <v>1820</v>
      </c>
      <c r="E44" s="52"/>
      <c r="F44" s="81"/>
      <c r="G44" s="77"/>
      <c r="H44" s="77"/>
      <c r="I44" s="77"/>
      <c r="J44" s="77"/>
      <c r="K44" s="77"/>
      <c r="L44" s="77"/>
      <c r="M44" s="77"/>
      <c r="R44" s="77"/>
      <c r="Y44" s="35" t="s">
        <v>67</v>
      </c>
      <c r="Z44" s="36"/>
      <c r="AA44" s="37">
        <f>C61/AA36</f>
        <v>0.11434920394429504</v>
      </c>
      <c r="AB44" s="37">
        <f>D61/AB36</f>
        <v>9.859207347125222E-2</v>
      </c>
    </row>
    <row r="45" spans="1:28" x14ac:dyDescent="0.25">
      <c r="A45" s="10" t="s">
        <v>69</v>
      </c>
      <c r="B45" s="6"/>
      <c r="C45" s="7">
        <f>-34%*C37</f>
        <v>-850.00000000000011</v>
      </c>
      <c r="D45" s="7">
        <f>-34%*D37</f>
        <v>-787.44</v>
      </c>
      <c r="E45" s="52"/>
      <c r="F45" s="81"/>
      <c r="G45" s="77"/>
      <c r="H45" s="77"/>
      <c r="I45" s="77"/>
      <c r="J45" s="77"/>
      <c r="K45" s="77"/>
      <c r="L45" s="77"/>
      <c r="M45" s="77"/>
      <c r="R45" s="77"/>
      <c r="Y45" s="30" t="s">
        <v>70</v>
      </c>
      <c r="Z45" s="31"/>
      <c r="AA45" s="38">
        <f>C63/AA37</f>
        <v>8.7144818844406891E-2</v>
      </c>
      <c r="AB45" s="38">
        <f>D63/AB37</f>
        <v>7.8001683974179073E-2</v>
      </c>
    </row>
    <row r="46" spans="1:28" x14ac:dyDescent="0.25">
      <c r="A46" s="10" t="s">
        <v>71</v>
      </c>
      <c r="B46" s="6"/>
      <c r="C46" s="7">
        <f>-34%*C38</f>
        <v>7123.0000000000009</v>
      </c>
      <c r="D46" s="7">
        <f>-34%*D38</f>
        <v>9163</v>
      </c>
      <c r="E46" s="52"/>
      <c r="F46" s="81"/>
      <c r="G46" s="77"/>
      <c r="H46" s="77"/>
      <c r="I46" s="77"/>
      <c r="J46" s="77"/>
      <c r="K46" s="77"/>
      <c r="L46" s="77"/>
      <c r="M46" s="77"/>
      <c r="R46" s="77"/>
      <c r="Y46" s="39" t="s">
        <v>72</v>
      </c>
      <c r="Z46" s="24"/>
      <c r="AA46" s="40">
        <f>C64/AA38</f>
        <v>0.11666666666666667</v>
      </c>
      <c r="AB46" s="40">
        <f>D64/AB38</f>
        <v>0.1411042944785276</v>
      </c>
    </row>
    <row r="47" spans="1:28" ht="21" x14ac:dyDescent="0.35">
      <c r="A47" s="10" t="s">
        <v>73</v>
      </c>
      <c r="B47" s="6"/>
      <c r="C47" s="7">
        <f>-SUM(C44:C46)</f>
        <v>-10758</v>
      </c>
      <c r="D47" s="7">
        <f>-SUM(D44:D46)</f>
        <v>-10195.56</v>
      </c>
      <c r="E47" s="52"/>
      <c r="F47" s="81"/>
      <c r="G47" s="77"/>
      <c r="H47" s="77"/>
      <c r="I47" s="77"/>
      <c r="J47" s="77"/>
      <c r="K47" s="77"/>
      <c r="L47" s="77"/>
      <c r="M47" s="77"/>
      <c r="R47" s="77"/>
      <c r="Y47" s="41" t="s">
        <v>74</v>
      </c>
      <c r="Z47" s="42"/>
      <c r="AA47" s="43">
        <f>(C61+C63+C64)/(AA35)</f>
        <v>0.11290998241317775</v>
      </c>
      <c r="AB47" s="43">
        <f>(D61+D63+D64)/(AB35)</f>
        <v>0.10849680815610753</v>
      </c>
    </row>
    <row r="51" spans="1:28" x14ac:dyDescent="0.25">
      <c r="A51" s="5" t="s">
        <v>75</v>
      </c>
      <c r="B51" s="6"/>
      <c r="C51" s="7"/>
      <c r="D51" s="7"/>
      <c r="E51" s="52"/>
      <c r="F51" s="52"/>
    </row>
    <row r="52" spans="1:28" x14ac:dyDescent="0.25">
      <c r="A52" s="10" t="s">
        <v>48</v>
      </c>
      <c r="B52" s="6"/>
      <c r="C52" s="7">
        <v>445000</v>
      </c>
      <c r="D52" s="7">
        <v>485000</v>
      </c>
      <c r="E52" s="52"/>
      <c r="F52" s="52"/>
    </row>
    <row r="53" spans="1:28" x14ac:dyDescent="0.25">
      <c r="A53" s="10" t="s">
        <v>49</v>
      </c>
      <c r="B53" s="6"/>
      <c r="C53" s="7">
        <v>-258100</v>
      </c>
      <c r="D53" s="7">
        <v>-310400</v>
      </c>
      <c r="E53" s="52"/>
      <c r="F53" s="52"/>
      <c r="Y53" s="44"/>
    </row>
    <row r="54" spans="1:28" x14ac:dyDescent="0.25">
      <c r="A54" s="5" t="s">
        <v>50</v>
      </c>
      <c r="B54" s="11"/>
      <c r="C54" s="12">
        <f>SUM(C52:C53)</f>
        <v>186900</v>
      </c>
      <c r="D54" s="12">
        <f>SUM(D52:D53)</f>
        <v>174600</v>
      </c>
      <c r="E54" s="53"/>
      <c r="F54" s="53"/>
    </row>
    <row r="55" spans="1:28" x14ac:dyDescent="0.25">
      <c r="A55" s="10" t="s">
        <v>52</v>
      </c>
      <c r="B55" s="6"/>
      <c r="C55" s="7">
        <v>-75000</v>
      </c>
      <c r="D55" s="7">
        <v>-71000</v>
      </c>
      <c r="E55" s="52"/>
      <c r="F55" s="52"/>
      <c r="Y55" s="44"/>
    </row>
    <row r="56" spans="1:28" x14ac:dyDescent="0.25">
      <c r="A56" s="10" t="s">
        <v>53</v>
      </c>
      <c r="B56" s="6"/>
      <c r="C56" s="7">
        <v>-65000</v>
      </c>
      <c r="D56" s="7">
        <v>-58000</v>
      </c>
      <c r="E56" s="52"/>
      <c r="F56" s="52"/>
    </row>
    <row r="57" spans="1:28" x14ac:dyDescent="0.25">
      <c r="A57" s="10" t="s">
        <v>55</v>
      </c>
      <c r="B57" s="6"/>
      <c r="C57" s="7">
        <v>-10500</v>
      </c>
      <c r="D57" s="7">
        <v>-11000</v>
      </c>
      <c r="E57" s="52"/>
      <c r="F57" s="52"/>
      <c r="Y57" s="5" t="s">
        <v>76</v>
      </c>
      <c r="Z57" s="10"/>
      <c r="AA57" s="33">
        <f>-C62/AVERAGE(Z4:AA4)</f>
        <v>0.13200000000000001</v>
      </c>
      <c r="AB57" s="33">
        <f>-D62/AVERAGE(AA4:AB4)</f>
        <v>0.13200000000000001</v>
      </c>
    </row>
    <row r="58" spans="1:28" x14ac:dyDescent="0.25">
      <c r="A58" s="10" t="s">
        <v>57</v>
      </c>
      <c r="B58" s="6"/>
      <c r="C58" s="7">
        <v>-3000</v>
      </c>
      <c r="D58" s="7">
        <v>-3900</v>
      </c>
      <c r="E58" s="52"/>
      <c r="F58" s="52"/>
      <c r="Y58" s="10"/>
      <c r="Z58" s="10"/>
      <c r="AA58" s="10"/>
      <c r="AB58" s="10"/>
    </row>
    <row r="59" spans="1:28" x14ac:dyDescent="0.25">
      <c r="A59" s="10" t="s">
        <v>63</v>
      </c>
      <c r="B59" s="6"/>
      <c r="C59" s="7">
        <f>SUM(C54:C58)</f>
        <v>33400</v>
      </c>
      <c r="D59" s="7">
        <f>SUM(D54:D58)</f>
        <v>30700</v>
      </c>
      <c r="E59" s="52"/>
      <c r="F59" s="52"/>
      <c r="Y59" s="5" t="s">
        <v>94</v>
      </c>
      <c r="Z59" s="10"/>
      <c r="AA59" s="45">
        <f>AA47-AA57</f>
        <v>-1.9090017586822258E-2</v>
      </c>
      <c r="AB59" s="45">
        <f>AB47-AB57</f>
        <v>-2.3503191843892476E-2</v>
      </c>
    </row>
    <row r="60" spans="1:28" x14ac:dyDescent="0.25">
      <c r="A60" s="10" t="s">
        <v>64</v>
      </c>
      <c r="B60" s="6"/>
      <c r="C60" s="7">
        <f>C47</f>
        <v>-10758</v>
      </c>
      <c r="D60" s="7">
        <f>D47</f>
        <v>-10195.56</v>
      </c>
      <c r="E60" s="52"/>
      <c r="F60" s="52"/>
      <c r="Y60" s="10"/>
      <c r="Z60" s="10"/>
      <c r="AA60" s="10"/>
      <c r="AB60" s="10"/>
    </row>
    <row r="61" spans="1:28" x14ac:dyDescent="0.25">
      <c r="A61" s="35" t="s">
        <v>77</v>
      </c>
      <c r="B61" s="46"/>
      <c r="C61" s="47">
        <f>C60+C59</f>
        <v>22642</v>
      </c>
      <c r="D61" s="47">
        <f>D60+D59</f>
        <v>20504.440000000002</v>
      </c>
      <c r="E61" s="55"/>
      <c r="F61" s="55"/>
      <c r="Y61" s="5" t="s">
        <v>78</v>
      </c>
      <c r="Z61" s="10"/>
      <c r="AA61" s="33">
        <f>C41/AVERAGE(Z5:AA5)</f>
        <v>0.1008776020434258</v>
      </c>
      <c r="AB61" s="33">
        <f>D41/AVERAGE(AA5:AB5)</f>
        <v>9.0328650347925352E-2</v>
      </c>
    </row>
    <row r="62" spans="1:28" x14ac:dyDescent="0.25">
      <c r="A62" s="10" t="s">
        <v>79</v>
      </c>
      <c r="B62" s="6"/>
      <c r="C62" s="7">
        <f>C38*66%</f>
        <v>-13827</v>
      </c>
      <c r="D62" s="7">
        <f>D38*66%</f>
        <v>-17787</v>
      </c>
      <c r="E62" s="52"/>
      <c r="F62" s="52"/>
      <c r="Y62" s="10"/>
      <c r="Z62" s="10"/>
      <c r="AA62" s="10"/>
      <c r="AB62" s="10"/>
    </row>
    <row r="63" spans="1:28" x14ac:dyDescent="0.25">
      <c r="A63" s="30" t="s">
        <v>80</v>
      </c>
      <c r="B63" s="31"/>
      <c r="C63" s="32">
        <f>C37*66%</f>
        <v>1650</v>
      </c>
      <c r="D63" s="32">
        <f>D37*66%</f>
        <v>1528.5600000000002</v>
      </c>
      <c r="E63"/>
      <c r="F63"/>
      <c r="Y63" s="5" t="s">
        <v>95</v>
      </c>
      <c r="Z63" s="10"/>
      <c r="AA63" s="48">
        <f>AA61/AA47</f>
        <v>0.89343386552199444</v>
      </c>
      <c r="AB63" s="48">
        <f>AB61/AB47</f>
        <v>0.83254661480878367</v>
      </c>
    </row>
    <row r="64" spans="1:28" x14ac:dyDescent="0.25">
      <c r="A64" s="24" t="s">
        <v>81</v>
      </c>
      <c r="B64" s="25"/>
      <c r="C64" s="26">
        <f>C32</f>
        <v>6300</v>
      </c>
      <c r="D64" s="26">
        <f>D32</f>
        <v>11500</v>
      </c>
      <c r="E64"/>
      <c r="F64"/>
      <c r="Y64" s="5"/>
      <c r="Z64" s="10"/>
      <c r="AA64" s="48"/>
      <c r="AB64" s="48"/>
    </row>
    <row r="65" spans="1:28" x14ac:dyDescent="0.25">
      <c r="A65" s="10" t="s">
        <v>82</v>
      </c>
      <c r="B65" s="6"/>
      <c r="C65" s="7">
        <f>SUM(C61:C64)</f>
        <v>16765</v>
      </c>
      <c r="D65" s="7">
        <f>SUM(D61:D64)</f>
        <v>15746.000000000004</v>
      </c>
      <c r="E65"/>
      <c r="F65"/>
      <c r="Y65" s="105" t="s">
        <v>99</v>
      </c>
      <c r="Z65" s="10"/>
      <c r="AA65" s="48"/>
      <c r="AB65" s="48"/>
    </row>
    <row r="66" spans="1:28" x14ac:dyDescent="0.25">
      <c r="A66" s="10"/>
      <c r="B66" s="6"/>
      <c r="C66" s="7">
        <f>C65-C41</f>
        <v>0</v>
      </c>
      <c r="D66" s="7">
        <f>D65-D41</f>
        <v>0</v>
      </c>
      <c r="E66"/>
      <c r="F66"/>
      <c r="Y66" s="5" t="s">
        <v>9</v>
      </c>
      <c r="Z66" s="10"/>
      <c r="AA66" s="104">
        <f>AVERAGE(Z5:AA5)</f>
        <v>166191.5</v>
      </c>
      <c r="AB66" s="104">
        <f>AVERAGE(AA5:AB5)</f>
        <v>174319</v>
      </c>
    </row>
    <row r="67" spans="1:28" x14ac:dyDescent="0.25">
      <c r="B67"/>
      <c r="C67"/>
      <c r="D67"/>
      <c r="E67"/>
      <c r="F67"/>
      <c r="Y67" s="5" t="s">
        <v>100</v>
      </c>
      <c r="Z67" s="10"/>
      <c r="AA67" s="104">
        <f>AA66*AA47</f>
        <v>18764.679342219632</v>
      </c>
      <c r="AB67" s="104">
        <f>AB66*AB47</f>
        <v>18913.05510096451</v>
      </c>
    </row>
    <row r="68" spans="1:28" x14ac:dyDescent="0.25">
      <c r="B68"/>
      <c r="C68"/>
      <c r="D68"/>
      <c r="E68"/>
      <c r="F68"/>
      <c r="Y68" s="5" t="s">
        <v>106</v>
      </c>
      <c r="Z68" s="10"/>
      <c r="AA68" s="33">
        <f>AA67/AA66</f>
        <v>0.11290998241317776</v>
      </c>
      <c r="AB68" s="33">
        <f>AB67/AB66</f>
        <v>0.10849680815610753</v>
      </c>
    </row>
    <row r="69" spans="1:28" x14ac:dyDescent="0.25">
      <c r="B69"/>
      <c r="C69"/>
      <c r="D69"/>
      <c r="E69"/>
      <c r="F69"/>
      <c r="Y69" s="5"/>
      <c r="Z69" s="10"/>
      <c r="AA69" s="48"/>
      <c r="AB69" s="48"/>
    </row>
    <row r="70" spans="1:28" x14ac:dyDescent="0.25">
      <c r="B70"/>
      <c r="C70"/>
      <c r="D70"/>
      <c r="E70"/>
      <c r="F70"/>
      <c r="Y70" s="5" t="s">
        <v>6</v>
      </c>
      <c r="Z70" s="10"/>
      <c r="AA70" s="104">
        <f>AVERAGE(Z4:AA4)</f>
        <v>104750</v>
      </c>
      <c r="AB70" s="104">
        <f>AVERAGE(AA4:AB4)</f>
        <v>134750</v>
      </c>
    </row>
    <row r="71" spans="1:28" x14ac:dyDescent="0.25">
      <c r="B71"/>
      <c r="C71"/>
      <c r="D71"/>
      <c r="E71"/>
      <c r="F71"/>
      <c r="Y71" s="5" t="s">
        <v>76</v>
      </c>
      <c r="Z71" s="10"/>
      <c r="AA71" s="33">
        <f>AA57</f>
        <v>0.13200000000000001</v>
      </c>
      <c r="AB71" s="33">
        <f>AB57</f>
        <v>0.13200000000000001</v>
      </c>
    </row>
    <row r="72" spans="1:28" x14ac:dyDescent="0.25">
      <c r="E72"/>
      <c r="F72"/>
      <c r="Y72" s="5" t="s">
        <v>101</v>
      </c>
      <c r="Z72" s="10"/>
      <c r="AA72" s="106">
        <f>AA71*AA70</f>
        <v>13827</v>
      </c>
      <c r="AB72" s="106">
        <f>AB71*AB70</f>
        <v>17787</v>
      </c>
    </row>
    <row r="73" spans="1:28" x14ac:dyDescent="0.25">
      <c r="E73"/>
      <c r="F73"/>
      <c r="Y73" s="10"/>
      <c r="Z73" s="10"/>
      <c r="AA73" s="106"/>
      <c r="AB73" s="106"/>
    </row>
    <row r="74" spans="1:28" x14ac:dyDescent="0.25">
      <c r="E74"/>
      <c r="F74"/>
      <c r="Y74" s="5" t="s">
        <v>6</v>
      </c>
      <c r="Z74" s="10"/>
      <c r="AA74" s="106">
        <f>AA70</f>
        <v>104750</v>
      </c>
      <c r="AB74" s="106">
        <f>AB70</f>
        <v>134750</v>
      </c>
    </row>
    <row r="75" spans="1:28" x14ac:dyDescent="0.25">
      <c r="E75"/>
      <c r="F75"/>
      <c r="Y75" s="5" t="s">
        <v>102</v>
      </c>
      <c r="Z75" s="10"/>
      <c r="AA75" s="33">
        <f>AA47</f>
        <v>0.11290998241317775</v>
      </c>
      <c r="AB75" s="33">
        <f>AB47</f>
        <v>0.10849680815610753</v>
      </c>
    </row>
    <row r="76" spans="1:28" x14ac:dyDescent="0.25">
      <c r="E76"/>
      <c r="F76"/>
      <c r="Y76" s="5" t="s">
        <v>103</v>
      </c>
      <c r="Z76" s="10"/>
      <c r="AA76" s="106">
        <f>AA75*AA74</f>
        <v>11827.320657780368</v>
      </c>
      <c r="AB76" s="106">
        <f>AB75*AB74</f>
        <v>14619.94489903549</v>
      </c>
    </row>
    <row r="77" spans="1:28" x14ac:dyDescent="0.25">
      <c r="E77"/>
      <c r="F77"/>
      <c r="Y77" s="10"/>
      <c r="Z77" s="10"/>
      <c r="AA77" s="106"/>
      <c r="AB77" s="106"/>
    </row>
    <row r="78" spans="1:28" x14ac:dyDescent="0.25">
      <c r="E78"/>
      <c r="F78"/>
      <c r="Y78" s="5" t="s">
        <v>104</v>
      </c>
      <c r="Z78" s="10"/>
      <c r="AA78" s="106">
        <f>AA76-AA72</f>
        <v>-1999.6793422196315</v>
      </c>
      <c r="AB78" s="106">
        <f>AB76-AB72</f>
        <v>-3167.0551009645096</v>
      </c>
    </row>
    <row r="79" spans="1:28" x14ac:dyDescent="0.25">
      <c r="E79"/>
      <c r="F79"/>
      <c r="Y79" s="5" t="s">
        <v>105</v>
      </c>
      <c r="Z79" s="10"/>
      <c r="AA79" s="33">
        <f>AA78/AA66</f>
        <v>-1.2032380369751952E-2</v>
      </c>
      <c r="AB79" s="33">
        <f>AB78/AB66</f>
        <v>-1.8168157808182182E-2</v>
      </c>
    </row>
    <row r="80" spans="1:28" x14ac:dyDescent="0.25">
      <c r="E80"/>
      <c r="F80"/>
      <c r="Y80" s="5" t="s">
        <v>106</v>
      </c>
      <c r="Z80" s="10"/>
      <c r="AA80" s="33">
        <f>AA68</f>
        <v>0.11290998241317776</v>
      </c>
      <c r="AB80" s="33">
        <f>AB68</f>
        <v>0.10849680815610753</v>
      </c>
    </row>
    <row r="81" spans="5:35" x14ac:dyDescent="0.25">
      <c r="E81"/>
      <c r="F81"/>
      <c r="Y81" s="5" t="s">
        <v>107</v>
      </c>
      <c r="Z81" s="10"/>
      <c r="AA81" s="33">
        <f>AA80+AA79</f>
        <v>0.10087760204342582</v>
      </c>
      <c r="AB81" s="33">
        <f>AB80+AB79</f>
        <v>9.0328650347925352E-2</v>
      </c>
    </row>
    <row r="82" spans="5:35" x14ac:dyDescent="0.25">
      <c r="E82"/>
      <c r="F82"/>
      <c r="Y82" s="10"/>
      <c r="Z82" s="10"/>
      <c r="AA82" s="106"/>
      <c r="AB82" s="106"/>
    </row>
    <row r="83" spans="5:35" x14ac:dyDescent="0.25">
      <c r="E83" s="52"/>
      <c r="F83" s="52"/>
    </row>
    <row r="84" spans="5:35" x14ac:dyDescent="0.25">
      <c r="E84" s="52"/>
      <c r="F84" s="52"/>
    </row>
    <row r="87" spans="5:35" x14ac:dyDescent="0.25">
      <c r="AC87" s="102" t="s">
        <v>83</v>
      </c>
    </row>
    <row r="91" spans="5:35" x14ac:dyDescent="0.25">
      <c r="AD91" s="93"/>
      <c r="AE91" s="93"/>
      <c r="AF91" s="93"/>
      <c r="AG91" s="93"/>
      <c r="AH91" s="93"/>
      <c r="AI91" s="93"/>
    </row>
    <row r="92" spans="5:35" x14ac:dyDescent="0.25">
      <c r="AD92" s="93"/>
      <c r="AE92" s="93"/>
      <c r="AF92" s="93"/>
      <c r="AG92" s="93"/>
      <c r="AH92" s="93"/>
      <c r="AI92" s="93"/>
    </row>
    <row r="93" spans="5:35" x14ac:dyDescent="0.25">
      <c r="AD93" s="93"/>
      <c r="AE93" s="93"/>
      <c r="AF93" s="93"/>
      <c r="AG93" s="93"/>
      <c r="AH93" s="93"/>
      <c r="AI93" s="93"/>
    </row>
    <row r="94" spans="5:35" x14ac:dyDescent="0.25">
      <c r="AD94" s="93"/>
      <c r="AE94" s="93"/>
      <c r="AF94" s="93"/>
      <c r="AG94" s="93"/>
      <c r="AH94" s="93"/>
      <c r="AI94" s="93"/>
    </row>
    <row r="95" spans="5:35" x14ac:dyDescent="0.25">
      <c r="AD95" s="93"/>
      <c r="AE95" s="93"/>
      <c r="AF95" s="93"/>
      <c r="AG95" s="93"/>
      <c r="AH95" s="93"/>
      <c r="AI95" s="93"/>
    </row>
    <row r="96" spans="5:35" x14ac:dyDescent="0.25">
      <c r="AD96" s="93"/>
      <c r="AE96" s="93"/>
      <c r="AF96" s="93"/>
      <c r="AG96" s="93"/>
      <c r="AH96" s="93"/>
      <c r="AI96" s="93"/>
    </row>
    <row r="97" spans="25:35" x14ac:dyDescent="0.25">
      <c r="AD97" s="107"/>
      <c r="AE97" s="107"/>
      <c r="AF97" s="93"/>
      <c r="AG97" s="93"/>
      <c r="AH97" s="93"/>
      <c r="AI97" s="93"/>
    </row>
    <row r="98" spans="25:35" x14ac:dyDescent="0.25">
      <c r="AD98" s="93"/>
      <c r="AE98" s="93"/>
      <c r="AF98" s="93"/>
      <c r="AG98" s="93"/>
      <c r="AH98" s="93"/>
      <c r="AI98" s="93"/>
    </row>
    <row r="99" spans="25:35" x14ac:dyDescent="0.25">
      <c r="AD99" s="93"/>
      <c r="AE99" s="93"/>
      <c r="AF99" s="93"/>
      <c r="AG99" s="93"/>
      <c r="AH99" s="93"/>
      <c r="AI99" s="93"/>
    </row>
    <row r="100" spans="25:35" x14ac:dyDescent="0.25">
      <c r="AD100" s="93"/>
      <c r="AE100" s="93"/>
      <c r="AF100" s="93"/>
      <c r="AG100" s="93"/>
      <c r="AH100" s="93"/>
      <c r="AI100" s="93"/>
    </row>
    <row r="109" spans="25:35" x14ac:dyDescent="0.25">
      <c r="Y109" s="44"/>
    </row>
    <row r="110" spans="25:35" x14ac:dyDescent="0.25">
      <c r="Y110" s="50"/>
    </row>
    <row r="111" spans="25:35" x14ac:dyDescent="0.25">
      <c r="Y111" s="50"/>
    </row>
    <row r="112" spans="25:35" x14ac:dyDescent="0.25">
      <c r="Y112" s="50"/>
    </row>
    <row r="115" spans="1:34" s="2" customFormat="1" x14ac:dyDescent="0.25">
      <c r="A115" s="51"/>
      <c r="B115" s="1"/>
      <c r="G115"/>
      <c r="H115"/>
      <c r="I115"/>
      <c r="J115"/>
      <c r="K115"/>
      <c r="L115"/>
      <c r="M115"/>
      <c r="N115" s="77"/>
      <c r="O115" s="77"/>
      <c r="P115" s="77"/>
      <c r="Q115" s="77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</sheetData>
  <mergeCells count="1">
    <mergeCell ref="AD97:AE97"/>
  </mergeCells>
  <pageMargins left="0.31496062992125984" right="0.31496062992125984" top="0.35433070866141736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48"/>
  <sheetViews>
    <sheetView workbookViewId="0">
      <selection activeCell="E6" sqref="E6"/>
    </sheetView>
  </sheetViews>
  <sheetFormatPr defaultRowHeight="15" x14ac:dyDescent="0.25"/>
  <cols>
    <col min="3" max="3" width="23.85546875" bestFit="1" customWidth="1"/>
    <col min="4" max="6" width="11.5703125" bestFit="1" customWidth="1"/>
  </cols>
  <sheetData>
    <row r="4" spans="3:6" x14ac:dyDescent="0.25">
      <c r="C4" s="10" t="s">
        <v>3</v>
      </c>
      <c r="D4" s="10"/>
      <c r="E4" s="15"/>
      <c r="F4" s="15"/>
    </row>
    <row r="5" spans="3:6" x14ac:dyDescent="0.25">
      <c r="C5" s="10" t="s">
        <v>5</v>
      </c>
      <c r="D5" s="6" t="s">
        <v>0</v>
      </c>
      <c r="E5" s="70" t="s">
        <v>1</v>
      </c>
      <c r="F5" s="70" t="s">
        <v>2</v>
      </c>
    </row>
    <row r="6" spans="3:6" x14ac:dyDescent="0.25">
      <c r="C6" s="10" t="s">
        <v>8</v>
      </c>
      <c r="D6" s="70">
        <v>3000</v>
      </c>
      <c r="E6" s="70">
        <v>4000</v>
      </c>
      <c r="F6" s="70">
        <v>2000</v>
      </c>
    </row>
    <row r="7" spans="3:6" x14ac:dyDescent="0.25">
      <c r="C7" s="10" t="s">
        <v>11</v>
      </c>
      <c r="D7" s="70">
        <v>25000</v>
      </c>
      <c r="E7" s="70">
        <v>12868</v>
      </c>
      <c r="F7" s="70">
        <v>26325</v>
      </c>
    </row>
    <row r="8" spans="3:6" x14ac:dyDescent="0.25">
      <c r="C8" s="10" t="s">
        <v>13</v>
      </c>
      <c r="D8" s="70">
        <v>100000</v>
      </c>
      <c r="E8" s="70">
        <v>130000</v>
      </c>
      <c r="F8" s="70">
        <v>143000</v>
      </c>
    </row>
    <row r="9" spans="3:6" x14ac:dyDescent="0.25">
      <c r="C9" s="10" t="s">
        <v>16</v>
      </c>
      <c r="D9" s="70">
        <v>90000</v>
      </c>
      <c r="E9" s="70">
        <v>75000</v>
      </c>
      <c r="F9" s="70">
        <v>65000</v>
      </c>
    </row>
    <row r="10" spans="3:6" x14ac:dyDescent="0.25">
      <c r="C10" s="10" t="s">
        <v>18</v>
      </c>
      <c r="D10" s="70">
        <v>218000</v>
      </c>
      <c r="E10" s="70">
        <v>221868</v>
      </c>
      <c r="F10" s="70">
        <v>236325</v>
      </c>
    </row>
    <row r="11" spans="3:6" x14ac:dyDescent="0.25">
      <c r="C11" s="10" t="s">
        <v>19</v>
      </c>
      <c r="D11" s="70">
        <v>43000</v>
      </c>
      <c r="E11" s="70">
        <v>65000</v>
      </c>
      <c r="F11" s="70">
        <v>98000</v>
      </c>
    </row>
    <row r="12" spans="3:6" x14ac:dyDescent="0.25">
      <c r="C12" s="10" t="s">
        <v>21</v>
      </c>
      <c r="D12" s="70">
        <v>100000</v>
      </c>
      <c r="E12" s="70">
        <v>110000</v>
      </c>
      <c r="F12" s="70">
        <v>110000</v>
      </c>
    </row>
    <row r="13" spans="3:6" x14ac:dyDescent="0.25">
      <c r="C13" s="10" t="s">
        <v>23</v>
      </c>
      <c r="D13" s="70">
        <v>-20000</v>
      </c>
      <c r="E13" s="70">
        <v>-30500</v>
      </c>
      <c r="F13" s="70">
        <v>-41500</v>
      </c>
    </row>
    <row r="14" spans="3:6" x14ac:dyDescent="0.25">
      <c r="C14" s="10" t="s">
        <v>25</v>
      </c>
      <c r="D14" s="70">
        <v>123000</v>
      </c>
      <c r="E14" s="70">
        <v>144500</v>
      </c>
      <c r="F14" s="70">
        <v>166500</v>
      </c>
    </row>
    <row r="15" spans="3:6" x14ac:dyDescent="0.25">
      <c r="C15" s="10" t="s">
        <v>27</v>
      </c>
      <c r="D15" s="70">
        <v>341000</v>
      </c>
      <c r="E15" s="70">
        <v>366368</v>
      </c>
      <c r="F15" s="70">
        <v>402825</v>
      </c>
    </row>
    <row r="16" spans="3:6" x14ac:dyDescent="0.25">
      <c r="C16" s="10"/>
      <c r="D16" s="70"/>
      <c r="E16" s="70"/>
      <c r="F16" s="70"/>
    </row>
    <row r="17" spans="3:6" x14ac:dyDescent="0.25">
      <c r="C17" s="10" t="s">
        <v>31</v>
      </c>
      <c r="D17" s="70">
        <v>72000</v>
      </c>
      <c r="E17" s="70">
        <v>60000</v>
      </c>
      <c r="F17" s="70">
        <v>61750</v>
      </c>
    </row>
    <row r="18" spans="3:6" x14ac:dyDescent="0.25">
      <c r="C18" s="10" t="s">
        <v>33</v>
      </c>
      <c r="D18" s="70">
        <v>2000</v>
      </c>
      <c r="E18" s="70">
        <v>4485</v>
      </c>
      <c r="F18" s="70">
        <v>1820</v>
      </c>
    </row>
    <row r="19" spans="3:6" x14ac:dyDescent="0.25">
      <c r="C19" s="10" t="s">
        <v>35</v>
      </c>
      <c r="D19" s="70">
        <v>15000</v>
      </c>
      <c r="E19" s="70">
        <v>12000</v>
      </c>
      <c r="F19" s="70">
        <v>11000</v>
      </c>
    </row>
    <row r="20" spans="3:6" x14ac:dyDescent="0.25">
      <c r="C20" s="10" t="s">
        <v>38</v>
      </c>
      <c r="D20" s="70">
        <v>89000</v>
      </c>
      <c r="E20" s="70">
        <v>76485</v>
      </c>
      <c r="F20" s="70">
        <v>74570</v>
      </c>
    </row>
    <row r="21" spans="3:6" x14ac:dyDescent="0.25">
      <c r="C21" s="10" t="s">
        <v>39</v>
      </c>
      <c r="D21" s="70">
        <v>90000</v>
      </c>
      <c r="E21" s="70">
        <v>119500</v>
      </c>
      <c r="F21" s="70">
        <v>150000</v>
      </c>
    </row>
    <row r="22" spans="3:6" x14ac:dyDescent="0.25">
      <c r="C22" s="10" t="s">
        <v>41</v>
      </c>
      <c r="D22" s="70"/>
      <c r="E22" s="70"/>
      <c r="F22" s="70"/>
    </row>
    <row r="23" spans="3:6" x14ac:dyDescent="0.25">
      <c r="C23" s="10" t="s">
        <v>42</v>
      </c>
      <c r="D23" s="70">
        <v>150000</v>
      </c>
      <c r="E23" s="70">
        <v>150000</v>
      </c>
      <c r="F23" s="70">
        <v>150000</v>
      </c>
    </row>
    <row r="24" spans="3:6" x14ac:dyDescent="0.25">
      <c r="C24" s="10" t="s">
        <v>44</v>
      </c>
      <c r="D24" s="70">
        <v>12000</v>
      </c>
      <c r="E24" s="70">
        <v>20383</v>
      </c>
      <c r="F24" s="70">
        <v>28255</v>
      </c>
    </row>
    <row r="25" spans="3:6" x14ac:dyDescent="0.25">
      <c r="C25" s="10" t="s">
        <v>9</v>
      </c>
      <c r="D25" s="70">
        <v>162000</v>
      </c>
      <c r="E25" s="70">
        <v>170383</v>
      </c>
      <c r="F25" s="70">
        <v>178255</v>
      </c>
    </row>
    <row r="26" spans="3:6" x14ac:dyDescent="0.25">
      <c r="C26" s="10" t="s">
        <v>45</v>
      </c>
      <c r="D26" s="70">
        <v>341000</v>
      </c>
      <c r="E26" s="70">
        <v>366368</v>
      </c>
      <c r="F26" s="70">
        <v>402825</v>
      </c>
    </row>
    <row r="27" spans="3:6" x14ac:dyDescent="0.25">
      <c r="E27" s="68"/>
      <c r="F27" s="68"/>
    </row>
    <row r="28" spans="3:6" x14ac:dyDescent="0.25">
      <c r="E28" s="68"/>
      <c r="F28" s="68"/>
    </row>
    <row r="29" spans="3:6" x14ac:dyDescent="0.25">
      <c r="C29" s="10" t="s">
        <v>47</v>
      </c>
      <c r="D29" s="10"/>
      <c r="E29" s="70" t="s">
        <v>1</v>
      </c>
      <c r="F29" s="70" t="s">
        <v>2</v>
      </c>
    </row>
    <row r="30" spans="3:6" x14ac:dyDescent="0.25">
      <c r="C30" s="10" t="s">
        <v>48</v>
      </c>
      <c r="D30" s="10"/>
      <c r="E30" s="70">
        <v>445000</v>
      </c>
      <c r="F30" s="70">
        <v>485000</v>
      </c>
    </row>
    <row r="31" spans="3:6" x14ac:dyDescent="0.25">
      <c r="C31" s="10" t="s">
        <v>49</v>
      </c>
      <c r="D31" s="10"/>
      <c r="E31" s="70">
        <v>-258100</v>
      </c>
      <c r="F31" s="70">
        <v>-310400</v>
      </c>
    </row>
    <row r="32" spans="3:6" x14ac:dyDescent="0.25">
      <c r="C32" s="10" t="s">
        <v>50</v>
      </c>
      <c r="D32" s="10"/>
      <c r="E32" s="70">
        <v>186900</v>
      </c>
      <c r="F32" s="70">
        <v>174600</v>
      </c>
    </row>
    <row r="33" spans="3:6" x14ac:dyDescent="0.25">
      <c r="C33" s="10" t="s">
        <v>51</v>
      </c>
      <c r="D33" s="10"/>
      <c r="E33" s="70">
        <v>6300</v>
      </c>
      <c r="F33" s="70">
        <v>11500</v>
      </c>
    </row>
    <row r="34" spans="3:6" x14ac:dyDescent="0.25">
      <c r="C34" s="10" t="s">
        <v>52</v>
      </c>
      <c r="D34" s="10"/>
      <c r="E34" s="70">
        <v>-75000</v>
      </c>
      <c r="F34" s="70">
        <v>-71000</v>
      </c>
    </row>
    <row r="35" spans="3:6" x14ac:dyDescent="0.25">
      <c r="C35" s="10" t="s">
        <v>53</v>
      </c>
      <c r="D35" s="10"/>
      <c r="E35" s="70">
        <v>-65000</v>
      </c>
      <c r="F35" s="70">
        <v>-58000</v>
      </c>
    </row>
    <row r="36" spans="3:6" x14ac:dyDescent="0.25">
      <c r="C36" s="10" t="s">
        <v>55</v>
      </c>
      <c r="D36" s="10"/>
      <c r="E36" s="70">
        <v>-10500</v>
      </c>
      <c r="F36" s="70">
        <v>-11000</v>
      </c>
    </row>
    <row r="37" spans="3:6" x14ac:dyDescent="0.25">
      <c r="C37" s="10" t="s">
        <v>57</v>
      </c>
      <c r="D37" s="10"/>
      <c r="E37" s="70">
        <v>-3000</v>
      </c>
      <c r="F37" s="70">
        <v>-3900</v>
      </c>
    </row>
    <row r="38" spans="3:6" x14ac:dyDescent="0.25">
      <c r="C38" s="10" t="s">
        <v>59</v>
      </c>
      <c r="D38" s="10"/>
      <c r="E38" s="70">
        <v>2500</v>
      </c>
      <c r="F38" s="70">
        <v>2316</v>
      </c>
    </row>
    <row r="39" spans="3:6" x14ac:dyDescent="0.25">
      <c r="C39" s="10" t="s">
        <v>61</v>
      </c>
      <c r="D39" s="10"/>
      <c r="E39" s="70">
        <v>-20950</v>
      </c>
      <c r="F39" s="70">
        <v>-26950</v>
      </c>
    </row>
    <row r="40" spans="3:6" x14ac:dyDescent="0.25">
      <c r="C40" s="10" t="s">
        <v>63</v>
      </c>
      <c r="D40" s="10"/>
      <c r="E40" s="70">
        <v>21250</v>
      </c>
      <c r="F40" s="70">
        <v>17566</v>
      </c>
    </row>
    <row r="41" spans="3:6" x14ac:dyDescent="0.25">
      <c r="C41" s="10" t="s">
        <v>64</v>
      </c>
      <c r="D41" s="10"/>
      <c r="E41" s="70">
        <v>-4485</v>
      </c>
      <c r="F41" s="70">
        <v>-1820</v>
      </c>
    </row>
    <row r="42" spans="3:6" x14ac:dyDescent="0.25">
      <c r="C42" s="10" t="s">
        <v>65</v>
      </c>
      <c r="D42" s="10"/>
      <c r="E42" s="70">
        <v>16765</v>
      </c>
      <c r="F42" s="70">
        <v>15746</v>
      </c>
    </row>
    <row r="43" spans="3:6" x14ac:dyDescent="0.25">
      <c r="E43" s="69"/>
      <c r="F43" s="69"/>
    </row>
    <row r="44" spans="3:6" x14ac:dyDescent="0.25">
      <c r="E44" s="68"/>
      <c r="F44" s="68"/>
    </row>
    <row r="45" spans="3:6" x14ac:dyDescent="0.25">
      <c r="E45" s="68"/>
      <c r="F45" s="68"/>
    </row>
    <row r="46" spans="3:6" x14ac:dyDescent="0.25">
      <c r="E46" s="68"/>
      <c r="F46" s="68"/>
    </row>
    <row r="47" spans="3:6" x14ac:dyDescent="0.25">
      <c r="E47" s="68"/>
      <c r="F47" s="68"/>
    </row>
    <row r="48" spans="3:6" x14ac:dyDescent="0.25">
      <c r="E48" s="68"/>
      <c r="F48" s="6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Análise (completo)</vt:lpstr>
      <vt:lpstr>imprimir OK</vt:lpstr>
    </vt:vector>
  </TitlesOfParts>
  <Company>Ricardo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Ricardo</cp:lastModifiedBy>
  <dcterms:created xsi:type="dcterms:W3CDTF">2016-09-30T14:54:35Z</dcterms:created>
  <dcterms:modified xsi:type="dcterms:W3CDTF">2017-04-18T11:46:51Z</dcterms:modified>
</cp:coreProperties>
</file>