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Documents (2)\Academico\USP\Graduacao\2014_02_Graduação\2014_02_EAC0511 - Administração Financeira\HOMEWORK\"/>
    </mc:Choice>
  </mc:AlternateContent>
  <bookViews>
    <workbookView xWindow="0" yWindow="0" windowWidth="28800" windowHeight="11535"/>
  </bookViews>
  <sheets>
    <sheet name="Q1" sheetId="1" r:id="rId1"/>
    <sheet name="Q2" sheetId="2" r:id="rId2"/>
    <sheet name="Q3" sheetId="3" r:id="rId3"/>
    <sheet name="Q4" sheetId="4" r:id="rId4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B13" i="2"/>
  <c r="C20" i="2"/>
  <c r="D20" i="2"/>
  <c r="B4" i="1"/>
  <c r="B11" i="1"/>
  <c r="B13" i="1"/>
  <c r="B14" i="1"/>
  <c r="C4" i="1"/>
  <c r="C11" i="1"/>
  <c r="C13" i="1"/>
  <c r="C14" i="1"/>
  <c r="B10" i="1"/>
  <c r="B54" i="4"/>
  <c r="B48" i="4"/>
  <c r="B29" i="4"/>
  <c r="B30" i="4"/>
  <c r="B31" i="4"/>
  <c r="C19" i="4"/>
  <c r="C2" i="3"/>
  <c r="D4" i="3"/>
  <c r="C6" i="3"/>
  <c r="A9" i="3"/>
  <c r="A13" i="3"/>
  <c r="B13" i="3"/>
  <c r="B19" i="3"/>
  <c r="C19" i="3"/>
  <c r="C9" i="1"/>
  <c r="B9" i="1"/>
  <c r="B10" i="4"/>
  <c r="B49" i="4"/>
  <c r="B11" i="4"/>
  <c r="C37" i="4"/>
  <c r="B40" i="4"/>
  <c r="B41" i="4"/>
  <c r="B17" i="4"/>
  <c r="A18" i="4"/>
  <c r="A17" i="4"/>
  <c r="A16" i="4"/>
  <c r="A11" i="3"/>
  <c r="B11" i="3"/>
  <c r="I23" i="2"/>
  <c r="C23" i="2"/>
  <c r="A23" i="2"/>
  <c r="I22" i="2"/>
  <c r="C22" i="2"/>
  <c r="A22" i="2"/>
  <c r="I21" i="2"/>
  <c r="C21" i="2"/>
  <c r="A21" i="2"/>
  <c r="E13" i="2"/>
  <c r="E14" i="2"/>
  <c r="B10" i="2"/>
  <c r="D7" i="2"/>
  <c r="B6" i="2"/>
  <c r="B5" i="2"/>
  <c r="B7" i="2"/>
  <c r="B32" i="4"/>
  <c r="B16" i="4"/>
  <c r="B57" i="4"/>
  <c r="A19" i="3"/>
  <c r="B11" i="2"/>
  <c r="B9" i="2"/>
  <c r="E20" i="2"/>
  <c r="F20" i="2"/>
  <c r="G20" i="2"/>
  <c r="B14" i="2"/>
  <c r="B15" i="2"/>
  <c r="E12" i="2"/>
  <c r="C10" i="1"/>
  <c r="B58" i="4"/>
  <c r="B12" i="4"/>
  <c r="B13" i="4"/>
  <c r="B18" i="4"/>
  <c r="B19" i="4"/>
  <c r="A15" i="3"/>
  <c r="D22" i="2"/>
  <c r="E22" i="2"/>
  <c r="F22" i="2"/>
  <c r="G22" i="2"/>
  <c r="D23" i="2"/>
  <c r="E23" i="2"/>
  <c r="F23" i="2"/>
  <c r="G23" i="2"/>
  <c r="D21" i="2"/>
  <c r="E21" i="2"/>
  <c r="F21" i="2"/>
  <c r="G21" i="2"/>
  <c r="A17" i="3"/>
  <c r="B17" i="3"/>
  <c r="C17" i="3"/>
</calcChain>
</file>

<file path=xl/sharedStrings.xml><?xml version="1.0" encoding="utf-8"?>
<sst xmlns="http://schemas.openxmlformats.org/spreadsheetml/2006/main" count="119" uniqueCount="113">
  <si>
    <r>
      <t>Questão 1.</t>
    </r>
    <r>
      <rPr>
        <b/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O Banco CheioDaGrana S.A. tem em sua carteira de renda fixa dois títulos prefixados, que foram emitidos em 2006 (dois anos atrás):</t>
    </r>
  </si>
  <si>
    <t>A</t>
  </si>
  <si>
    <t>B</t>
  </si>
  <si>
    <t>Valor de Face</t>
  </si>
  <si>
    <t>Cupom anual</t>
  </si>
  <si>
    <t>Prazo em anos até o vencimento na época da emissão</t>
  </si>
  <si>
    <t>Prazo até o vencimento hoje</t>
  </si>
  <si>
    <t>d. Supondo que vigorem as condições da Parte c, qual é (i) a rentabilidade corrente dos títulos A e B, (ii) os rendimentos de ganhos de capital  hoje?</t>
  </si>
  <si>
    <t>(i) a rentabilidade corrente dos títulos</t>
  </si>
  <si>
    <t xml:space="preserve"> (ii) os rendimentos de ganhos de capital</t>
  </si>
  <si>
    <t xml:space="preserve">e. Dois analistas  estavam discutindo a relação entre taxa de juros de mercado (YTM) e taxa de cupom. O aluno Pedro disse: independente do valor de mercado do título e do valor de face, a taxa de juros do mercado  é sempre a de cupom. Já Maria disse: não concordo, se o título é negociado com ágio (valor de mercado maior do que o valor de face), a taxa de juros de mercado é maior do que a de cupom. Você concorda com qual dos analistas (ou em nenhum)? Argumente.        </t>
  </si>
  <si>
    <r>
      <t xml:space="preserve">b. Sabendo que a taxa de juros vigente hoje é de </t>
    </r>
    <r>
      <rPr>
        <b/>
        <sz val="12"/>
        <color indexed="8"/>
        <rFont val="Arial"/>
        <family val="2"/>
      </rPr>
      <t xml:space="preserve">11,5% </t>
    </r>
    <r>
      <rPr>
        <sz val="12"/>
        <color indexed="8"/>
        <rFont val="Arial"/>
        <family val="2"/>
      </rPr>
      <t>ao ano, calcule o valor de mercado de cada título hoje (UM ANO  depois de emitida).</t>
    </r>
  </si>
  <si>
    <r>
      <t xml:space="preserve">c. E se o valor dos títulos hoje fosse </t>
    </r>
    <r>
      <rPr>
        <b/>
        <sz val="12"/>
        <color indexed="8"/>
        <rFont val="Arial"/>
        <family val="2"/>
      </rPr>
      <t>R$ 9.500 e 12.500, respectivamente</t>
    </r>
    <r>
      <rPr>
        <sz val="12"/>
        <color indexed="8"/>
        <rFont val="Arial"/>
        <family val="2"/>
      </rPr>
      <t>, qual seria a taxa de mercado(YTM)  para esses títulos?</t>
    </r>
  </si>
  <si>
    <t xml:space="preserve">Seus principais dados financeiros são mostrados abaixo, sendo que não se espera crescimento do seu lucro. Todos os seus lucros podem ser distribuídos como dividendos, já que a empresa não necessita de novo capital. </t>
  </si>
  <si>
    <t>Segue ainda os dados de juros e taxa de retorno requerido no mercado nos vários níveis de endividamento:</t>
  </si>
  <si>
    <t>Balanço Atual</t>
  </si>
  <si>
    <t>Ativo Circulante</t>
  </si>
  <si>
    <t>Exigível</t>
  </si>
  <si>
    <t>Ativo Fixo</t>
  </si>
  <si>
    <t>PL</t>
  </si>
  <si>
    <t>Total de ativos</t>
  </si>
  <si>
    <t>Total Passivo + PL</t>
  </si>
  <si>
    <t>DRE</t>
  </si>
  <si>
    <t>Receita</t>
  </si>
  <si>
    <t>Outros Dados</t>
  </si>
  <si>
    <t>(-) Custos Variáveis</t>
  </si>
  <si>
    <t>LAJIR (EBIT)</t>
  </si>
  <si>
    <t>(-) Custos Fixos</t>
  </si>
  <si>
    <t>Quantidade ações</t>
  </si>
  <si>
    <t>(-) Juros</t>
  </si>
  <si>
    <t>LL por ação</t>
  </si>
  <si>
    <t>LAIR</t>
  </si>
  <si>
    <t>Valor Contábil p/ação</t>
  </si>
  <si>
    <t>(-) IR</t>
  </si>
  <si>
    <t>Preço ação</t>
  </si>
  <si>
    <t xml:space="preserve"> = LL</t>
  </si>
  <si>
    <t>Alíquota de IR%</t>
  </si>
  <si>
    <t>Pede-se:</t>
  </si>
  <si>
    <r>
      <t xml:space="preserve">a) </t>
    </r>
    <r>
      <rPr>
        <sz val="10"/>
        <color indexed="8"/>
        <rFont val="Arial"/>
        <family val="2"/>
      </rPr>
      <t>Calcular o valor do capital próprio(S), Valor da empresa(V), Preço da ação e WACC nos vários níveis de dívida:</t>
    </r>
  </si>
  <si>
    <t>Empréstimos, Dívida (D)</t>
  </si>
  <si>
    <t>Taxa Juros (kd)</t>
  </si>
  <si>
    <t>Retorno Requerido (ks)</t>
  </si>
  <si>
    <t>Valor Ações = Capital Próprio  (S)</t>
  </si>
  <si>
    <t>Valor Empresa(V)</t>
  </si>
  <si>
    <t>Endividamento (D/V)</t>
  </si>
  <si>
    <t>WACC</t>
  </si>
  <si>
    <t>Kd(1-t)</t>
  </si>
  <si>
    <t>A empresa COL (Ceara on Line) é uma empresa familiar  fabricante de software, que tem como fonte de recursos unicamente o capital da família Sales. O sócio majoritário, o Sr. Raimundo Nonato, planeja se aposentar em breve e quer vender suas ações ao público para diversificar seus negócios. Como parte do planejamento surge a questão de estrutura de capital: a empresa deve continuar sua política de não usar capital de terceiros?  Até que ponto deve ir sua dívida?</t>
  </si>
  <si>
    <t>b) Comente os resultados</t>
  </si>
  <si>
    <t>Dividendo por ação pago</t>
  </si>
  <si>
    <t>Endividamento</t>
  </si>
  <si>
    <t>Quant.Ações circulação</t>
  </si>
  <si>
    <t>Lucro Líquido</t>
  </si>
  <si>
    <t>Orçamento de Investimento</t>
  </si>
  <si>
    <t>Pergunta-se:</t>
  </si>
  <si>
    <t>a) Se a Ciacia segue o modelo de dividendo residual, quanto de lucros acumulados será necessário para financiar seu orçamento de capital?</t>
  </si>
  <si>
    <t>b) E, neste caso, qual será o valor do dividendo e o seu índice de distribuição de dividendos (%) para o próximo ano?</t>
  </si>
  <si>
    <t>c) E se a empresa mantém seu dividendo por ação em R$ 3,00 quanto de lucros acumulados estará disponível para o orçamento de capital da empresa?</t>
  </si>
  <si>
    <t>d) A empresa pode manter sua estrutura de capital, manter seu dividendo por ação e o orçamento de capital sem ter que emitir ações? Se tiver que emitir, qual deve ser o valor?</t>
  </si>
  <si>
    <t>e) Suponha que a administração da Ciacia está se opondo à redução de dividendos. Também suponha que a empresa estava comprometida a financiar todos os seus projetos lucrativos e emitir mais dívidas (junto com os lucros acumulados) para ajudar a financiar o orçamento de capital da empresa. Suponha que a mudança resultante na estrutura de capital tenha impacto mínimo sobre o custo de capital  de forma que o orçamento de capital permanece o mesmo. Qual a proporção (%) desse orçamento teria que ser financiado com dívida?</t>
  </si>
  <si>
    <t>f) Agora considere que a administração quer manter o dividendo, a estrutura de capital, mas quer evitar a emissão de ações. A empresa está disposta a reduzir seu orçamento de capital de forma a satisfazer seus outros objetivos. Suponha que os projetos da empresa sejam divisíveis, qual será o orçamento de capital para o próximo ano?</t>
  </si>
  <si>
    <t>A Cia cia está revisando seu orçamento de capital para o próximo ano. Ela tem pago Dividendo por ação no valor abaixo, e seus acionistas esperam que permaneça nos anos seguintes. A estrutura de capital meta é mencionada abaixo, e ela tem a seguinte quantidade de ações em circulação e o seguinte lucro líquido. A empresa prevê ainda que necessitaria do seguinte valor para financiar projetos de investimentos:</t>
  </si>
  <si>
    <t>Para calcular o custo de capital de cada fonte de recursos você dispõe dos seguintes dados:</t>
  </si>
  <si>
    <r>
      <t xml:space="preserve"> - A empresa tem </t>
    </r>
    <r>
      <rPr>
        <b/>
        <sz val="9"/>
        <rFont val="Arial"/>
        <family val="2"/>
      </rPr>
      <t>ações preferenciais</t>
    </r>
    <r>
      <rPr>
        <sz val="9"/>
        <rFont val="Arial"/>
        <family val="2"/>
      </rPr>
      <t xml:space="preserve"> emitidas no mercado americano. O preço de mercado da ações é de </t>
    </r>
    <r>
      <rPr>
        <b/>
        <sz val="9"/>
        <rFont val="Arial"/>
        <family val="2"/>
      </rPr>
      <t>$120</t>
    </r>
    <r>
      <rPr>
        <sz val="9"/>
        <rFont val="Arial"/>
        <family val="2"/>
      </rPr>
      <t xml:space="preserve">, com valor de face de $100 e dividendos perpétuos de </t>
    </r>
    <r>
      <rPr>
        <b/>
        <sz val="9"/>
        <rFont val="Arial"/>
        <family val="2"/>
      </rPr>
      <t>20%aa</t>
    </r>
    <r>
      <rPr>
        <sz val="9"/>
        <rFont val="Arial"/>
        <family val="2"/>
      </rPr>
      <t xml:space="preserve"> pagos anualmente. A empresa incorreria em custo de emissão de</t>
    </r>
    <r>
      <rPr>
        <b/>
        <sz val="9"/>
        <rFont val="Arial"/>
        <family val="2"/>
      </rPr>
      <t xml:space="preserve"> $3,50</t>
    </r>
    <r>
      <rPr>
        <sz val="9"/>
        <rFont val="Arial"/>
        <family val="2"/>
      </rPr>
      <t xml:space="preserve"> por ação.</t>
    </r>
  </si>
  <si>
    <t>a) Qual o custo das ações ordinárias?</t>
  </si>
  <si>
    <t xml:space="preserve"> - Pelo CAPM</t>
  </si>
  <si>
    <t xml:space="preserve"> - Pelos dividendos descontados</t>
  </si>
  <si>
    <t xml:space="preserve"> - Pela taxa da dívida de LP + Prêmio</t>
  </si>
  <si>
    <t>MÉDIA</t>
  </si>
  <si>
    <t>b) Afinal, qual o custo de cada fonte e o custo médio ponderado(WACC)?</t>
  </si>
  <si>
    <t>Fonte de Capital</t>
  </si>
  <si>
    <t>Custo</t>
  </si>
  <si>
    <t>Estrutura ótima</t>
  </si>
  <si>
    <t>Custo Médio Ponderado(WACC)</t>
  </si>
  <si>
    <t>Dados:</t>
  </si>
  <si>
    <t>Alíquota de IR</t>
  </si>
  <si>
    <t>1) Dividas longo prazo</t>
  </si>
  <si>
    <t>taxa cupom</t>
  </si>
  <si>
    <t>Tempo (anos)</t>
  </si>
  <si>
    <t>Pagamento</t>
  </si>
  <si>
    <t>Valor Presente</t>
  </si>
  <si>
    <t>Valor de face</t>
  </si>
  <si>
    <t>juros</t>
  </si>
  <si>
    <t>i</t>
  </si>
  <si>
    <t>Taxa corrente</t>
  </si>
  <si>
    <t>Custo efetivo de capital</t>
  </si>
  <si>
    <t>2) Ação Preferencial</t>
  </si>
  <si>
    <t>Valor Mercado</t>
  </si>
  <si>
    <t>Valor Face</t>
  </si>
  <si>
    <t>Dividendo</t>
  </si>
  <si>
    <t>Período</t>
  </si>
  <si>
    <t>anual</t>
  </si>
  <si>
    <t>Valor custo emissão</t>
  </si>
  <si>
    <t>Valor captação (VP - emissão)</t>
  </si>
  <si>
    <t>Custo efetivo de Capital</t>
  </si>
  <si>
    <t>3) Ação Ordinária</t>
  </si>
  <si>
    <t>i) Flucax Descontado:</t>
  </si>
  <si>
    <t>Preço Médio</t>
  </si>
  <si>
    <t>Dividendo o</t>
  </si>
  <si>
    <t>g</t>
  </si>
  <si>
    <t>Dividendo 1</t>
  </si>
  <si>
    <t>CAPM</t>
  </si>
  <si>
    <t>RF</t>
  </si>
  <si>
    <t>Beta</t>
  </si>
  <si>
    <t>RM</t>
  </si>
  <si>
    <t>Taxa longo prazo + prêmio</t>
  </si>
  <si>
    <t xml:space="preserve">Premio pelo risco </t>
  </si>
  <si>
    <t>A empresa JKL  está com excelente oportunidade de investimento. Você foi designado para  calcular o custo de capital da empresa, determinando assim o patamar de retorno aceitável para esses novos projetos.</t>
  </si>
  <si>
    <r>
      <t xml:space="preserve"> - A alíquota de IR da empresa é de </t>
    </r>
    <r>
      <rPr>
        <b/>
        <sz val="9"/>
        <rFont val="Arial"/>
        <family val="2"/>
      </rPr>
      <t>30%.</t>
    </r>
  </si>
  <si>
    <r>
      <t>Inicialmente você calculou a estrutura ótima de capital, que seria no nível de</t>
    </r>
    <r>
      <rPr>
        <b/>
        <sz val="9"/>
        <rFont val="Arial"/>
        <family val="2"/>
      </rPr>
      <t xml:space="preserve"> 35%</t>
    </r>
    <r>
      <rPr>
        <sz val="9"/>
        <rFont val="Arial"/>
        <family val="2"/>
      </rPr>
      <t xml:space="preserve"> de dívidas de longo prazo(debêntures),</t>
    </r>
    <r>
      <rPr>
        <b/>
        <sz val="9"/>
        <rFont val="Arial"/>
        <family val="2"/>
      </rPr>
      <t xml:space="preserve"> 35%</t>
    </r>
    <r>
      <rPr>
        <sz val="9"/>
        <rFont val="Arial"/>
        <family val="2"/>
      </rPr>
      <t xml:space="preserve"> de ações preferenciais e 30</t>
    </r>
    <r>
      <rPr>
        <b/>
        <sz val="9"/>
        <rFont val="Arial"/>
        <family val="2"/>
      </rPr>
      <t>%</t>
    </r>
    <r>
      <rPr>
        <sz val="9"/>
        <rFont val="Arial"/>
        <family val="2"/>
      </rPr>
      <t xml:space="preserve"> de ações ordinárias</t>
    </r>
  </si>
  <si>
    <r>
      <t xml:space="preserve"> - </t>
    </r>
    <r>
      <rPr>
        <sz val="9"/>
        <rFont val="Arial"/>
        <family val="2"/>
      </rPr>
      <t xml:space="preserve">As </t>
    </r>
    <r>
      <rPr>
        <b/>
        <sz val="9"/>
        <rFont val="Arial"/>
        <family val="2"/>
      </rPr>
      <t>debêntures(dívidas de longo prazo</t>
    </r>
    <r>
      <rPr>
        <sz val="9"/>
        <rFont val="Arial"/>
        <family val="2"/>
      </rPr>
      <t xml:space="preserve">) da empresa que foram lançadas com valor de face de $1.000 estão cotadas no mercado a </t>
    </r>
    <r>
      <rPr>
        <b/>
        <sz val="9"/>
        <rFont val="Arial"/>
        <family val="2"/>
      </rPr>
      <t>$1.800.</t>
    </r>
    <r>
      <rPr>
        <sz val="9"/>
        <rFont val="Arial"/>
        <family val="2"/>
      </rPr>
      <t xml:space="preserve"> Os títulos  pagam juros de</t>
    </r>
    <r>
      <rPr>
        <b/>
        <sz val="9"/>
        <rFont val="Arial"/>
        <family val="2"/>
      </rPr>
      <t xml:space="preserve"> 20% aa (</t>
    </r>
    <r>
      <rPr>
        <sz val="9"/>
        <rFont val="Arial"/>
        <family val="2"/>
      </rPr>
      <t xml:space="preserve">taxa de cupom) pagos </t>
    </r>
    <r>
      <rPr>
        <b/>
        <sz val="9"/>
        <rFont val="Arial"/>
        <family val="2"/>
      </rPr>
      <t xml:space="preserve"> anualmente</t>
    </r>
    <r>
      <rPr>
        <sz val="9"/>
        <rFont val="Arial"/>
        <family val="2"/>
      </rPr>
      <t xml:space="preserve">. Faltam </t>
    </r>
    <r>
      <rPr>
        <b/>
        <sz val="9"/>
        <rFont val="Arial"/>
        <family val="2"/>
      </rPr>
      <t xml:space="preserve">10 </t>
    </r>
    <r>
      <rPr>
        <sz val="9"/>
        <rFont val="Arial"/>
        <family val="2"/>
      </rPr>
      <t>anos para o vencimento.</t>
    </r>
  </si>
  <si>
    <r>
      <t xml:space="preserve"> - As </t>
    </r>
    <r>
      <rPr>
        <b/>
        <sz val="9"/>
        <rFont val="Arial"/>
        <family val="2"/>
      </rPr>
      <t>ações ordinárias</t>
    </r>
    <r>
      <rPr>
        <sz val="9"/>
        <rFont val="Arial"/>
        <family val="2"/>
      </rPr>
      <t xml:space="preserve"> da empresa estão sendo negociadas a </t>
    </r>
    <r>
      <rPr>
        <b/>
        <sz val="9"/>
        <rFont val="Arial"/>
        <family val="2"/>
      </rPr>
      <t>$70</t>
    </r>
    <r>
      <rPr>
        <sz val="9"/>
        <rFont val="Arial"/>
        <family val="2"/>
      </rPr>
      <t xml:space="preserve">. O último dividendo pago(Do) foi </t>
    </r>
    <r>
      <rPr>
        <b/>
        <sz val="9"/>
        <rFont val="Arial"/>
        <family val="2"/>
      </rPr>
      <t>$7,50</t>
    </r>
    <r>
      <rPr>
        <sz val="9"/>
        <rFont val="Arial"/>
        <family val="2"/>
      </rPr>
      <t xml:space="preserve"> e é possível prever que os dividendos futuros esperados cresçam</t>
    </r>
    <r>
      <rPr>
        <b/>
        <sz val="9"/>
        <rFont val="Arial"/>
        <family val="2"/>
      </rPr>
      <t xml:space="preserve"> 4%.</t>
    </r>
    <r>
      <rPr>
        <sz val="9"/>
        <rFont val="Arial"/>
        <family val="2"/>
      </rPr>
      <t xml:space="preserve"> O beta da empresa é </t>
    </r>
    <r>
      <rPr>
        <b/>
        <sz val="9"/>
        <rFont val="Arial"/>
        <family val="2"/>
      </rPr>
      <t>1,5</t>
    </r>
    <r>
      <rPr>
        <sz val="9"/>
        <rFont val="Arial"/>
        <family val="2"/>
      </rPr>
      <t>, a taxa livre de risco do mercado é de</t>
    </r>
    <r>
      <rPr>
        <b/>
        <sz val="9"/>
        <rFont val="Arial"/>
        <family val="2"/>
      </rPr>
      <t xml:space="preserve"> 9%</t>
    </r>
    <r>
      <rPr>
        <sz val="9"/>
        <rFont val="Arial"/>
        <family val="2"/>
      </rPr>
      <t xml:space="preserve"> e a taxa de retorno média do mercado é de</t>
    </r>
    <r>
      <rPr>
        <b/>
        <sz val="9"/>
        <rFont val="Arial"/>
        <family val="2"/>
      </rPr>
      <t xml:space="preserve"> 15%. </t>
    </r>
    <r>
      <rPr>
        <sz val="9"/>
        <rFont val="Arial"/>
        <family val="2"/>
      </rPr>
      <t>Para a adordagem do rendimento dos seus  títulos da dívida de longo prazo somado ao prêmio pelo risco exigido pelos acionistas, a empresa usa de um prêmio pelo risco de</t>
    </r>
    <r>
      <rPr>
        <b/>
        <sz val="9"/>
        <rFont val="Arial"/>
        <family val="2"/>
      </rPr>
      <t xml:space="preserve"> 10%.</t>
    </r>
    <r>
      <rPr>
        <b/>
        <sz val="10"/>
        <rFont val="Arial"/>
        <family val="2"/>
      </rPr>
      <t xml:space="preserve"> </t>
    </r>
  </si>
  <si>
    <t>a. Cada título foi vendido, originalmente, ao valor ao par de $10.000. Qual era a rentabilidade até o vencimento (yield-to-maturity, YTM) desses títulos, quando eles foram emitidos?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</si>
</sst>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&quot;R$ &quot;#,##0_);[Red]\(&quot;R$ &quot;#,##0\)"/>
    <numFmt numFmtId="165" formatCode="_(&quot;R$ &quot;* #,##0.00_);_(&quot;R$ &quot;* \(#,##0.00\);_(&quot;R$ &quot;* &quot;-&quot;??_);_(@_)"/>
    <numFmt numFmtId="166" formatCode="0.0%"/>
    <numFmt numFmtId="167" formatCode="_(&quot;R$&quot;* #,##0_);_(&quot;R$&quot;* \(#,##0\);_(&quot;R$&quot;* &quot;-&quot;??_);_(@_)"/>
    <numFmt numFmtId="168" formatCode="_(* #,##0.00_);_(* \(#,##0.00\);_(* &quot;-&quot;??_);_(@_)"/>
    <numFmt numFmtId="169" formatCode="_(* #,##0_);_(* \(#,##0\);_(* &quot;-&quot;??_);_(@_)"/>
    <numFmt numFmtId="170" formatCode="_(&quot;R$&quot;* #,##0.00_);_(&quot;R$&quot;* \(#,##0.00\);_(&quot;R$&quot;* &quot;-&quot;??_);_(@_)"/>
    <numFmt numFmtId="171" formatCode="_([$R$ -416]* #,##0.00_);_([$R$ -416]* \(#,##0.00\);_([$R$ -416]* &quot;-&quot;??_);_(@_)"/>
    <numFmt numFmtId="172" formatCode="_(&quot;R$ &quot;* #,##0_);_(&quot;R$ &quot;* \(#,##0\);_(&quot;R$ &quot;* &quot;-&quot;??_);_(@_)"/>
    <numFmt numFmtId="173" formatCode="_(&quot;$&quot;* #,##0.00_);_(&quot;$&quot;* \(#,##0.00\);_(&quot;$&quot;* &quot;-&quot;??_);_(@_)"/>
    <numFmt numFmtId="174" formatCode="_(&quot;R$&quot;* #,##0.000_);_(&quot;R$&quot;* \(#,##0.000\);_(&quot;R$&quot;* &quot;-&quot;??_);_(@_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Century Gothic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b/>
      <u/>
      <sz val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Century Gothic"/>
      <family val="2"/>
    </font>
    <font>
      <sz val="10"/>
      <color rgb="FFC00000"/>
      <name val="Arial"/>
      <family val="2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name val="Arial Narrow"/>
      <family val="2"/>
    </font>
    <font>
      <u/>
      <sz val="10"/>
      <name val="Arial"/>
      <family val="2"/>
    </font>
    <font>
      <sz val="9"/>
      <color rgb="FFFF0000"/>
      <name val="Arial"/>
    </font>
    <font>
      <b/>
      <sz val="9"/>
      <color rgb="FFFF0000"/>
      <name val="Arial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7" fillId="0" borderId="0"/>
    <xf numFmtId="165" fontId="27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3" fontId="14" fillId="0" borderId="0" applyFont="0" applyFill="0" applyBorder="0" applyAlignment="0" applyProtection="0"/>
  </cellStyleXfs>
  <cellXfs count="128">
    <xf numFmtId="0" fontId="0" fillId="0" borderId="0" xfId="0"/>
    <xf numFmtId="0" fontId="4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164" fontId="5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/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65" fontId="11" fillId="0" borderId="5" xfId="1" applyFont="1" applyBorder="1"/>
    <xf numFmtId="10" fontId="11" fillId="0" borderId="5" xfId="0" applyNumberFormat="1" applyFont="1" applyBorder="1" applyAlignment="1">
      <alignment vertical="center"/>
    </xf>
    <xf numFmtId="0" fontId="10" fillId="0" borderId="0" xfId="0" applyFont="1" applyBorder="1" applyAlignment="1">
      <alignment horizontal="justify" vertical="top" wrapText="1"/>
    </xf>
    <xf numFmtId="10" fontId="12" fillId="0" borderId="5" xfId="2" applyNumberFormat="1" applyFont="1" applyBorder="1"/>
    <xf numFmtId="10" fontId="10" fillId="0" borderId="5" xfId="2" applyNumberFormat="1" applyFont="1" applyBorder="1" applyAlignment="1">
      <alignment horizontal="center" vertical="top" wrapText="1"/>
    </xf>
    <xf numFmtId="0" fontId="13" fillId="0" borderId="0" xfId="0" applyFont="1"/>
    <xf numFmtId="0" fontId="12" fillId="0" borderId="0" xfId="0" applyFont="1"/>
    <xf numFmtId="10" fontId="12" fillId="0" borderId="0" xfId="0" applyNumberFormat="1" applyFont="1"/>
    <xf numFmtId="0" fontId="15" fillId="2" borderId="0" xfId="3" applyFont="1" applyFill="1" applyAlignment="1">
      <alignment horizontal="left" readingOrder="1"/>
    </xf>
    <xf numFmtId="0" fontId="14" fillId="2" borderId="0" xfId="3" applyFont="1" applyFill="1" applyAlignment="1"/>
    <xf numFmtId="0" fontId="17" fillId="2" borderId="0" xfId="3" applyFont="1" applyFill="1" applyAlignment="1">
      <alignment horizontal="left" readingOrder="1"/>
    </xf>
    <xf numFmtId="0" fontId="19" fillId="2" borderId="0" xfId="3" applyFont="1" applyFill="1"/>
    <xf numFmtId="0" fontId="14" fillId="2" borderId="0" xfId="3" applyFont="1" applyFill="1"/>
    <xf numFmtId="10" fontId="14" fillId="2" borderId="0" xfId="4" applyNumberFormat="1" applyFont="1" applyFill="1"/>
    <xf numFmtId="0" fontId="14" fillId="2" borderId="5" xfId="3" applyFont="1" applyFill="1" applyBorder="1"/>
    <xf numFmtId="167" fontId="14" fillId="2" borderId="5" xfId="5" applyNumberFormat="1" applyFont="1" applyFill="1" applyBorder="1"/>
    <xf numFmtId="167" fontId="20" fillId="2" borderId="5" xfId="5" applyNumberFormat="1" applyFont="1" applyFill="1" applyBorder="1"/>
    <xf numFmtId="0" fontId="21" fillId="2" borderId="8" xfId="3" applyFont="1" applyFill="1" applyBorder="1"/>
    <xf numFmtId="169" fontId="14" fillId="2" borderId="5" xfId="6" applyNumberFormat="1" applyFont="1" applyFill="1" applyBorder="1"/>
    <xf numFmtId="167" fontId="22" fillId="2" borderId="5" xfId="5" applyNumberFormat="1" applyFont="1" applyFill="1" applyBorder="1"/>
    <xf numFmtId="170" fontId="14" fillId="2" borderId="5" xfId="5" applyNumberFormat="1" applyFont="1" applyFill="1" applyBorder="1"/>
    <xf numFmtId="10" fontId="20" fillId="2" borderId="5" xfId="4" applyNumberFormat="1" applyFont="1" applyFill="1" applyBorder="1"/>
    <xf numFmtId="9" fontId="14" fillId="2" borderId="0" xfId="3" applyNumberFormat="1" applyFont="1" applyFill="1"/>
    <xf numFmtId="0" fontId="23" fillId="2" borderId="0" xfId="3" applyFont="1" applyFill="1"/>
    <xf numFmtId="0" fontId="18" fillId="2" borderId="5" xfId="3" applyFont="1" applyFill="1" applyBorder="1" applyAlignment="1">
      <alignment horizontal="center" wrapText="1"/>
    </xf>
    <xf numFmtId="10" fontId="18" fillId="2" borderId="5" xfId="4" applyNumberFormat="1" applyFont="1" applyFill="1" applyBorder="1" applyAlignment="1">
      <alignment horizontal="center" wrapText="1"/>
    </xf>
    <xf numFmtId="0" fontId="14" fillId="2" borderId="0" xfId="3" applyFont="1" applyFill="1" applyAlignment="1">
      <alignment wrapText="1"/>
    </xf>
    <xf numFmtId="0" fontId="24" fillId="2" borderId="0" xfId="3" applyFont="1" applyFill="1" applyBorder="1" applyAlignment="1">
      <alignment horizontal="center" wrapText="1"/>
    </xf>
    <xf numFmtId="171" fontId="14" fillId="2" borderId="5" xfId="3" applyNumberFormat="1" applyFont="1" applyFill="1" applyBorder="1"/>
    <xf numFmtId="166" fontId="25" fillId="0" borderId="5" xfId="4" applyNumberFormat="1" applyFont="1" applyBorder="1"/>
    <xf numFmtId="167" fontId="26" fillId="2" borderId="5" xfId="5" applyNumberFormat="1" applyFont="1" applyFill="1" applyBorder="1"/>
    <xf numFmtId="167" fontId="26" fillId="2" borderId="5" xfId="3" applyNumberFormat="1" applyFont="1" applyFill="1" applyBorder="1"/>
    <xf numFmtId="166" fontId="26" fillId="2" borderId="5" xfId="4" applyNumberFormat="1" applyFont="1" applyFill="1" applyBorder="1"/>
    <xf numFmtId="10" fontId="26" fillId="2" borderId="5" xfId="4" applyNumberFormat="1" applyFont="1" applyFill="1" applyBorder="1"/>
    <xf numFmtId="9" fontId="23" fillId="2" borderId="0" xfId="4" applyFont="1" applyFill="1" applyBorder="1"/>
    <xf numFmtId="168" fontId="23" fillId="2" borderId="0" xfId="6" applyFont="1" applyFill="1"/>
    <xf numFmtId="170" fontId="14" fillId="2" borderId="0" xfId="3" applyNumberFormat="1" applyFont="1" applyFill="1"/>
    <xf numFmtId="0" fontId="28" fillId="3" borderId="0" xfId="3" applyFont="1" applyFill="1" applyAlignment="1">
      <alignment horizontal="left" vertical="top"/>
    </xf>
    <xf numFmtId="0" fontId="28" fillId="3" borderId="0" xfId="7" applyFont="1" applyFill="1" applyAlignment="1">
      <alignment horizontal="left" vertical="top"/>
    </xf>
    <xf numFmtId="165" fontId="28" fillId="3" borderId="5" xfId="8" applyFont="1" applyFill="1" applyBorder="1" applyAlignment="1">
      <alignment horizontal="center" vertical="top"/>
    </xf>
    <xf numFmtId="9" fontId="28" fillId="3" borderId="5" xfId="7" applyNumberFormat="1" applyFont="1" applyFill="1" applyBorder="1" applyAlignment="1">
      <alignment horizontal="center" vertical="top"/>
    </xf>
    <xf numFmtId="168" fontId="28" fillId="3" borderId="0" xfId="9" applyNumberFormat="1" applyFont="1" applyFill="1" applyBorder="1" applyAlignment="1">
      <alignment horizontal="left" vertical="top"/>
    </xf>
    <xf numFmtId="169" fontId="28" fillId="3" borderId="5" xfId="10" applyNumberFormat="1" applyFont="1" applyFill="1" applyBorder="1" applyAlignment="1">
      <alignment horizontal="center" vertical="top"/>
    </xf>
    <xf numFmtId="172" fontId="28" fillId="3" borderId="5" xfId="8" applyNumberFormat="1" applyFont="1" applyFill="1" applyBorder="1" applyAlignment="1">
      <alignment horizontal="center" vertical="top"/>
    </xf>
    <xf numFmtId="172" fontId="28" fillId="3" borderId="0" xfId="8" applyNumberFormat="1" applyFont="1" applyFill="1" applyBorder="1" applyAlignment="1">
      <alignment horizontal="left" vertical="top"/>
    </xf>
    <xf numFmtId="172" fontId="28" fillId="3" borderId="0" xfId="7" applyNumberFormat="1" applyFont="1" applyFill="1" applyAlignment="1">
      <alignment horizontal="left" vertical="top" wrapText="1"/>
    </xf>
    <xf numFmtId="0" fontId="28" fillId="3" borderId="0" xfId="7" applyFont="1" applyFill="1" applyAlignment="1">
      <alignment horizontal="left" vertical="top" wrapText="1"/>
    </xf>
    <xf numFmtId="0" fontId="28" fillId="3" borderId="6" xfId="7" applyFont="1" applyFill="1" applyBorder="1" applyAlignment="1">
      <alignment horizontal="left" vertical="top" wrapText="1"/>
    </xf>
    <xf numFmtId="0" fontId="28" fillId="3" borderId="6" xfId="7" applyFont="1" applyFill="1" applyBorder="1" applyAlignment="1">
      <alignment horizontal="left" vertical="top"/>
    </xf>
    <xf numFmtId="10" fontId="28" fillId="3" borderId="0" xfId="4" applyNumberFormat="1" applyFont="1" applyFill="1" applyAlignment="1">
      <alignment horizontal="left" vertical="top"/>
    </xf>
    <xf numFmtId="43" fontId="28" fillId="3" borderId="0" xfId="7" applyNumberFormat="1" applyFont="1" applyFill="1" applyAlignment="1">
      <alignment horizontal="left" vertical="top"/>
    </xf>
    <xf numFmtId="0" fontId="14" fillId="0" borderId="0" xfId="12" applyFont="1"/>
    <xf numFmtId="0" fontId="28" fillId="0" borderId="0" xfId="12" applyFont="1" applyAlignment="1">
      <alignment horizontal="left" readingOrder="1"/>
    </xf>
    <xf numFmtId="0" fontId="14" fillId="0" borderId="0" xfId="12" applyFont="1" applyBorder="1"/>
    <xf numFmtId="10" fontId="14" fillId="0" borderId="0" xfId="12" applyNumberFormat="1" applyFont="1" applyBorder="1"/>
    <xf numFmtId="9" fontId="18" fillId="0" borderId="0" xfId="12" applyNumberFormat="1" applyFont="1" applyBorder="1"/>
    <xf numFmtId="0" fontId="30" fillId="0" borderId="0" xfId="12" applyFont="1" applyBorder="1"/>
    <xf numFmtId="10" fontId="28" fillId="0" borderId="0" xfId="12" applyNumberFormat="1" applyFont="1" applyBorder="1"/>
    <xf numFmtId="9" fontId="29" fillId="0" borderId="0" xfId="12" applyNumberFormat="1" applyFont="1" applyBorder="1"/>
    <xf numFmtId="0" fontId="28" fillId="0" borderId="0" xfId="12" applyFont="1"/>
    <xf numFmtId="0" fontId="31" fillId="0" borderId="0" xfId="12" applyFont="1"/>
    <xf numFmtId="0" fontId="28" fillId="0" borderId="0" xfId="12" applyFont="1" applyBorder="1"/>
    <xf numFmtId="0" fontId="28" fillId="0" borderId="0" xfId="12" applyFont="1" applyBorder="1" applyAlignment="1">
      <alignment horizontal="left"/>
    </xf>
    <xf numFmtId="0" fontId="28" fillId="0" borderId="0" xfId="12" applyFont="1" applyAlignment="1">
      <alignment horizontal="center"/>
    </xf>
    <xf numFmtId="0" fontId="29" fillId="0" borderId="5" xfId="12" applyFont="1" applyBorder="1" applyAlignment="1">
      <alignment horizontal="center"/>
    </xf>
    <xf numFmtId="0" fontId="28" fillId="0" borderId="9" xfId="12" applyFont="1" applyBorder="1"/>
    <xf numFmtId="0" fontId="28" fillId="0" borderId="9" xfId="12" applyFont="1" applyBorder="1" applyAlignment="1">
      <alignment horizontal="right"/>
    </xf>
    <xf numFmtId="0" fontId="28" fillId="0" borderId="0" xfId="12" applyFont="1" applyBorder="1" applyAlignment="1">
      <alignment horizontal="right"/>
    </xf>
    <xf numFmtId="10" fontId="28" fillId="0" borderId="0" xfId="13" applyNumberFormat="1" applyFont="1" applyBorder="1"/>
    <xf numFmtId="10" fontId="14" fillId="0" borderId="0" xfId="13" applyNumberFormat="1" applyFont="1" applyBorder="1"/>
    <xf numFmtId="9" fontId="18" fillId="4" borderId="0" xfId="12" applyNumberFormat="1" applyFont="1" applyFill="1"/>
    <xf numFmtId="0" fontId="21" fillId="0" borderId="0" xfId="12" applyFont="1"/>
    <xf numFmtId="0" fontId="18" fillId="0" borderId="0" xfId="12" applyFont="1" applyBorder="1" applyAlignment="1">
      <alignment horizontal="center"/>
    </xf>
    <xf numFmtId="166" fontId="18" fillId="4" borderId="0" xfId="13" applyNumberFormat="1" applyFont="1" applyFill="1" applyBorder="1"/>
    <xf numFmtId="166" fontId="18" fillId="0" borderId="0" xfId="13" applyNumberFormat="1" applyFont="1" applyBorder="1"/>
    <xf numFmtId="0" fontId="18" fillId="4" borderId="0" xfId="12" applyFont="1" applyFill="1" applyBorder="1"/>
    <xf numFmtId="0" fontId="18" fillId="0" borderId="0" xfId="12" applyFont="1" applyBorder="1"/>
    <xf numFmtId="168" fontId="18" fillId="0" borderId="0" xfId="14" applyFont="1" applyBorder="1"/>
    <xf numFmtId="170" fontId="18" fillId="4" borderId="0" xfId="15" applyNumberFormat="1" applyFont="1" applyFill="1" applyBorder="1"/>
    <xf numFmtId="170" fontId="18" fillId="0" borderId="0" xfId="15" applyNumberFormat="1" applyFont="1" applyBorder="1"/>
    <xf numFmtId="167" fontId="14" fillId="0" borderId="0" xfId="12" applyNumberFormat="1" applyFont="1" applyBorder="1"/>
    <xf numFmtId="166" fontId="14" fillId="0" borderId="0" xfId="13" applyNumberFormat="1" applyFont="1" applyBorder="1"/>
    <xf numFmtId="170" fontId="14" fillId="0" borderId="0" xfId="15" applyNumberFormat="1" applyFont="1" applyBorder="1"/>
    <xf numFmtId="10" fontId="18" fillId="0" borderId="0" xfId="13" applyNumberFormat="1" applyFont="1" applyBorder="1"/>
    <xf numFmtId="0" fontId="32" fillId="0" borderId="0" xfId="12" applyFont="1"/>
    <xf numFmtId="0" fontId="14" fillId="0" borderId="0" xfId="12" applyFont="1" applyFill="1" applyBorder="1"/>
    <xf numFmtId="9" fontId="18" fillId="4" borderId="0" xfId="12" applyNumberFormat="1" applyFont="1" applyFill="1" applyBorder="1"/>
    <xf numFmtId="174" fontId="14" fillId="0" borderId="0" xfId="15" applyNumberFormat="1" applyFont="1" applyBorder="1"/>
    <xf numFmtId="0" fontId="32" fillId="0" borderId="0" xfId="12" applyFont="1" applyFill="1" applyBorder="1"/>
    <xf numFmtId="10" fontId="18" fillId="4" borderId="0" xfId="12" applyNumberFormat="1" applyFont="1" applyFill="1" applyBorder="1"/>
    <xf numFmtId="0" fontId="14" fillId="2" borderId="0" xfId="12" applyFont="1" applyFill="1"/>
    <xf numFmtId="166" fontId="14" fillId="0" borderId="0" xfId="12" applyNumberFormat="1" applyFont="1"/>
    <xf numFmtId="10" fontId="14" fillId="0" borderId="0" xfId="13" applyNumberFormat="1" applyFont="1"/>
    <xf numFmtId="166" fontId="33" fillId="0" borderId="5" xfId="12" applyNumberFormat="1" applyFont="1" applyBorder="1"/>
    <xf numFmtId="9" fontId="34" fillId="0" borderId="5" xfId="12" applyNumberFormat="1" applyFont="1" applyBorder="1"/>
    <xf numFmtId="10" fontId="33" fillId="0" borderId="5" xfId="12" applyNumberFormat="1" applyFont="1" applyBorder="1"/>
    <xf numFmtId="10" fontId="33" fillId="0" borderId="5" xfId="13" applyNumberFormat="1" applyFont="1" applyBorder="1"/>
    <xf numFmtId="9" fontId="34" fillId="0" borderId="0" xfId="12" applyNumberFormat="1" applyFont="1" applyBorder="1"/>
    <xf numFmtId="172" fontId="35" fillId="3" borderId="0" xfId="7" applyNumberFormat="1" applyFont="1" applyFill="1" applyAlignment="1">
      <alignment horizontal="left" vertical="top" wrapText="1"/>
    </xf>
    <xf numFmtId="0" fontId="35" fillId="3" borderId="0" xfId="7" applyFont="1" applyFill="1" applyAlignment="1">
      <alignment horizontal="left" vertical="top" wrapText="1"/>
    </xf>
    <xf numFmtId="9" fontId="35" fillId="3" borderId="0" xfId="11" applyFont="1" applyFill="1" applyAlignment="1">
      <alignment horizontal="left" vertical="top" wrapText="1"/>
    </xf>
    <xf numFmtId="0" fontId="35" fillId="3" borderId="6" xfId="7" applyFont="1" applyFill="1" applyBorder="1" applyAlignment="1">
      <alignment horizontal="left" vertical="top" wrapText="1"/>
    </xf>
    <xf numFmtId="172" fontId="35" fillId="3" borderId="6" xfId="7" applyNumberFormat="1" applyFont="1" applyFill="1" applyBorder="1" applyAlignment="1">
      <alignment horizontal="left" vertical="top" wrapText="1"/>
    </xf>
    <xf numFmtId="168" fontId="35" fillId="3" borderId="6" xfId="10" applyFont="1" applyFill="1" applyBorder="1" applyAlignment="1">
      <alignment horizontal="left" vertical="top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justify" wrapText="1"/>
    </xf>
    <xf numFmtId="0" fontId="16" fillId="2" borderId="0" xfId="3" applyFont="1" applyFill="1" applyAlignment="1">
      <alignment horizontal="left" wrapText="1" readingOrder="1"/>
    </xf>
    <xf numFmtId="0" fontId="15" fillId="2" borderId="0" xfId="3" applyFont="1" applyFill="1" applyAlignment="1">
      <alignment horizontal="left" wrapText="1" readingOrder="1"/>
    </xf>
    <xf numFmtId="0" fontId="17" fillId="2" borderId="0" xfId="3" applyFont="1" applyFill="1" applyAlignment="1">
      <alignment horizontal="left" wrapText="1" readingOrder="1"/>
    </xf>
    <xf numFmtId="0" fontId="18" fillId="2" borderId="6" xfId="3" applyFont="1" applyFill="1" applyBorder="1" applyAlignment="1">
      <alignment horizontal="center"/>
    </xf>
    <xf numFmtId="0" fontId="18" fillId="2" borderId="7" xfId="3" applyFont="1" applyFill="1" applyBorder="1" applyAlignment="1">
      <alignment horizontal="center"/>
    </xf>
    <xf numFmtId="0" fontId="28" fillId="3" borderId="0" xfId="7" applyFont="1" applyFill="1" applyAlignment="1">
      <alignment horizontal="left" vertical="top" wrapText="1"/>
    </xf>
    <xf numFmtId="0" fontId="28" fillId="0" borderId="0" xfId="12" applyFont="1" applyAlignment="1">
      <alignment horizontal="left" wrapText="1" readingOrder="1"/>
    </xf>
    <xf numFmtId="0" fontId="14" fillId="0" borderId="0" xfId="12" applyFont="1" applyAlignment="1">
      <alignment wrapText="1"/>
    </xf>
    <xf numFmtId="0" fontId="29" fillId="0" borderId="0" xfId="12" applyFont="1" applyAlignment="1">
      <alignment horizontal="left" wrapText="1" readingOrder="1"/>
    </xf>
  </cellXfs>
  <cellStyles count="16">
    <cellStyle name="Moeda" xfId="1" builtinId="4"/>
    <cellStyle name="Moeda 2" xfId="8"/>
    <cellStyle name="Moeda 3 2" xfId="5"/>
    <cellStyle name="Moeda 4 2 3" xfId="15"/>
    <cellStyle name="Normal" xfId="0" builtinId="0"/>
    <cellStyle name="Normal 2" xfId="3"/>
    <cellStyle name="Normal 2 2" xfId="12"/>
    <cellStyle name="Normal 3" xfId="7"/>
    <cellStyle name="Porcentagem" xfId="2" builtinId="5"/>
    <cellStyle name="Porcentagem 2" xfId="4"/>
    <cellStyle name="Porcentagem 2 2" xfId="13"/>
    <cellStyle name="Porcentagem 3" xfId="11"/>
    <cellStyle name="Separador de milhares 2" xfId="6"/>
    <cellStyle name="Separador de milhares 2 2" xfId="9"/>
    <cellStyle name="Separador de milhares 2 2 2" xfId="14"/>
    <cellStyle name="Vírgula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6"/>
  <sheetViews>
    <sheetView tabSelected="1" workbookViewId="0">
      <selection activeCell="B15" sqref="B15"/>
    </sheetView>
  </sheetViews>
  <sheetFormatPr defaultColWidth="8.85546875" defaultRowHeight="15" x14ac:dyDescent="0.25"/>
  <cols>
    <col min="1" max="1" width="73.7109375" customWidth="1"/>
    <col min="2" max="2" width="14" customWidth="1"/>
    <col min="3" max="3" width="16.140625" customWidth="1"/>
  </cols>
  <sheetData>
    <row r="1" spans="1:6" ht="39" customHeight="1" thickBot="1" x14ac:dyDescent="0.3">
      <c r="A1" s="116" t="s">
        <v>0</v>
      </c>
      <c r="B1" s="117"/>
      <c r="C1" s="117"/>
      <c r="D1" s="117"/>
    </row>
    <row r="2" spans="1:6" ht="16.5" thickBot="1" x14ac:dyDescent="0.3">
      <c r="A2" s="1"/>
      <c r="B2" s="2" t="s">
        <v>1</v>
      </c>
      <c r="C2" s="2" t="s">
        <v>2</v>
      </c>
    </row>
    <row r="3" spans="1:6" ht="16.5" thickBot="1" x14ac:dyDescent="0.3">
      <c r="A3" s="3" t="s">
        <v>3</v>
      </c>
      <c r="B3" s="4">
        <v>10000</v>
      </c>
      <c r="C3" s="4">
        <v>12000</v>
      </c>
    </row>
    <row r="4" spans="1:6" ht="16.5" thickBot="1" x14ac:dyDescent="0.3">
      <c r="A4" s="3" t="s">
        <v>4</v>
      </c>
      <c r="B4" s="4">
        <f>+B3*10%</f>
        <v>1000</v>
      </c>
      <c r="C4" s="4">
        <f>+C3*12%</f>
        <v>1440</v>
      </c>
    </row>
    <row r="5" spans="1:6" ht="16.5" thickBot="1" x14ac:dyDescent="0.3">
      <c r="A5" s="3" t="s">
        <v>5</v>
      </c>
      <c r="B5" s="5">
        <v>4</v>
      </c>
      <c r="C5" s="5">
        <v>25</v>
      </c>
    </row>
    <row r="6" spans="1:6" x14ac:dyDescent="0.25">
      <c r="A6" s="6" t="s">
        <v>6</v>
      </c>
      <c r="B6" s="7">
        <v>9500</v>
      </c>
      <c r="C6" s="7">
        <v>12500</v>
      </c>
    </row>
    <row r="7" spans="1:6" x14ac:dyDescent="0.25">
      <c r="A7" s="8"/>
    </row>
    <row r="8" spans="1:6" ht="15.75" x14ac:dyDescent="0.25">
      <c r="A8" s="9"/>
      <c r="B8" s="10" t="s">
        <v>1</v>
      </c>
      <c r="C8" s="10" t="s">
        <v>2</v>
      </c>
    </row>
    <row r="9" spans="1:6" ht="48" customHeight="1" x14ac:dyDescent="0.25">
      <c r="A9" s="9" t="s">
        <v>112</v>
      </c>
      <c r="B9" s="16">
        <f>+B4/B3</f>
        <v>0.1</v>
      </c>
      <c r="C9" s="16">
        <f>+C4/C3</f>
        <v>0.12</v>
      </c>
      <c r="D9" s="17"/>
      <c r="E9" s="17"/>
      <c r="F9" s="17"/>
    </row>
    <row r="10" spans="1:6" ht="41.25" customHeight="1" x14ac:dyDescent="0.25">
      <c r="A10" s="9" t="s">
        <v>11</v>
      </c>
      <c r="B10" s="12">
        <f>+PV($D$10,3,B4,B3)</f>
        <v>-9636.6070920532784</v>
      </c>
      <c r="C10" s="12">
        <f>+PV($D$10,24,C4,C3)</f>
        <v>-12483.469295167128</v>
      </c>
      <c r="D10" s="19">
        <v>0.115</v>
      </c>
      <c r="E10" s="19">
        <v>0.115</v>
      </c>
      <c r="F10" s="17"/>
    </row>
    <row r="11" spans="1:6" ht="43.5" customHeight="1" x14ac:dyDescent="0.25">
      <c r="A11" s="9" t="s">
        <v>12</v>
      </c>
      <c r="B11" s="13">
        <f>RATE(3,B4,-D11,B3)</f>
        <v>0.12084778319813087</v>
      </c>
      <c r="C11" s="13">
        <f>RATE(14,C4,-E11,C3)</f>
        <v>0.11390846986852018</v>
      </c>
      <c r="D11" s="18">
        <v>9500</v>
      </c>
      <c r="E11" s="18">
        <v>12500</v>
      </c>
      <c r="F11" s="17"/>
    </row>
    <row r="12" spans="1:6" ht="51" customHeight="1" x14ac:dyDescent="0.25">
      <c r="A12" s="9" t="s">
        <v>7</v>
      </c>
      <c r="B12" s="14"/>
      <c r="C12" s="14"/>
      <c r="D12" s="17"/>
      <c r="E12" s="17"/>
      <c r="F12" s="17"/>
    </row>
    <row r="13" spans="1:6" ht="25.5" customHeight="1" x14ac:dyDescent="0.25">
      <c r="A13" s="11" t="s">
        <v>8</v>
      </c>
      <c r="B13" s="15">
        <f>+B4/D11</f>
        <v>0.10526315789473684</v>
      </c>
      <c r="C13" s="15">
        <f>+C4/E11</f>
        <v>0.1152</v>
      </c>
      <c r="D13" s="17"/>
      <c r="E13" s="17"/>
      <c r="F13" s="17"/>
    </row>
    <row r="14" spans="1:6" x14ac:dyDescent="0.25">
      <c r="A14" s="11" t="s">
        <v>9</v>
      </c>
      <c r="B14" s="15">
        <f>+B11-B13</f>
        <v>1.5584625303394037E-2</v>
      </c>
      <c r="C14" s="15">
        <f>+C11-C13</f>
        <v>-1.2915301314798122E-3</v>
      </c>
      <c r="D14" s="17"/>
      <c r="E14" s="17"/>
      <c r="F14" s="17"/>
    </row>
    <row r="16" spans="1:6" ht="61.5" customHeight="1" x14ac:dyDescent="0.25">
      <c r="A16" s="118" t="s">
        <v>10</v>
      </c>
      <c r="B16" s="117"/>
      <c r="C16" s="117"/>
      <c r="D16" s="117"/>
    </row>
  </sheetData>
  <mergeCells count="2">
    <mergeCell ref="A1:D1"/>
    <mergeCell ref="A16:D16"/>
  </mergeCells>
  <pageMargins left="0.511811024" right="0.511811024" top="0.78740157499999996" bottom="0.78740157499999996" header="0.31496062000000002" footer="0.31496062000000002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5"/>
  <sheetViews>
    <sheetView zoomScaleSheetLayoutView="100" workbookViewId="0">
      <selection activeCell="D21" sqref="D21"/>
    </sheetView>
  </sheetViews>
  <sheetFormatPr defaultColWidth="0" defaultRowHeight="12.75" x14ac:dyDescent="0.2"/>
  <cols>
    <col min="1" max="1" width="18.140625" style="24" customWidth="1"/>
    <col min="2" max="2" width="19.28515625" style="24" customWidth="1"/>
    <col min="3" max="3" width="22.7109375" style="24" customWidth="1"/>
    <col min="4" max="4" width="22.42578125" style="24" customWidth="1"/>
    <col min="5" max="5" width="17" style="24" customWidth="1"/>
    <col min="6" max="6" width="10.28515625" style="24" customWidth="1"/>
    <col min="7" max="7" width="12.42578125" style="24" customWidth="1"/>
    <col min="8" max="8" width="12.42578125" style="25" customWidth="1"/>
    <col min="9" max="9" width="13" style="24" customWidth="1"/>
    <col min="10" max="10" width="17.140625" style="24" customWidth="1"/>
    <col min="11" max="16384" width="0" style="24" hidden="1"/>
  </cols>
  <sheetData>
    <row r="1" spans="1:10" s="21" customFormat="1" ht="58.5" customHeight="1" x14ac:dyDescent="0.2">
      <c r="A1" s="119" t="s">
        <v>47</v>
      </c>
      <c r="B1" s="120"/>
      <c r="C1" s="120"/>
      <c r="D1" s="120"/>
      <c r="E1" s="120"/>
      <c r="F1" s="120"/>
      <c r="G1" s="120"/>
      <c r="H1" s="20"/>
      <c r="I1" s="20"/>
      <c r="J1" s="20"/>
    </row>
    <row r="2" spans="1:10" s="21" customFormat="1" ht="28.5" customHeight="1" x14ac:dyDescent="0.2">
      <c r="A2" s="121" t="s">
        <v>13</v>
      </c>
      <c r="B2" s="121"/>
      <c r="C2" s="121"/>
      <c r="D2" s="121"/>
      <c r="E2" s="121"/>
      <c r="F2" s="121"/>
      <c r="G2" s="121"/>
      <c r="H2" s="22"/>
      <c r="I2" s="22"/>
      <c r="J2" s="22"/>
    </row>
    <row r="3" spans="1:10" s="21" customFormat="1" ht="12.75" customHeight="1" x14ac:dyDescent="0.2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">
      <c r="A4" s="122" t="s">
        <v>15</v>
      </c>
      <c r="B4" s="122"/>
      <c r="C4" s="122"/>
      <c r="D4" s="122"/>
      <c r="E4" s="23">
        <v>5</v>
      </c>
    </row>
    <row r="5" spans="1:10" x14ac:dyDescent="0.2">
      <c r="A5" s="26" t="s">
        <v>16</v>
      </c>
      <c r="B5" s="27">
        <f>+D6*0.5</f>
        <v>1500</v>
      </c>
      <c r="C5" s="27" t="s">
        <v>17</v>
      </c>
      <c r="D5" s="27"/>
    </row>
    <row r="6" spans="1:10" x14ac:dyDescent="0.2">
      <c r="A6" s="26" t="s">
        <v>18</v>
      </c>
      <c r="B6" s="27">
        <f>+D6*0.5</f>
        <v>1500</v>
      </c>
      <c r="C6" s="27" t="s">
        <v>19</v>
      </c>
      <c r="D6" s="28">
        <v>3000</v>
      </c>
    </row>
    <row r="7" spans="1:10" x14ac:dyDescent="0.2">
      <c r="A7" s="26" t="s">
        <v>20</v>
      </c>
      <c r="B7" s="27">
        <f>SUM(B5:B6)</f>
        <v>3000</v>
      </c>
      <c r="C7" s="27" t="s">
        <v>21</v>
      </c>
      <c r="D7" s="27">
        <f>SUM(D5:D6)</f>
        <v>3000</v>
      </c>
    </row>
    <row r="8" spans="1:10" x14ac:dyDescent="0.2">
      <c r="A8" s="123" t="s">
        <v>22</v>
      </c>
      <c r="B8" s="123"/>
    </row>
    <row r="9" spans="1:10" x14ac:dyDescent="0.2">
      <c r="A9" s="26" t="s">
        <v>23</v>
      </c>
      <c r="B9" s="27">
        <f>+B13+B10+B11</f>
        <v>16800</v>
      </c>
      <c r="D9" s="29" t="s">
        <v>24</v>
      </c>
    </row>
    <row r="10" spans="1:10" x14ac:dyDescent="0.2">
      <c r="A10" s="26" t="s">
        <v>25</v>
      </c>
      <c r="B10" s="27">
        <f>+D6*1.2</f>
        <v>3600</v>
      </c>
      <c r="D10" s="26" t="s">
        <v>26</v>
      </c>
      <c r="E10" s="27">
        <f>+D6*4</f>
        <v>12000</v>
      </c>
    </row>
    <row r="11" spans="1:10" x14ac:dyDescent="0.2">
      <c r="A11" s="26" t="s">
        <v>27</v>
      </c>
      <c r="B11" s="27">
        <f>+B6/5*4</f>
        <v>1200</v>
      </c>
      <c r="D11" s="26" t="s">
        <v>28</v>
      </c>
      <c r="E11" s="30">
        <v>1000</v>
      </c>
    </row>
    <row r="12" spans="1:10" x14ac:dyDescent="0.2">
      <c r="A12" s="26" t="s">
        <v>29</v>
      </c>
      <c r="B12" s="31">
        <v>0</v>
      </c>
      <c r="D12" s="26" t="s">
        <v>30</v>
      </c>
      <c r="E12" s="32">
        <f>+B15/E11</f>
        <v>8.4</v>
      </c>
    </row>
    <row r="13" spans="1:10" x14ac:dyDescent="0.2">
      <c r="A13" s="26" t="s">
        <v>31</v>
      </c>
      <c r="B13" s="27">
        <f>+E10-B12</f>
        <v>12000</v>
      </c>
      <c r="D13" s="26" t="s">
        <v>32</v>
      </c>
      <c r="E13" s="32">
        <f>+D6/E11</f>
        <v>3</v>
      </c>
    </row>
    <row r="14" spans="1:10" x14ac:dyDescent="0.2">
      <c r="A14" s="26" t="s">
        <v>33</v>
      </c>
      <c r="B14" s="27">
        <f>+B13*E15</f>
        <v>3600</v>
      </c>
      <c r="D14" s="26" t="s">
        <v>34</v>
      </c>
      <c r="E14" s="32">
        <f>+D20/E11*0.8</f>
        <v>20.571428571428569</v>
      </c>
    </row>
    <row r="15" spans="1:10" x14ac:dyDescent="0.2">
      <c r="A15" s="26" t="s">
        <v>35</v>
      </c>
      <c r="B15" s="27">
        <f>+B13-B14</f>
        <v>8400</v>
      </c>
      <c r="D15" s="26" t="s">
        <v>36</v>
      </c>
      <c r="E15" s="33">
        <v>0.3</v>
      </c>
    </row>
    <row r="17" spans="1:10" x14ac:dyDescent="0.2">
      <c r="A17" s="24" t="s">
        <v>37</v>
      </c>
      <c r="B17" s="34"/>
      <c r="I17" s="35"/>
    </row>
    <row r="18" spans="1:10" x14ac:dyDescent="0.2">
      <c r="A18" s="20" t="s">
        <v>38</v>
      </c>
      <c r="B18" s="34"/>
      <c r="I18" s="35"/>
    </row>
    <row r="19" spans="1:10" ht="38.25" x14ac:dyDescent="0.2">
      <c r="A19" s="36" t="s">
        <v>39</v>
      </c>
      <c r="B19" s="36" t="s">
        <v>40</v>
      </c>
      <c r="C19" s="36" t="s">
        <v>41</v>
      </c>
      <c r="D19" s="36" t="s">
        <v>42</v>
      </c>
      <c r="E19" s="36" t="s">
        <v>43</v>
      </c>
      <c r="F19" s="36" t="s">
        <v>44</v>
      </c>
      <c r="G19" s="37" t="s">
        <v>45</v>
      </c>
      <c r="H19" s="38"/>
      <c r="I19" s="39" t="s">
        <v>46</v>
      </c>
      <c r="J19" s="38"/>
    </row>
    <row r="20" spans="1:10" ht="13.5" x14ac:dyDescent="0.25">
      <c r="A20" s="40">
        <v>0</v>
      </c>
      <c r="B20" s="41">
        <v>0</v>
      </c>
      <c r="C20" s="41">
        <f>+B21+0.04</f>
        <v>0.14000000000000001</v>
      </c>
      <c r="D20" s="42">
        <f>($B$13-A20*B20)*$E$15/C20</f>
        <v>25714.28571428571</v>
      </c>
      <c r="E20" s="43">
        <f>+A20+D20</f>
        <v>25714.28571428571</v>
      </c>
      <c r="F20" s="44">
        <f>+A20/E20</f>
        <v>0</v>
      </c>
      <c r="G20" s="45">
        <f>(+F20*B20)*(1-$E$15)+((1-F20)*C20)</f>
        <v>0.14000000000000001</v>
      </c>
      <c r="I20" s="46"/>
      <c r="J20" s="35"/>
    </row>
    <row r="21" spans="1:10" ht="13.5" x14ac:dyDescent="0.25">
      <c r="A21" s="40">
        <f>+D6*3</f>
        <v>9000</v>
      </c>
      <c r="B21" s="41">
        <v>0.1</v>
      </c>
      <c r="C21" s="41">
        <f>+B21+0.05</f>
        <v>0.15000000000000002</v>
      </c>
      <c r="D21" s="42">
        <f>(+$B$9-A21*B21)*$E$15/C21</f>
        <v>31799.999999999996</v>
      </c>
      <c r="E21" s="43">
        <f>+A21+D21</f>
        <v>40800</v>
      </c>
      <c r="F21" s="44">
        <f>+A21/E21</f>
        <v>0.22058823529411764</v>
      </c>
      <c r="G21" s="45">
        <f>(+F21*B21)*(1-$E$15)+((1-F21)*C21)</f>
        <v>0.13235294117647062</v>
      </c>
      <c r="I21" s="46">
        <f>+B21*$C$2</f>
        <v>0</v>
      </c>
      <c r="J21" s="47"/>
    </row>
    <row r="22" spans="1:10" ht="13.5" x14ac:dyDescent="0.25">
      <c r="A22" s="40">
        <f>+D6*9</f>
        <v>27000</v>
      </c>
      <c r="B22" s="41">
        <v>0.13</v>
      </c>
      <c r="C22" s="41">
        <f>+B22+0.03</f>
        <v>0.16</v>
      </c>
      <c r="D22" s="42">
        <f>(+$B$9-A22*B22)*$E$15/C22</f>
        <v>24918.75</v>
      </c>
      <c r="E22" s="43">
        <f>+A22+D22</f>
        <v>51918.75</v>
      </c>
      <c r="F22" s="44">
        <f>+A22/E22</f>
        <v>0.52004333694474536</v>
      </c>
      <c r="G22" s="45">
        <f>(+F22*B22)*(1-$E$15)+((1-F22)*C22)</f>
        <v>0.12411700975081258</v>
      </c>
      <c r="I22" s="46">
        <f>+B22*$C$2</f>
        <v>0</v>
      </c>
      <c r="J22" s="47"/>
    </row>
    <row r="23" spans="1:10" ht="13.5" x14ac:dyDescent="0.25">
      <c r="A23" s="40">
        <f>+D6*12</f>
        <v>36000</v>
      </c>
      <c r="B23" s="41">
        <v>0.2</v>
      </c>
      <c r="C23" s="41">
        <f>+B23-0.01</f>
        <v>0.19</v>
      </c>
      <c r="D23" s="42">
        <f>(+$B$9-A23*B23)*$E$15/C23</f>
        <v>15157.894736842105</v>
      </c>
      <c r="E23" s="43">
        <f>+A23+D23</f>
        <v>51157.894736842107</v>
      </c>
      <c r="F23" s="44">
        <f>+A23/E23</f>
        <v>0.70370370370370372</v>
      </c>
      <c r="G23" s="45">
        <f>(+F23*B23)*(1-$E$15)+((1-F23)*C23)</f>
        <v>0.15481481481481482</v>
      </c>
      <c r="I23" s="46">
        <f>+B23*$C$2</f>
        <v>0</v>
      </c>
      <c r="J23" s="47"/>
    </row>
    <row r="24" spans="1:10" x14ac:dyDescent="0.2">
      <c r="A24" s="48"/>
      <c r="I24" s="35"/>
    </row>
    <row r="25" spans="1:10" x14ac:dyDescent="0.2">
      <c r="A25" s="24" t="s">
        <v>48</v>
      </c>
    </row>
  </sheetData>
  <mergeCells count="4">
    <mergeCell ref="A1:G1"/>
    <mergeCell ref="A2:G2"/>
    <mergeCell ref="A4:D4"/>
    <mergeCell ref="A8:B8"/>
  </mergeCells>
  <pageMargins left="0.11811023622047245" right="0.11811023622047245" top="0.39370078740157483" bottom="0.39370078740157483" header="0.31496062992125984" footer="0.31496062992125984"/>
  <pageSetup paperSize="9" scale="8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10" workbookViewId="0">
      <selection activeCell="A19" sqref="A19:C19"/>
    </sheetView>
  </sheetViews>
  <sheetFormatPr defaultColWidth="0" defaultRowHeight="12" x14ac:dyDescent="0.25"/>
  <cols>
    <col min="1" max="1" width="15.28515625" style="49" customWidth="1"/>
    <col min="2" max="2" width="19.28515625" style="49" customWidth="1"/>
    <col min="3" max="3" width="20.85546875" style="49" customWidth="1"/>
    <col min="4" max="4" width="20.42578125" style="49" customWidth="1"/>
    <col min="5" max="5" width="15.140625" style="49" customWidth="1"/>
    <col min="6" max="6" width="14.85546875" style="49" bestFit="1" customWidth="1"/>
    <col min="7" max="7" width="9.140625" style="49" customWidth="1"/>
    <col min="8" max="8" width="9.140625" style="61" customWidth="1"/>
    <col min="9" max="10" width="9.140625" style="49" customWidth="1"/>
    <col min="11" max="256" width="0" style="49" hidden="1"/>
    <col min="257" max="257" width="15.28515625" style="49" customWidth="1"/>
    <col min="258" max="258" width="19.28515625" style="49" customWidth="1"/>
    <col min="259" max="259" width="20.85546875" style="49" customWidth="1"/>
    <col min="260" max="260" width="20.42578125" style="49" customWidth="1"/>
    <col min="261" max="261" width="15.140625" style="49" customWidth="1"/>
    <col min="262" max="262" width="14.85546875" style="49" bestFit="1" customWidth="1"/>
    <col min="263" max="266" width="9.140625" style="49" customWidth="1"/>
    <col min="267" max="512" width="0" style="49" hidden="1"/>
    <col min="513" max="513" width="15.28515625" style="49" customWidth="1"/>
    <col min="514" max="514" width="19.28515625" style="49" customWidth="1"/>
    <col min="515" max="515" width="20.85546875" style="49" customWidth="1"/>
    <col min="516" max="516" width="20.42578125" style="49" customWidth="1"/>
    <col min="517" max="517" width="15.140625" style="49" customWidth="1"/>
    <col min="518" max="518" width="14.85546875" style="49" bestFit="1" customWidth="1"/>
    <col min="519" max="522" width="9.140625" style="49" customWidth="1"/>
    <col min="523" max="768" width="0" style="49" hidden="1"/>
    <col min="769" max="769" width="15.28515625" style="49" customWidth="1"/>
    <col min="770" max="770" width="19.28515625" style="49" customWidth="1"/>
    <col min="771" max="771" width="20.85546875" style="49" customWidth="1"/>
    <col min="772" max="772" width="20.42578125" style="49" customWidth="1"/>
    <col min="773" max="773" width="15.140625" style="49" customWidth="1"/>
    <col min="774" max="774" width="14.85546875" style="49" bestFit="1" customWidth="1"/>
    <col min="775" max="778" width="9.140625" style="49" customWidth="1"/>
    <col min="779" max="1024" width="0" style="49" hidden="1"/>
    <col min="1025" max="1025" width="15.28515625" style="49" customWidth="1"/>
    <col min="1026" max="1026" width="19.28515625" style="49" customWidth="1"/>
    <col min="1027" max="1027" width="20.85546875" style="49" customWidth="1"/>
    <col min="1028" max="1028" width="20.42578125" style="49" customWidth="1"/>
    <col min="1029" max="1029" width="15.140625" style="49" customWidth="1"/>
    <col min="1030" max="1030" width="14.85546875" style="49" bestFit="1" customWidth="1"/>
    <col min="1031" max="1034" width="9.140625" style="49" customWidth="1"/>
    <col min="1035" max="1280" width="0" style="49" hidden="1"/>
    <col min="1281" max="1281" width="15.28515625" style="49" customWidth="1"/>
    <col min="1282" max="1282" width="19.28515625" style="49" customWidth="1"/>
    <col min="1283" max="1283" width="20.85546875" style="49" customWidth="1"/>
    <col min="1284" max="1284" width="20.42578125" style="49" customWidth="1"/>
    <col min="1285" max="1285" width="15.140625" style="49" customWidth="1"/>
    <col min="1286" max="1286" width="14.85546875" style="49" bestFit="1" customWidth="1"/>
    <col min="1287" max="1290" width="9.140625" style="49" customWidth="1"/>
    <col min="1291" max="1536" width="0" style="49" hidden="1"/>
    <col min="1537" max="1537" width="15.28515625" style="49" customWidth="1"/>
    <col min="1538" max="1538" width="19.28515625" style="49" customWidth="1"/>
    <col min="1539" max="1539" width="20.85546875" style="49" customWidth="1"/>
    <col min="1540" max="1540" width="20.42578125" style="49" customWidth="1"/>
    <col min="1541" max="1541" width="15.140625" style="49" customWidth="1"/>
    <col min="1542" max="1542" width="14.85546875" style="49" bestFit="1" customWidth="1"/>
    <col min="1543" max="1546" width="9.140625" style="49" customWidth="1"/>
    <col min="1547" max="1792" width="0" style="49" hidden="1"/>
    <col min="1793" max="1793" width="15.28515625" style="49" customWidth="1"/>
    <col min="1794" max="1794" width="19.28515625" style="49" customWidth="1"/>
    <col min="1795" max="1795" width="20.85546875" style="49" customWidth="1"/>
    <col min="1796" max="1796" width="20.42578125" style="49" customWidth="1"/>
    <col min="1797" max="1797" width="15.140625" style="49" customWidth="1"/>
    <col min="1798" max="1798" width="14.85546875" style="49" bestFit="1" customWidth="1"/>
    <col min="1799" max="1802" width="9.140625" style="49" customWidth="1"/>
    <col min="1803" max="2048" width="0" style="49" hidden="1"/>
    <col min="2049" max="2049" width="15.28515625" style="49" customWidth="1"/>
    <col min="2050" max="2050" width="19.28515625" style="49" customWidth="1"/>
    <col min="2051" max="2051" width="20.85546875" style="49" customWidth="1"/>
    <col min="2052" max="2052" width="20.42578125" style="49" customWidth="1"/>
    <col min="2053" max="2053" width="15.140625" style="49" customWidth="1"/>
    <col min="2054" max="2054" width="14.85546875" style="49" bestFit="1" customWidth="1"/>
    <col min="2055" max="2058" width="9.140625" style="49" customWidth="1"/>
    <col min="2059" max="2304" width="0" style="49" hidden="1"/>
    <col min="2305" max="2305" width="15.28515625" style="49" customWidth="1"/>
    <col min="2306" max="2306" width="19.28515625" style="49" customWidth="1"/>
    <col min="2307" max="2307" width="20.85546875" style="49" customWidth="1"/>
    <col min="2308" max="2308" width="20.42578125" style="49" customWidth="1"/>
    <col min="2309" max="2309" width="15.140625" style="49" customWidth="1"/>
    <col min="2310" max="2310" width="14.85546875" style="49" bestFit="1" customWidth="1"/>
    <col min="2311" max="2314" width="9.140625" style="49" customWidth="1"/>
    <col min="2315" max="2560" width="0" style="49" hidden="1"/>
    <col min="2561" max="2561" width="15.28515625" style="49" customWidth="1"/>
    <col min="2562" max="2562" width="19.28515625" style="49" customWidth="1"/>
    <col min="2563" max="2563" width="20.85546875" style="49" customWidth="1"/>
    <col min="2564" max="2564" width="20.42578125" style="49" customWidth="1"/>
    <col min="2565" max="2565" width="15.140625" style="49" customWidth="1"/>
    <col min="2566" max="2566" width="14.85546875" style="49" bestFit="1" customWidth="1"/>
    <col min="2567" max="2570" width="9.140625" style="49" customWidth="1"/>
    <col min="2571" max="2816" width="0" style="49" hidden="1"/>
    <col min="2817" max="2817" width="15.28515625" style="49" customWidth="1"/>
    <col min="2818" max="2818" width="19.28515625" style="49" customWidth="1"/>
    <col min="2819" max="2819" width="20.85546875" style="49" customWidth="1"/>
    <col min="2820" max="2820" width="20.42578125" style="49" customWidth="1"/>
    <col min="2821" max="2821" width="15.140625" style="49" customWidth="1"/>
    <col min="2822" max="2822" width="14.85546875" style="49" bestFit="1" customWidth="1"/>
    <col min="2823" max="2826" width="9.140625" style="49" customWidth="1"/>
    <col min="2827" max="3072" width="0" style="49" hidden="1"/>
    <col min="3073" max="3073" width="15.28515625" style="49" customWidth="1"/>
    <col min="3074" max="3074" width="19.28515625" style="49" customWidth="1"/>
    <col min="3075" max="3075" width="20.85546875" style="49" customWidth="1"/>
    <col min="3076" max="3076" width="20.42578125" style="49" customWidth="1"/>
    <col min="3077" max="3077" width="15.140625" style="49" customWidth="1"/>
    <col min="3078" max="3078" width="14.85546875" style="49" bestFit="1" customWidth="1"/>
    <col min="3079" max="3082" width="9.140625" style="49" customWidth="1"/>
    <col min="3083" max="3328" width="0" style="49" hidden="1"/>
    <col min="3329" max="3329" width="15.28515625" style="49" customWidth="1"/>
    <col min="3330" max="3330" width="19.28515625" style="49" customWidth="1"/>
    <col min="3331" max="3331" width="20.85546875" style="49" customWidth="1"/>
    <col min="3332" max="3332" width="20.42578125" style="49" customWidth="1"/>
    <col min="3333" max="3333" width="15.140625" style="49" customWidth="1"/>
    <col min="3334" max="3334" width="14.85546875" style="49" bestFit="1" customWidth="1"/>
    <col min="3335" max="3338" width="9.140625" style="49" customWidth="1"/>
    <col min="3339" max="3584" width="0" style="49" hidden="1"/>
    <col min="3585" max="3585" width="15.28515625" style="49" customWidth="1"/>
    <col min="3586" max="3586" width="19.28515625" style="49" customWidth="1"/>
    <col min="3587" max="3587" width="20.85546875" style="49" customWidth="1"/>
    <col min="3588" max="3588" width="20.42578125" style="49" customWidth="1"/>
    <col min="3589" max="3589" width="15.140625" style="49" customWidth="1"/>
    <col min="3590" max="3590" width="14.85546875" style="49" bestFit="1" customWidth="1"/>
    <col min="3591" max="3594" width="9.140625" style="49" customWidth="1"/>
    <col min="3595" max="3840" width="0" style="49" hidden="1"/>
    <col min="3841" max="3841" width="15.28515625" style="49" customWidth="1"/>
    <col min="3842" max="3842" width="19.28515625" style="49" customWidth="1"/>
    <col min="3843" max="3843" width="20.85546875" style="49" customWidth="1"/>
    <col min="3844" max="3844" width="20.42578125" style="49" customWidth="1"/>
    <col min="3845" max="3845" width="15.140625" style="49" customWidth="1"/>
    <col min="3846" max="3846" width="14.85546875" style="49" bestFit="1" customWidth="1"/>
    <col min="3847" max="3850" width="9.140625" style="49" customWidth="1"/>
    <col min="3851" max="4096" width="0" style="49" hidden="1"/>
    <col min="4097" max="4097" width="15.28515625" style="49" customWidth="1"/>
    <col min="4098" max="4098" width="19.28515625" style="49" customWidth="1"/>
    <col min="4099" max="4099" width="20.85546875" style="49" customWidth="1"/>
    <col min="4100" max="4100" width="20.42578125" style="49" customWidth="1"/>
    <col min="4101" max="4101" width="15.140625" style="49" customWidth="1"/>
    <col min="4102" max="4102" width="14.85546875" style="49" bestFit="1" customWidth="1"/>
    <col min="4103" max="4106" width="9.140625" style="49" customWidth="1"/>
    <col min="4107" max="4352" width="0" style="49" hidden="1"/>
    <col min="4353" max="4353" width="15.28515625" style="49" customWidth="1"/>
    <col min="4354" max="4354" width="19.28515625" style="49" customWidth="1"/>
    <col min="4355" max="4355" width="20.85546875" style="49" customWidth="1"/>
    <col min="4356" max="4356" width="20.42578125" style="49" customWidth="1"/>
    <col min="4357" max="4357" width="15.140625" style="49" customWidth="1"/>
    <col min="4358" max="4358" width="14.85546875" style="49" bestFit="1" customWidth="1"/>
    <col min="4359" max="4362" width="9.140625" style="49" customWidth="1"/>
    <col min="4363" max="4608" width="0" style="49" hidden="1"/>
    <col min="4609" max="4609" width="15.28515625" style="49" customWidth="1"/>
    <col min="4610" max="4610" width="19.28515625" style="49" customWidth="1"/>
    <col min="4611" max="4611" width="20.85546875" style="49" customWidth="1"/>
    <col min="4612" max="4612" width="20.42578125" style="49" customWidth="1"/>
    <col min="4613" max="4613" width="15.140625" style="49" customWidth="1"/>
    <col min="4614" max="4614" width="14.85546875" style="49" bestFit="1" customWidth="1"/>
    <col min="4615" max="4618" width="9.140625" style="49" customWidth="1"/>
    <col min="4619" max="4864" width="0" style="49" hidden="1"/>
    <col min="4865" max="4865" width="15.28515625" style="49" customWidth="1"/>
    <col min="4866" max="4866" width="19.28515625" style="49" customWidth="1"/>
    <col min="4867" max="4867" width="20.85546875" style="49" customWidth="1"/>
    <col min="4868" max="4868" width="20.42578125" style="49" customWidth="1"/>
    <col min="4869" max="4869" width="15.140625" style="49" customWidth="1"/>
    <col min="4870" max="4870" width="14.85546875" style="49" bestFit="1" customWidth="1"/>
    <col min="4871" max="4874" width="9.140625" style="49" customWidth="1"/>
    <col min="4875" max="5120" width="0" style="49" hidden="1"/>
    <col min="5121" max="5121" width="15.28515625" style="49" customWidth="1"/>
    <col min="5122" max="5122" width="19.28515625" style="49" customWidth="1"/>
    <col min="5123" max="5123" width="20.85546875" style="49" customWidth="1"/>
    <col min="5124" max="5124" width="20.42578125" style="49" customWidth="1"/>
    <col min="5125" max="5125" width="15.140625" style="49" customWidth="1"/>
    <col min="5126" max="5126" width="14.85546875" style="49" bestFit="1" customWidth="1"/>
    <col min="5127" max="5130" width="9.140625" style="49" customWidth="1"/>
    <col min="5131" max="5376" width="0" style="49" hidden="1"/>
    <col min="5377" max="5377" width="15.28515625" style="49" customWidth="1"/>
    <col min="5378" max="5378" width="19.28515625" style="49" customWidth="1"/>
    <col min="5379" max="5379" width="20.85546875" style="49" customWidth="1"/>
    <col min="5380" max="5380" width="20.42578125" style="49" customWidth="1"/>
    <col min="5381" max="5381" width="15.140625" style="49" customWidth="1"/>
    <col min="5382" max="5382" width="14.85546875" style="49" bestFit="1" customWidth="1"/>
    <col min="5383" max="5386" width="9.140625" style="49" customWidth="1"/>
    <col min="5387" max="5632" width="0" style="49" hidden="1"/>
    <col min="5633" max="5633" width="15.28515625" style="49" customWidth="1"/>
    <col min="5634" max="5634" width="19.28515625" style="49" customWidth="1"/>
    <col min="5635" max="5635" width="20.85546875" style="49" customWidth="1"/>
    <col min="5636" max="5636" width="20.42578125" style="49" customWidth="1"/>
    <col min="5637" max="5637" width="15.140625" style="49" customWidth="1"/>
    <col min="5638" max="5638" width="14.85546875" style="49" bestFit="1" customWidth="1"/>
    <col min="5639" max="5642" width="9.140625" style="49" customWidth="1"/>
    <col min="5643" max="5888" width="0" style="49" hidden="1"/>
    <col min="5889" max="5889" width="15.28515625" style="49" customWidth="1"/>
    <col min="5890" max="5890" width="19.28515625" style="49" customWidth="1"/>
    <col min="5891" max="5891" width="20.85546875" style="49" customWidth="1"/>
    <col min="5892" max="5892" width="20.42578125" style="49" customWidth="1"/>
    <col min="5893" max="5893" width="15.140625" style="49" customWidth="1"/>
    <col min="5894" max="5894" width="14.85546875" style="49" bestFit="1" customWidth="1"/>
    <col min="5895" max="5898" width="9.140625" style="49" customWidth="1"/>
    <col min="5899" max="6144" width="0" style="49" hidden="1"/>
    <col min="6145" max="6145" width="15.28515625" style="49" customWidth="1"/>
    <col min="6146" max="6146" width="19.28515625" style="49" customWidth="1"/>
    <col min="6147" max="6147" width="20.85546875" style="49" customWidth="1"/>
    <col min="6148" max="6148" width="20.42578125" style="49" customWidth="1"/>
    <col min="6149" max="6149" width="15.140625" style="49" customWidth="1"/>
    <col min="6150" max="6150" width="14.85546875" style="49" bestFit="1" customWidth="1"/>
    <col min="6151" max="6154" width="9.140625" style="49" customWidth="1"/>
    <col min="6155" max="6400" width="0" style="49" hidden="1"/>
    <col min="6401" max="6401" width="15.28515625" style="49" customWidth="1"/>
    <col min="6402" max="6402" width="19.28515625" style="49" customWidth="1"/>
    <col min="6403" max="6403" width="20.85546875" style="49" customWidth="1"/>
    <col min="6404" max="6404" width="20.42578125" style="49" customWidth="1"/>
    <col min="6405" max="6405" width="15.140625" style="49" customWidth="1"/>
    <col min="6406" max="6406" width="14.85546875" style="49" bestFit="1" customWidth="1"/>
    <col min="6407" max="6410" width="9.140625" style="49" customWidth="1"/>
    <col min="6411" max="6656" width="0" style="49" hidden="1"/>
    <col min="6657" max="6657" width="15.28515625" style="49" customWidth="1"/>
    <col min="6658" max="6658" width="19.28515625" style="49" customWidth="1"/>
    <col min="6659" max="6659" width="20.85546875" style="49" customWidth="1"/>
    <col min="6660" max="6660" width="20.42578125" style="49" customWidth="1"/>
    <col min="6661" max="6661" width="15.140625" style="49" customWidth="1"/>
    <col min="6662" max="6662" width="14.85546875" style="49" bestFit="1" customWidth="1"/>
    <col min="6663" max="6666" width="9.140625" style="49" customWidth="1"/>
    <col min="6667" max="6912" width="0" style="49" hidden="1"/>
    <col min="6913" max="6913" width="15.28515625" style="49" customWidth="1"/>
    <col min="6914" max="6914" width="19.28515625" style="49" customWidth="1"/>
    <col min="6915" max="6915" width="20.85546875" style="49" customWidth="1"/>
    <col min="6916" max="6916" width="20.42578125" style="49" customWidth="1"/>
    <col min="6917" max="6917" width="15.140625" style="49" customWidth="1"/>
    <col min="6918" max="6918" width="14.85546875" style="49" bestFit="1" customWidth="1"/>
    <col min="6919" max="6922" width="9.140625" style="49" customWidth="1"/>
    <col min="6923" max="7168" width="0" style="49" hidden="1"/>
    <col min="7169" max="7169" width="15.28515625" style="49" customWidth="1"/>
    <col min="7170" max="7170" width="19.28515625" style="49" customWidth="1"/>
    <col min="7171" max="7171" width="20.85546875" style="49" customWidth="1"/>
    <col min="7172" max="7172" width="20.42578125" style="49" customWidth="1"/>
    <col min="7173" max="7173" width="15.140625" style="49" customWidth="1"/>
    <col min="7174" max="7174" width="14.85546875" style="49" bestFit="1" customWidth="1"/>
    <col min="7175" max="7178" width="9.140625" style="49" customWidth="1"/>
    <col min="7179" max="7424" width="0" style="49" hidden="1"/>
    <col min="7425" max="7425" width="15.28515625" style="49" customWidth="1"/>
    <col min="7426" max="7426" width="19.28515625" style="49" customWidth="1"/>
    <col min="7427" max="7427" width="20.85546875" style="49" customWidth="1"/>
    <col min="7428" max="7428" width="20.42578125" style="49" customWidth="1"/>
    <col min="7429" max="7429" width="15.140625" style="49" customWidth="1"/>
    <col min="7430" max="7430" width="14.85546875" style="49" bestFit="1" customWidth="1"/>
    <col min="7431" max="7434" width="9.140625" style="49" customWidth="1"/>
    <col min="7435" max="7680" width="0" style="49" hidden="1"/>
    <col min="7681" max="7681" width="15.28515625" style="49" customWidth="1"/>
    <col min="7682" max="7682" width="19.28515625" style="49" customWidth="1"/>
    <col min="7683" max="7683" width="20.85546875" style="49" customWidth="1"/>
    <col min="7684" max="7684" width="20.42578125" style="49" customWidth="1"/>
    <col min="7685" max="7685" width="15.140625" style="49" customWidth="1"/>
    <col min="7686" max="7686" width="14.85546875" style="49" bestFit="1" customWidth="1"/>
    <col min="7687" max="7690" width="9.140625" style="49" customWidth="1"/>
    <col min="7691" max="7936" width="0" style="49" hidden="1"/>
    <col min="7937" max="7937" width="15.28515625" style="49" customWidth="1"/>
    <col min="7938" max="7938" width="19.28515625" style="49" customWidth="1"/>
    <col min="7939" max="7939" width="20.85546875" style="49" customWidth="1"/>
    <col min="7940" max="7940" width="20.42578125" style="49" customWidth="1"/>
    <col min="7941" max="7941" width="15.140625" style="49" customWidth="1"/>
    <col min="7942" max="7942" width="14.85546875" style="49" bestFit="1" customWidth="1"/>
    <col min="7943" max="7946" width="9.140625" style="49" customWidth="1"/>
    <col min="7947" max="8192" width="0" style="49" hidden="1"/>
    <col min="8193" max="8193" width="15.28515625" style="49" customWidth="1"/>
    <col min="8194" max="8194" width="19.28515625" style="49" customWidth="1"/>
    <col min="8195" max="8195" width="20.85546875" style="49" customWidth="1"/>
    <col min="8196" max="8196" width="20.42578125" style="49" customWidth="1"/>
    <col min="8197" max="8197" width="15.140625" style="49" customWidth="1"/>
    <col min="8198" max="8198" width="14.85546875" style="49" bestFit="1" customWidth="1"/>
    <col min="8199" max="8202" width="9.140625" style="49" customWidth="1"/>
    <col min="8203" max="8448" width="0" style="49" hidden="1"/>
    <col min="8449" max="8449" width="15.28515625" style="49" customWidth="1"/>
    <col min="8450" max="8450" width="19.28515625" style="49" customWidth="1"/>
    <col min="8451" max="8451" width="20.85546875" style="49" customWidth="1"/>
    <col min="8452" max="8452" width="20.42578125" style="49" customWidth="1"/>
    <col min="8453" max="8453" width="15.140625" style="49" customWidth="1"/>
    <col min="8454" max="8454" width="14.85546875" style="49" bestFit="1" customWidth="1"/>
    <col min="8455" max="8458" width="9.140625" style="49" customWidth="1"/>
    <col min="8459" max="8704" width="0" style="49" hidden="1"/>
    <col min="8705" max="8705" width="15.28515625" style="49" customWidth="1"/>
    <col min="8706" max="8706" width="19.28515625" style="49" customWidth="1"/>
    <col min="8707" max="8707" width="20.85546875" style="49" customWidth="1"/>
    <col min="8708" max="8708" width="20.42578125" style="49" customWidth="1"/>
    <col min="8709" max="8709" width="15.140625" style="49" customWidth="1"/>
    <col min="8710" max="8710" width="14.85546875" style="49" bestFit="1" customWidth="1"/>
    <col min="8711" max="8714" width="9.140625" style="49" customWidth="1"/>
    <col min="8715" max="8960" width="0" style="49" hidden="1"/>
    <col min="8961" max="8961" width="15.28515625" style="49" customWidth="1"/>
    <col min="8962" max="8962" width="19.28515625" style="49" customWidth="1"/>
    <col min="8963" max="8963" width="20.85546875" style="49" customWidth="1"/>
    <col min="8964" max="8964" width="20.42578125" style="49" customWidth="1"/>
    <col min="8965" max="8965" width="15.140625" style="49" customWidth="1"/>
    <col min="8966" max="8966" width="14.85546875" style="49" bestFit="1" customWidth="1"/>
    <col min="8967" max="8970" width="9.140625" style="49" customWidth="1"/>
    <col min="8971" max="9216" width="0" style="49" hidden="1"/>
    <col min="9217" max="9217" width="15.28515625" style="49" customWidth="1"/>
    <col min="9218" max="9218" width="19.28515625" style="49" customWidth="1"/>
    <col min="9219" max="9219" width="20.85546875" style="49" customWidth="1"/>
    <col min="9220" max="9220" width="20.42578125" style="49" customWidth="1"/>
    <col min="9221" max="9221" width="15.140625" style="49" customWidth="1"/>
    <col min="9222" max="9222" width="14.85546875" style="49" bestFit="1" customWidth="1"/>
    <col min="9223" max="9226" width="9.140625" style="49" customWidth="1"/>
    <col min="9227" max="9472" width="0" style="49" hidden="1"/>
    <col min="9473" max="9473" width="15.28515625" style="49" customWidth="1"/>
    <col min="9474" max="9474" width="19.28515625" style="49" customWidth="1"/>
    <col min="9475" max="9475" width="20.85546875" style="49" customWidth="1"/>
    <col min="9476" max="9476" width="20.42578125" style="49" customWidth="1"/>
    <col min="9477" max="9477" width="15.140625" style="49" customWidth="1"/>
    <col min="9478" max="9478" width="14.85546875" style="49" bestFit="1" customWidth="1"/>
    <col min="9479" max="9482" width="9.140625" style="49" customWidth="1"/>
    <col min="9483" max="9728" width="0" style="49" hidden="1"/>
    <col min="9729" max="9729" width="15.28515625" style="49" customWidth="1"/>
    <col min="9730" max="9730" width="19.28515625" style="49" customWidth="1"/>
    <col min="9731" max="9731" width="20.85546875" style="49" customWidth="1"/>
    <col min="9732" max="9732" width="20.42578125" style="49" customWidth="1"/>
    <col min="9733" max="9733" width="15.140625" style="49" customWidth="1"/>
    <col min="9734" max="9734" width="14.85546875" style="49" bestFit="1" customWidth="1"/>
    <col min="9735" max="9738" width="9.140625" style="49" customWidth="1"/>
    <col min="9739" max="9984" width="0" style="49" hidden="1"/>
    <col min="9985" max="9985" width="15.28515625" style="49" customWidth="1"/>
    <col min="9986" max="9986" width="19.28515625" style="49" customWidth="1"/>
    <col min="9987" max="9987" width="20.85546875" style="49" customWidth="1"/>
    <col min="9988" max="9988" width="20.42578125" style="49" customWidth="1"/>
    <col min="9989" max="9989" width="15.140625" style="49" customWidth="1"/>
    <col min="9990" max="9990" width="14.85546875" style="49" bestFit="1" customWidth="1"/>
    <col min="9991" max="9994" width="9.140625" style="49" customWidth="1"/>
    <col min="9995" max="10240" width="0" style="49" hidden="1"/>
    <col min="10241" max="10241" width="15.28515625" style="49" customWidth="1"/>
    <col min="10242" max="10242" width="19.28515625" style="49" customWidth="1"/>
    <col min="10243" max="10243" width="20.85546875" style="49" customWidth="1"/>
    <col min="10244" max="10244" width="20.42578125" style="49" customWidth="1"/>
    <col min="10245" max="10245" width="15.140625" style="49" customWidth="1"/>
    <col min="10246" max="10246" width="14.85546875" style="49" bestFit="1" customWidth="1"/>
    <col min="10247" max="10250" width="9.140625" style="49" customWidth="1"/>
    <col min="10251" max="10496" width="0" style="49" hidden="1"/>
    <col min="10497" max="10497" width="15.28515625" style="49" customWidth="1"/>
    <col min="10498" max="10498" width="19.28515625" style="49" customWidth="1"/>
    <col min="10499" max="10499" width="20.85546875" style="49" customWidth="1"/>
    <col min="10500" max="10500" width="20.42578125" style="49" customWidth="1"/>
    <col min="10501" max="10501" width="15.140625" style="49" customWidth="1"/>
    <col min="10502" max="10502" width="14.85546875" style="49" bestFit="1" customWidth="1"/>
    <col min="10503" max="10506" width="9.140625" style="49" customWidth="1"/>
    <col min="10507" max="10752" width="0" style="49" hidden="1"/>
    <col min="10753" max="10753" width="15.28515625" style="49" customWidth="1"/>
    <col min="10754" max="10754" width="19.28515625" style="49" customWidth="1"/>
    <col min="10755" max="10755" width="20.85546875" style="49" customWidth="1"/>
    <col min="10756" max="10756" width="20.42578125" style="49" customWidth="1"/>
    <col min="10757" max="10757" width="15.140625" style="49" customWidth="1"/>
    <col min="10758" max="10758" width="14.85546875" style="49" bestFit="1" customWidth="1"/>
    <col min="10759" max="10762" width="9.140625" style="49" customWidth="1"/>
    <col min="10763" max="11008" width="0" style="49" hidden="1"/>
    <col min="11009" max="11009" width="15.28515625" style="49" customWidth="1"/>
    <col min="11010" max="11010" width="19.28515625" style="49" customWidth="1"/>
    <col min="11011" max="11011" width="20.85546875" style="49" customWidth="1"/>
    <col min="11012" max="11012" width="20.42578125" style="49" customWidth="1"/>
    <col min="11013" max="11013" width="15.140625" style="49" customWidth="1"/>
    <col min="11014" max="11014" width="14.85546875" style="49" bestFit="1" customWidth="1"/>
    <col min="11015" max="11018" width="9.140625" style="49" customWidth="1"/>
    <col min="11019" max="11264" width="0" style="49" hidden="1"/>
    <col min="11265" max="11265" width="15.28515625" style="49" customWidth="1"/>
    <col min="11266" max="11266" width="19.28515625" style="49" customWidth="1"/>
    <col min="11267" max="11267" width="20.85546875" style="49" customWidth="1"/>
    <col min="11268" max="11268" width="20.42578125" style="49" customWidth="1"/>
    <col min="11269" max="11269" width="15.140625" style="49" customWidth="1"/>
    <col min="11270" max="11270" width="14.85546875" style="49" bestFit="1" customWidth="1"/>
    <col min="11271" max="11274" width="9.140625" style="49" customWidth="1"/>
    <col min="11275" max="11520" width="0" style="49" hidden="1"/>
    <col min="11521" max="11521" width="15.28515625" style="49" customWidth="1"/>
    <col min="11522" max="11522" width="19.28515625" style="49" customWidth="1"/>
    <col min="11523" max="11523" width="20.85546875" style="49" customWidth="1"/>
    <col min="11524" max="11524" width="20.42578125" style="49" customWidth="1"/>
    <col min="11525" max="11525" width="15.140625" style="49" customWidth="1"/>
    <col min="11526" max="11526" width="14.85546875" style="49" bestFit="1" customWidth="1"/>
    <col min="11527" max="11530" width="9.140625" style="49" customWidth="1"/>
    <col min="11531" max="11776" width="0" style="49" hidden="1"/>
    <col min="11777" max="11777" width="15.28515625" style="49" customWidth="1"/>
    <col min="11778" max="11778" width="19.28515625" style="49" customWidth="1"/>
    <col min="11779" max="11779" width="20.85546875" style="49" customWidth="1"/>
    <col min="11780" max="11780" width="20.42578125" style="49" customWidth="1"/>
    <col min="11781" max="11781" width="15.140625" style="49" customWidth="1"/>
    <col min="11782" max="11782" width="14.85546875" style="49" bestFit="1" customWidth="1"/>
    <col min="11783" max="11786" width="9.140625" style="49" customWidth="1"/>
    <col min="11787" max="12032" width="0" style="49" hidden="1"/>
    <col min="12033" max="12033" width="15.28515625" style="49" customWidth="1"/>
    <col min="12034" max="12034" width="19.28515625" style="49" customWidth="1"/>
    <col min="12035" max="12035" width="20.85546875" style="49" customWidth="1"/>
    <col min="12036" max="12036" width="20.42578125" style="49" customWidth="1"/>
    <col min="12037" max="12037" width="15.140625" style="49" customWidth="1"/>
    <col min="12038" max="12038" width="14.85546875" style="49" bestFit="1" customWidth="1"/>
    <col min="12039" max="12042" width="9.140625" style="49" customWidth="1"/>
    <col min="12043" max="12288" width="0" style="49" hidden="1"/>
    <col min="12289" max="12289" width="15.28515625" style="49" customWidth="1"/>
    <col min="12290" max="12290" width="19.28515625" style="49" customWidth="1"/>
    <col min="12291" max="12291" width="20.85546875" style="49" customWidth="1"/>
    <col min="12292" max="12292" width="20.42578125" style="49" customWidth="1"/>
    <col min="12293" max="12293" width="15.140625" style="49" customWidth="1"/>
    <col min="12294" max="12294" width="14.85546875" style="49" bestFit="1" customWidth="1"/>
    <col min="12295" max="12298" width="9.140625" style="49" customWidth="1"/>
    <col min="12299" max="12544" width="0" style="49" hidden="1"/>
    <col min="12545" max="12545" width="15.28515625" style="49" customWidth="1"/>
    <col min="12546" max="12546" width="19.28515625" style="49" customWidth="1"/>
    <col min="12547" max="12547" width="20.85546875" style="49" customWidth="1"/>
    <col min="12548" max="12548" width="20.42578125" style="49" customWidth="1"/>
    <col min="12549" max="12549" width="15.140625" style="49" customWidth="1"/>
    <col min="12550" max="12550" width="14.85546875" style="49" bestFit="1" customWidth="1"/>
    <col min="12551" max="12554" width="9.140625" style="49" customWidth="1"/>
    <col min="12555" max="12800" width="0" style="49" hidden="1"/>
    <col min="12801" max="12801" width="15.28515625" style="49" customWidth="1"/>
    <col min="12802" max="12802" width="19.28515625" style="49" customWidth="1"/>
    <col min="12803" max="12803" width="20.85546875" style="49" customWidth="1"/>
    <col min="12804" max="12804" width="20.42578125" style="49" customWidth="1"/>
    <col min="12805" max="12805" width="15.140625" style="49" customWidth="1"/>
    <col min="12806" max="12806" width="14.85546875" style="49" bestFit="1" customWidth="1"/>
    <col min="12807" max="12810" width="9.140625" style="49" customWidth="1"/>
    <col min="12811" max="13056" width="0" style="49" hidden="1"/>
    <col min="13057" max="13057" width="15.28515625" style="49" customWidth="1"/>
    <col min="13058" max="13058" width="19.28515625" style="49" customWidth="1"/>
    <col min="13059" max="13059" width="20.85546875" style="49" customWidth="1"/>
    <col min="13060" max="13060" width="20.42578125" style="49" customWidth="1"/>
    <col min="13061" max="13061" width="15.140625" style="49" customWidth="1"/>
    <col min="13062" max="13062" width="14.85546875" style="49" bestFit="1" customWidth="1"/>
    <col min="13063" max="13066" width="9.140625" style="49" customWidth="1"/>
    <col min="13067" max="13312" width="0" style="49" hidden="1"/>
    <col min="13313" max="13313" width="15.28515625" style="49" customWidth="1"/>
    <col min="13314" max="13314" width="19.28515625" style="49" customWidth="1"/>
    <col min="13315" max="13315" width="20.85546875" style="49" customWidth="1"/>
    <col min="13316" max="13316" width="20.42578125" style="49" customWidth="1"/>
    <col min="13317" max="13317" width="15.140625" style="49" customWidth="1"/>
    <col min="13318" max="13318" width="14.85546875" style="49" bestFit="1" customWidth="1"/>
    <col min="13319" max="13322" width="9.140625" style="49" customWidth="1"/>
    <col min="13323" max="13568" width="0" style="49" hidden="1"/>
    <col min="13569" max="13569" width="15.28515625" style="49" customWidth="1"/>
    <col min="13570" max="13570" width="19.28515625" style="49" customWidth="1"/>
    <col min="13571" max="13571" width="20.85546875" style="49" customWidth="1"/>
    <col min="13572" max="13572" width="20.42578125" style="49" customWidth="1"/>
    <col min="13573" max="13573" width="15.140625" style="49" customWidth="1"/>
    <col min="13574" max="13574" width="14.85546875" style="49" bestFit="1" customWidth="1"/>
    <col min="13575" max="13578" width="9.140625" style="49" customWidth="1"/>
    <col min="13579" max="13824" width="0" style="49" hidden="1"/>
    <col min="13825" max="13825" width="15.28515625" style="49" customWidth="1"/>
    <col min="13826" max="13826" width="19.28515625" style="49" customWidth="1"/>
    <col min="13827" max="13827" width="20.85546875" style="49" customWidth="1"/>
    <col min="13828" max="13828" width="20.42578125" style="49" customWidth="1"/>
    <col min="13829" max="13829" width="15.140625" style="49" customWidth="1"/>
    <col min="13830" max="13830" width="14.85546875" style="49" bestFit="1" customWidth="1"/>
    <col min="13831" max="13834" width="9.140625" style="49" customWidth="1"/>
    <col min="13835" max="14080" width="0" style="49" hidden="1"/>
    <col min="14081" max="14081" width="15.28515625" style="49" customWidth="1"/>
    <col min="14082" max="14082" width="19.28515625" style="49" customWidth="1"/>
    <col min="14083" max="14083" width="20.85546875" style="49" customWidth="1"/>
    <col min="14084" max="14084" width="20.42578125" style="49" customWidth="1"/>
    <col min="14085" max="14085" width="15.140625" style="49" customWidth="1"/>
    <col min="14086" max="14086" width="14.85546875" style="49" bestFit="1" customWidth="1"/>
    <col min="14087" max="14090" width="9.140625" style="49" customWidth="1"/>
    <col min="14091" max="14336" width="0" style="49" hidden="1"/>
    <col min="14337" max="14337" width="15.28515625" style="49" customWidth="1"/>
    <col min="14338" max="14338" width="19.28515625" style="49" customWidth="1"/>
    <col min="14339" max="14339" width="20.85546875" style="49" customWidth="1"/>
    <col min="14340" max="14340" width="20.42578125" style="49" customWidth="1"/>
    <col min="14341" max="14341" width="15.140625" style="49" customWidth="1"/>
    <col min="14342" max="14342" width="14.85546875" style="49" bestFit="1" customWidth="1"/>
    <col min="14343" max="14346" width="9.140625" style="49" customWidth="1"/>
    <col min="14347" max="14592" width="0" style="49" hidden="1"/>
    <col min="14593" max="14593" width="15.28515625" style="49" customWidth="1"/>
    <col min="14594" max="14594" width="19.28515625" style="49" customWidth="1"/>
    <col min="14595" max="14595" width="20.85546875" style="49" customWidth="1"/>
    <col min="14596" max="14596" width="20.42578125" style="49" customWidth="1"/>
    <col min="14597" max="14597" width="15.140625" style="49" customWidth="1"/>
    <col min="14598" max="14598" width="14.85546875" style="49" bestFit="1" customWidth="1"/>
    <col min="14599" max="14602" width="9.140625" style="49" customWidth="1"/>
    <col min="14603" max="14848" width="0" style="49" hidden="1"/>
    <col min="14849" max="14849" width="15.28515625" style="49" customWidth="1"/>
    <col min="14850" max="14850" width="19.28515625" style="49" customWidth="1"/>
    <col min="14851" max="14851" width="20.85546875" style="49" customWidth="1"/>
    <col min="14852" max="14852" width="20.42578125" style="49" customWidth="1"/>
    <col min="14853" max="14853" width="15.140625" style="49" customWidth="1"/>
    <col min="14854" max="14854" width="14.85546875" style="49" bestFit="1" customWidth="1"/>
    <col min="14855" max="14858" width="9.140625" style="49" customWidth="1"/>
    <col min="14859" max="15104" width="0" style="49" hidden="1"/>
    <col min="15105" max="15105" width="15.28515625" style="49" customWidth="1"/>
    <col min="15106" max="15106" width="19.28515625" style="49" customWidth="1"/>
    <col min="15107" max="15107" width="20.85546875" style="49" customWidth="1"/>
    <col min="15108" max="15108" width="20.42578125" style="49" customWidth="1"/>
    <col min="15109" max="15109" width="15.140625" style="49" customWidth="1"/>
    <col min="15110" max="15110" width="14.85546875" style="49" bestFit="1" customWidth="1"/>
    <col min="15111" max="15114" width="9.140625" style="49" customWidth="1"/>
    <col min="15115" max="15360" width="0" style="49" hidden="1"/>
    <col min="15361" max="15361" width="15.28515625" style="49" customWidth="1"/>
    <col min="15362" max="15362" width="19.28515625" style="49" customWidth="1"/>
    <col min="15363" max="15363" width="20.85546875" style="49" customWidth="1"/>
    <col min="15364" max="15364" width="20.42578125" style="49" customWidth="1"/>
    <col min="15365" max="15365" width="15.140625" style="49" customWidth="1"/>
    <col min="15366" max="15366" width="14.85546875" style="49" bestFit="1" customWidth="1"/>
    <col min="15367" max="15370" width="9.140625" style="49" customWidth="1"/>
    <col min="15371" max="15616" width="0" style="49" hidden="1"/>
    <col min="15617" max="15617" width="15.28515625" style="49" customWidth="1"/>
    <col min="15618" max="15618" width="19.28515625" style="49" customWidth="1"/>
    <col min="15619" max="15619" width="20.85546875" style="49" customWidth="1"/>
    <col min="15620" max="15620" width="20.42578125" style="49" customWidth="1"/>
    <col min="15621" max="15621" width="15.140625" style="49" customWidth="1"/>
    <col min="15622" max="15622" width="14.85546875" style="49" bestFit="1" customWidth="1"/>
    <col min="15623" max="15626" width="9.140625" style="49" customWidth="1"/>
    <col min="15627" max="15872" width="0" style="49" hidden="1"/>
    <col min="15873" max="15873" width="15.28515625" style="49" customWidth="1"/>
    <col min="15874" max="15874" width="19.28515625" style="49" customWidth="1"/>
    <col min="15875" max="15875" width="20.85546875" style="49" customWidth="1"/>
    <col min="15876" max="15876" width="20.42578125" style="49" customWidth="1"/>
    <col min="15877" max="15877" width="15.140625" style="49" customWidth="1"/>
    <col min="15878" max="15878" width="14.85546875" style="49" bestFit="1" customWidth="1"/>
    <col min="15879" max="15882" width="9.140625" style="49" customWidth="1"/>
    <col min="15883" max="16128" width="0" style="49" hidden="1"/>
    <col min="16129" max="16129" width="15.28515625" style="49" customWidth="1"/>
    <col min="16130" max="16130" width="19.28515625" style="49" customWidth="1"/>
    <col min="16131" max="16131" width="20.85546875" style="49" customWidth="1"/>
    <col min="16132" max="16132" width="20.42578125" style="49" customWidth="1"/>
    <col min="16133" max="16133" width="15.140625" style="49" customWidth="1"/>
    <col min="16134" max="16134" width="14.85546875" style="49" bestFit="1" customWidth="1"/>
    <col min="16135" max="16138" width="9.140625" style="49" customWidth="1"/>
    <col min="16139" max="16384" width="0" style="49" hidden="1"/>
  </cols>
  <sheetData>
    <row r="1" spans="1:10" ht="42" customHeight="1" x14ac:dyDescent="0.25">
      <c r="A1" s="124" t="s">
        <v>61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x14ac:dyDescent="0.25">
      <c r="A2" s="50" t="s">
        <v>49</v>
      </c>
      <c r="B2" s="50"/>
      <c r="C2" s="51">
        <f>+C5*0.3/C4</f>
        <v>2.4</v>
      </c>
      <c r="D2" s="50"/>
      <c r="E2" s="50"/>
      <c r="F2" s="50"/>
      <c r="G2" s="50"/>
      <c r="H2" s="50"/>
      <c r="I2" s="50"/>
      <c r="J2" s="50"/>
    </row>
    <row r="3" spans="1:10" x14ac:dyDescent="0.25">
      <c r="A3" s="50" t="s">
        <v>50</v>
      </c>
      <c r="B3" s="50"/>
      <c r="C3" s="52">
        <v>0.45</v>
      </c>
      <c r="D3" s="53"/>
      <c r="E3" s="50"/>
      <c r="F3" s="50"/>
      <c r="G3" s="50"/>
      <c r="H3" s="50"/>
      <c r="I3" s="50"/>
      <c r="J3" s="50"/>
    </row>
    <row r="4" spans="1:10" x14ac:dyDescent="0.25">
      <c r="A4" s="50" t="s">
        <v>51</v>
      </c>
      <c r="B4" s="50"/>
      <c r="C4" s="54">
        <v>1000000</v>
      </c>
      <c r="D4" s="62">
        <f>+C4*C2</f>
        <v>2400000</v>
      </c>
      <c r="E4" s="50"/>
      <c r="F4" s="50"/>
      <c r="G4" s="50"/>
      <c r="H4" s="50"/>
      <c r="I4" s="50"/>
      <c r="J4" s="50"/>
    </row>
    <row r="5" spans="1:10" x14ac:dyDescent="0.25">
      <c r="A5" s="50" t="s">
        <v>52</v>
      </c>
      <c r="B5" s="50"/>
      <c r="C5" s="55">
        <v>8000000</v>
      </c>
      <c r="D5" s="50"/>
      <c r="E5" s="50"/>
      <c r="F5" s="50"/>
      <c r="G5" s="50"/>
      <c r="H5" s="50"/>
      <c r="I5" s="50"/>
      <c r="J5" s="50"/>
    </row>
    <row r="6" spans="1:10" x14ac:dyDescent="0.25">
      <c r="A6" s="50" t="s">
        <v>53</v>
      </c>
      <c r="B6" s="50"/>
      <c r="C6" s="55">
        <f>+D4*3</f>
        <v>7200000</v>
      </c>
      <c r="D6" s="50"/>
      <c r="E6" s="50"/>
      <c r="F6" s="50"/>
      <c r="G6" s="50"/>
      <c r="H6" s="50"/>
      <c r="I6" s="50"/>
      <c r="J6" s="50"/>
    </row>
    <row r="7" spans="1:10" x14ac:dyDescent="0.25">
      <c r="A7" s="50" t="s">
        <v>54</v>
      </c>
      <c r="B7" s="50"/>
      <c r="C7" s="56"/>
      <c r="D7" s="50"/>
      <c r="E7" s="50"/>
      <c r="F7" s="50"/>
      <c r="G7" s="50"/>
      <c r="H7" s="50"/>
      <c r="I7" s="50"/>
      <c r="J7" s="50"/>
    </row>
    <row r="8" spans="1:10" ht="27" customHeight="1" x14ac:dyDescent="0.25">
      <c r="A8" s="124" t="s">
        <v>55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0" ht="18.75" customHeight="1" x14ac:dyDescent="0.25">
      <c r="A9" s="110">
        <f>(1-C3)*C6</f>
        <v>3960000.0000000005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32.25" customHeight="1" x14ac:dyDescent="0.25">
      <c r="A10" s="124" t="s">
        <v>56</v>
      </c>
      <c r="B10" s="124"/>
      <c r="C10" s="124"/>
      <c r="D10" s="124"/>
      <c r="E10" s="124"/>
      <c r="F10" s="124"/>
      <c r="G10" s="124"/>
      <c r="H10" s="124"/>
      <c r="I10" s="50"/>
      <c r="J10" s="50"/>
    </row>
    <row r="11" spans="1:10" ht="23.25" customHeight="1" x14ac:dyDescent="0.25">
      <c r="A11" s="110">
        <f>C5-A9</f>
        <v>4039999.9999999995</v>
      </c>
      <c r="B11" s="111">
        <f>A11/C5</f>
        <v>0.50499999999999989</v>
      </c>
      <c r="C11" s="58"/>
      <c r="D11" s="58"/>
      <c r="E11" s="58"/>
      <c r="F11" s="58"/>
      <c r="G11" s="58"/>
      <c r="H11" s="58"/>
      <c r="I11" s="50"/>
      <c r="J11" s="50"/>
    </row>
    <row r="12" spans="1:10" ht="30" customHeight="1" x14ac:dyDescent="0.25">
      <c r="A12" s="124" t="s">
        <v>57</v>
      </c>
      <c r="B12" s="124"/>
      <c r="C12" s="124"/>
      <c r="D12" s="124"/>
      <c r="E12" s="124"/>
      <c r="F12" s="124"/>
      <c r="G12" s="124"/>
      <c r="H12" s="124"/>
      <c r="I12" s="124"/>
      <c r="J12" s="50"/>
    </row>
    <row r="13" spans="1:10" ht="21.75" customHeight="1" x14ac:dyDescent="0.25">
      <c r="A13" s="111">
        <f>C4*C2</f>
        <v>2400000</v>
      </c>
      <c r="B13" s="110">
        <f>C5-A13</f>
        <v>5600000</v>
      </c>
      <c r="C13" s="58"/>
      <c r="D13" s="58"/>
      <c r="E13" s="58"/>
      <c r="F13" s="58"/>
      <c r="G13" s="58"/>
      <c r="H13" s="58"/>
      <c r="I13" s="58"/>
      <c r="J13" s="50"/>
    </row>
    <row r="14" spans="1:10" ht="36" customHeight="1" x14ac:dyDescent="0.25">
      <c r="A14" s="124" t="s">
        <v>58</v>
      </c>
      <c r="B14" s="124"/>
      <c r="C14" s="124"/>
      <c r="D14" s="124"/>
      <c r="E14" s="124"/>
      <c r="F14" s="124"/>
      <c r="G14" s="124"/>
      <c r="H14" s="124"/>
      <c r="I14" s="50"/>
      <c r="J14" s="50"/>
    </row>
    <row r="15" spans="1:10" ht="36" customHeight="1" x14ac:dyDescent="0.25">
      <c r="A15" s="110">
        <f>A9-B13</f>
        <v>-1639999.9999999995</v>
      </c>
      <c r="B15" s="57"/>
      <c r="C15" s="58"/>
      <c r="D15" s="58"/>
      <c r="E15" s="58"/>
      <c r="F15" s="58"/>
      <c r="G15" s="58"/>
      <c r="H15" s="58"/>
      <c r="I15" s="50"/>
      <c r="J15" s="50"/>
    </row>
    <row r="16" spans="1:10" ht="51.75" customHeight="1" x14ac:dyDescent="0.25">
      <c r="A16" s="124" t="s">
        <v>59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39" customHeight="1" x14ac:dyDescent="0.25">
      <c r="A17" s="110">
        <f>B13</f>
        <v>5600000</v>
      </c>
      <c r="B17" s="110">
        <f>-A17+C6</f>
        <v>1600000</v>
      </c>
      <c r="C17" s="112">
        <f>B17/C6</f>
        <v>0.22222222222222221</v>
      </c>
      <c r="D17" s="58"/>
      <c r="E17" s="58"/>
      <c r="F17" s="58"/>
      <c r="G17" s="58"/>
      <c r="H17" s="58"/>
      <c r="I17" s="58"/>
      <c r="J17" s="58"/>
    </row>
    <row r="18" spans="1:10" ht="47.25" customHeight="1" x14ac:dyDescent="0.25">
      <c r="A18" s="124" t="s">
        <v>60</v>
      </c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0" x14ac:dyDescent="0.25">
      <c r="A19" s="113">
        <f>A13</f>
        <v>2400000</v>
      </c>
      <c r="B19" s="114">
        <f>B13</f>
        <v>5600000</v>
      </c>
      <c r="C19" s="115">
        <f>B19/(1-C3)</f>
        <v>10181818.181818182</v>
      </c>
      <c r="D19" s="59"/>
      <c r="E19" s="59"/>
      <c r="F19" s="59"/>
      <c r="G19" s="59"/>
      <c r="H19" s="59"/>
      <c r="I19" s="60"/>
      <c r="J19" s="50"/>
    </row>
  </sheetData>
  <mergeCells count="7">
    <mergeCell ref="A18:J18"/>
    <mergeCell ref="A1:J1"/>
    <mergeCell ref="A8:J8"/>
    <mergeCell ref="A10:H10"/>
    <mergeCell ref="A12:I12"/>
    <mergeCell ref="A14:H14"/>
    <mergeCell ref="A16:J16"/>
  </mergeCells>
  <pageMargins left="0.51181102362204722" right="0.16" top="0.39" bottom="0.4" header="0.31496062992125984" footer="0.31496062992125984"/>
  <pageSetup paperSize="9" scale="9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58"/>
  <sheetViews>
    <sheetView zoomScaleSheetLayoutView="100" workbookViewId="0">
      <selection activeCell="A69" sqref="A69"/>
    </sheetView>
  </sheetViews>
  <sheetFormatPr defaultColWidth="8.85546875" defaultRowHeight="12.75" x14ac:dyDescent="0.2"/>
  <cols>
    <col min="1" max="1" width="34.7109375" style="63" customWidth="1"/>
    <col min="2" max="2" width="15.7109375" style="63" customWidth="1"/>
    <col min="3" max="3" width="13.28515625" style="63" customWidth="1"/>
    <col min="4" max="4" width="13.140625" style="63" customWidth="1"/>
    <col min="5" max="5" width="6.42578125" style="63" customWidth="1"/>
    <col min="6" max="13" width="8.85546875" style="63"/>
    <col min="14" max="14" width="5" style="63" customWidth="1"/>
    <col min="15" max="256" width="8.85546875" style="63"/>
    <col min="257" max="257" width="34.7109375" style="63" customWidth="1"/>
    <col min="258" max="258" width="15.7109375" style="63" customWidth="1"/>
    <col min="259" max="259" width="13.28515625" style="63" customWidth="1"/>
    <col min="260" max="260" width="13.140625" style="63" customWidth="1"/>
    <col min="261" max="261" width="6.42578125" style="63" customWidth="1"/>
    <col min="262" max="269" width="8.85546875" style="63"/>
    <col min="270" max="270" width="5" style="63" customWidth="1"/>
    <col min="271" max="512" width="8.85546875" style="63"/>
    <col min="513" max="513" width="34.7109375" style="63" customWidth="1"/>
    <col min="514" max="514" width="15.7109375" style="63" customWidth="1"/>
    <col min="515" max="515" width="13.28515625" style="63" customWidth="1"/>
    <col min="516" max="516" width="13.140625" style="63" customWidth="1"/>
    <col min="517" max="517" width="6.42578125" style="63" customWidth="1"/>
    <col min="518" max="525" width="8.85546875" style="63"/>
    <col min="526" max="526" width="5" style="63" customWidth="1"/>
    <col min="527" max="768" width="8.85546875" style="63"/>
    <col min="769" max="769" width="34.7109375" style="63" customWidth="1"/>
    <col min="770" max="770" width="15.7109375" style="63" customWidth="1"/>
    <col min="771" max="771" width="13.28515625" style="63" customWidth="1"/>
    <col min="772" max="772" width="13.140625" style="63" customWidth="1"/>
    <col min="773" max="773" width="6.42578125" style="63" customWidth="1"/>
    <col min="774" max="781" width="8.85546875" style="63"/>
    <col min="782" max="782" width="5" style="63" customWidth="1"/>
    <col min="783" max="1024" width="8.85546875" style="63"/>
    <col min="1025" max="1025" width="34.7109375" style="63" customWidth="1"/>
    <col min="1026" max="1026" width="15.7109375" style="63" customWidth="1"/>
    <col min="1027" max="1027" width="13.28515625" style="63" customWidth="1"/>
    <col min="1028" max="1028" width="13.140625" style="63" customWidth="1"/>
    <col min="1029" max="1029" width="6.42578125" style="63" customWidth="1"/>
    <col min="1030" max="1037" width="8.85546875" style="63"/>
    <col min="1038" max="1038" width="5" style="63" customWidth="1"/>
    <col min="1039" max="1280" width="8.85546875" style="63"/>
    <col min="1281" max="1281" width="34.7109375" style="63" customWidth="1"/>
    <col min="1282" max="1282" width="15.7109375" style="63" customWidth="1"/>
    <col min="1283" max="1283" width="13.28515625" style="63" customWidth="1"/>
    <col min="1284" max="1284" width="13.140625" style="63" customWidth="1"/>
    <col min="1285" max="1285" width="6.42578125" style="63" customWidth="1"/>
    <col min="1286" max="1293" width="8.85546875" style="63"/>
    <col min="1294" max="1294" width="5" style="63" customWidth="1"/>
    <col min="1295" max="1536" width="8.85546875" style="63"/>
    <col min="1537" max="1537" width="34.7109375" style="63" customWidth="1"/>
    <col min="1538" max="1538" width="15.7109375" style="63" customWidth="1"/>
    <col min="1539" max="1539" width="13.28515625" style="63" customWidth="1"/>
    <col min="1540" max="1540" width="13.140625" style="63" customWidth="1"/>
    <col min="1541" max="1541" width="6.42578125" style="63" customWidth="1"/>
    <col min="1542" max="1549" width="8.85546875" style="63"/>
    <col min="1550" max="1550" width="5" style="63" customWidth="1"/>
    <col min="1551" max="1792" width="8.85546875" style="63"/>
    <col min="1793" max="1793" width="34.7109375" style="63" customWidth="1"/>
    <col min="1794" max="1794" width="15.7109375" style="63" customWidth="1"/>
    <col min="1795" max="1795" width="13.28515625" style="63" customWidth="1"/>
    <col min="1796" max="1796" width="13.140625" style="63" customWidth="1"/>
    <col min="1797" max="1797" width="6.42578125" style="63" customWidth="1"/>
    <col min="1798" max="1805" width="8.85546875" style="63"/>
    <col min="1806" max="1806" width="5" style="63" customWidth="1"/>
    <col min="1807" max="2048" width="8.85546875" style="63"/>
    <col min="2049" max="2049" width="34.7109375" style="63" customWidth="1"/>
    <col min="2050" max="2050" width="15.7109375" style="63" customWidth="1"/>
    <col min="2051" max="2051" width="13.28515625" style="63" customWidth="1"/>
    <col min="2052" max="2052" width="13.140625" style="63" customWidth="1"/>
    <col min="2053" max="2053" width="6.42578125" style="63" customWidth="1"/>
    <col min="2054" max="2061" width="8.85546875" style="63"/>
    <col min="2062" max="2062" width="5" style="63" customWidth="1"/>
    <col min="2063" max="2304" width="8.85546875" style="63"/>
    <col min="2305" max="2305" width="34.7109375" style="63" customWidth="1"/>
    <col min="2306" max="2306" width="15.7109375" style="63" customWidth="1"/>
    <col min="2307" max="2307" width="13.28515625" style="63" customWidth="1"/>
    <col min="2308" max="2308" width="13.140625" style="63" customWidth="1"/>
    <col min="2309" max="2309" width="6.42578125" style="63" customWidth="1"/>
    <col min="2310" max="2317" width="8.85546875" style="63"/>
    <col min="2318" max="2318" width="5" style="63" customWidth="1"/>
    <col min="2319" max="2560" width="8.85546875" style="63"/>
    <col min="2561" max="2561" width="34.7109375" style="63" customWidth="1"/>
    <col min="2562" max="2562" width="15.7109375" style="63" customWidth="1"/>
    <col min="2563" max="2563" width="13.28515625" style="63" customWidth="1"/>
    <col min="2564" max="2564" width="13.140625" style="63" customWidth="1"/>
    <col min="2565" max="2565" width="6.42578125" style="63" customWidth="1"/>
    <col min="2566" max="2573" width="8.85546875" style="63"/>
    <col min="2574" max="2574" width="5" style="63" customWidth="1"/>
    <col min="2575" max="2816" width="8.85546875" style="63"/>
    <col min="2817" max="2817" width="34.7109375" style="63" customWidth="1"/>
    <col min="2818" max="2818" width="15.7109375" style="63" customWidth="1"/>
    <col min="2819" max="2819" width="13.28515625" style="63" customWidth="1"/>
    <col min="2820" max="2820" width="13.140625" style="63" customWidth="1"/>
    <col min="2821" max="2821" width="6.42578125" style="63" customWidth="1"/>
    <col min="2822" max="2829" width="8.85546875" style="63"/>
    <col min="2830" max="2830" width="5" style="63" customWidth="1"/>
    <col min="2831" max="3072" width="8.85546875" style="63"/>
    <col min="3073" max="3073" width="34.7109375" style="63" customWidth="1"/>
    <col min="3074" max="3074" width="15.7109375" style="63" customWidth="1"/>
    <col min="3075" max="3075" width="13.28515625" style="63" customWidth="1"/>
    <col min="3076" max="3076" width="13.140625" style="63" customWidth="1"/>
    <col min="3077" max="3077" width="6.42578125" style="63" customWidth="1"/>
    <col min="3078" max="3085" width="8.85546875" style="63"/>
    <col min="3086" max="3086" width="5" style="63" customWidth="1"/>
    <col min="3087" max="3328" width="8.85546875" style="63"/>
    <col min="3329" max="3329" width="34.7109375" style="63" customWidth="1"/>
    <col min="3330" max="3330" width="15.7109375" style="63" customWidth="1"/>
    <col min="3331" max="3331" width="13.28515625" style="63" customWidth="1"/>
    <col min="3332" max="3332" width="13.140625" style="63" customWidth="1"/>
    <col min="3333" max="3333" width="6.42578125" style="63" customWidth="1"/>
    <col min="3334" max="3341" width="8.85546875" style="63"/>
    <col min="3342" max="3342" width="5" style="63" customWidth="1"/>
    <col min="3343" max="3584" width="8.85546875" style="63"/>
    <col min="3585" max="3585" width="34.7109375" style="63" customWidth="1"/>
    <col min="3586" max="3586" width="15.7109375" style="63" customWidth="1"/>
    <col min="3587" max="3587" width="13.28515625" style="63" customWidth="1"/>
    <col min="3588" max="3588" width="13.140625" style="63" customWidth="1"/>
    <col min="3589" max="3589" width="6.42578125" style="63" customWidth="1"/>
    <col min="3590" max="3597" width="8.85546875" style="63"/>
    <col min="3598" max="3598" width="5" style="63" customWidth="1"/>
    <col min="3599" max="3840" width="8.85546875" style="63"/>
    <col min="3841" max="3841" width="34.7109375" style="63" customWidth="1"/>
    <col min="3842" max="3842" width="15.7109375" style="63" customWidth="1"/>
    <col min="3843" max="3843" width="13.28515625" style="63" customWidth="1"/>
    <col min="3844" max="3844" width="13.140625" style="63" customWidth="1"/>
    <col min="3845" max="3845" width="6.42578125" style="63" customWidth="1"/>
    <col min="3846" max="3853" width="8.85546875" style="63"/>
    <col min="3854" max="3854" width="5" style="63" customWidth="1"/>
    <col min="3855" max="4096" width="8.85546875" style="63"/>
    <col min="4097" max="4097" width="34.7109375" style="63" customWidth="1"/>
    <col min="4098" max="4098" width="15.7109375" style="63" customWidth="1"/>
    <col min="4099" max="4099" width="13.28515625" style="63" customWidth="1"/>
    <col min="4100" max="4100" width="13.140625" style="63" customWidth="1"/>
    <col min="4101" max="4101" width="6.42578125" style="63" customWidth="1"/>
    <col min="4102" max="4109" width="8.85546875" style="63"/>
    <col min="4110" max="4110" width="5" style="63" customWidth="1"/>
    <col min="4111" max="4352" width="8.85546875" style="63"/>
    <col min="4353" max="4353" width="34.7109375" style="63" customWidth="1"/>
    <col min="4354" max="4354" width="15.7109375" style="63" customWidth="1"/>
    <col min="4355" max="4355" width="13.28515625" style="63" customWidth="1"/>
    <col min="4356" max="4356" width="13.140625" style="63" customWidth="1"/>
    <col min="4357" max="4357" width="6.42578125" style="63" customWidth="1"/>
    <col min="4358" max="4365" width="8.85546875" style="63"/>
    <col min="4366" max="4366" width="5" style="63" customWidth="1"/>
    <col min="4367" max="4608" width="8.85546875" style="63"/>
    <col min="4609" max="4609" width="34.7109375" style="63" customWidth="1"/>
    <col min="4610" max="4610" width="15.7109375" style="63" customWidth="1"/>
    <col min="4611" max="4611" width="13.28515625" style="63" customWidth="1"/>
    <col min="4612" max="4612" width="13.140625" style="63" customWidth="1"/>
    <col min="4613" max="4613" width="6.42578125" style="63" customWidth="1"/>
    <col min="4614" max="4621" width="8.85546875" style="63"/>
    <col min="4622" max="4622" width="5" style="63" customWidth="1"/>
    <col min="4623" max="4864" width="8.85546875" style="63"/>
    <col min="4865" max="4865" width="34.7109375" style="63" customWidth="1"/>
    <col min="4866" max="4866" width="15.7109375" style="63" customWidth="1"/>
    <col min="4867" max="4867" width="13.28515625" style="63" customWidth="1"/>
    <col min="4868" max="4868" width="13.140625" style="63" customWidth="1"/>
    <col min="4869" max="4869" width="6.42578125" style="63" customWidth="1"/>
    <col min="4870" max="4877" width="8.85546875" style="63"/>
    <col min="4878" max="4878" width="5" style="63" customWidth="1"/>
    <col min="4879" max="5120" width="8.85546875" style="63"/>
    <col min="5121" max="5121" width="34.7109375" style="63" customWidth="1"/>
    <col min="5122" max="5122" width="15.7109375" style="63" customWidth="1"/>
    <col min="5123" max="5123" width="13.28515625" style="63" customWidth="1"/>
    <col min="5124" max="5124" width="13.140625" style="63" customWidth="1"/>
    <col min="5125" max="5125" width="6.42578125" style="63" customWidth="1"/>
    <col min="5126" max="5133" width="8.85546875" style="63"/>
    <col min="5134" max="5134" width="5" style="63" customWidth="1"/>
    <col min="5135" max="5376" width="8.85546875" style="63"/>
    <col min="5377" max="5377" width="34.7109375" style="63" customWidth="1"/>
    <col min="5378" max="5378" width="15.7109375" style="63" customWidth="1"/>
    <col min="5379" max="5379" width="13.28515625" style="63" customWidth="1"/>
    <col min="5380" max="5380" width="13.140625" style="63" customWidth="1"/>
    <col min="5381" max="5381" width="6.42578125" style="63" customWidth="1"/>
    <col min="5382" max="5389" width="8.85546875" style="63"/>
    <col min="5390" max="5390" width="5" style="63" customWidth="1"/>
    <col min="5391" max="5632" width="8.85546875" style="63"/>
    <col min="5633" max="5633" width="34.7109375" style="63" customWidth="1"/>
    <col min="5634" max="5634" width="15.7109375" style="63" customWidth="1"/>
    <col min="5635" max="5635" width="13.28515625" style="63" customWidth="1"/>
    <col min="5636" max="5636" width="13.140625" style="63" customWidth="1"/>
    <col min="5637" max="5637" width="6.42578125" style="63" customWidth="1"/>
    <col min="5638" max="5645" width="8.85546875" style="63"/>
    <col min="5646" max="5646" width="5" style="63" customWidth="1"/>
    <col min="5647" max="5888" width="8.85546875" style="63"/>
    <col min="5889" max="5889" width="34.7109375" style="63" customWidth="1"/>
    <col min="5890" max="5890" width="15.7109375" style="63" customWidth="1"/>
    <col min="5891" max="5891" width="13.28515625" style="63" customWidth="1"/>
    <col min="5892" max="5892" width="13.140625" style="63" customWidth="1"/>
    <col min="5893" max="5893" width="6.42578125" style="63" customWidth="1"/>
    <col min="5894" max="5901" width="8.85546875" style="63"/>
    <col min="5902" max="5902" width="5" style="63" customWidth="1"/>
    <col min="5903" max="6144" width="8.85546875" style="63"/>
    <col min="6145" max="6145" width="34.7109375" style="63" customWidth="1"/>
    <col min="6146" max="6146" width="15.7109375" style="63" customWidth="1"/>
    <col min="6147" max="6147" width="13.28515625" style="63" customWidth="1"/>
    <col min="6148" max="6148" width="13.140625" style="63" customWidth="1"/>
    <col min="6149" max="6149" width="6.42578125" style="63" customWidth="1"/>
    <col min="6150" max="6157" width="8.85546875" style="63"/>
    <col min="6158" max="6158" width="5" style="63" customWidth="1"/>
    <col min="6159" max="6400" width="8.85546875" style="63"/>
    <col min="6401" max="6401" width="34.7109375" style="63" customWidth="1"/>
    <col min="6402" max="6402" width="15.7109375" style="63" customWidth="1"/>
    <col min="6403" max="6403" width="13.28515625" style="63" customWidth="1"/>
    <col min="6404" max="6404" width="13.140625" style="63" customWidth="1"/>
    <col min="6405" max="6405" width="6.42578125" style="63" customWidth="1"/>
    <col min="6406" max="6413" width="8.85546875" style="63"/>
    <col min="6414" max="6414" width="5" style="63" customWidth="1"/>
    <col min="6415" max="6656" width="8.85546875" style="63"/>
    <col min="6657" max="6657" width="34.7109375" style="63" customWidth="1"/>
    <col min="6658" max="6658" width="15.7109375" style="63" customWidth="1"/>
    <col min="6659" max="6659" width="13.28515625" style="63" customWidth="1"/>
    <col min="6660" max="6660" width="13.140625" style="63" customWidth="1"/>
    <col min="6661" max="6661" width="6.42578125" style="63" customWidth="1"/>
    <col min="6662" max="6669" width="8.85546875" style="63"/>
    <col min="6670" max="6670" width="5" style="63" customWidth="1"/>
    <col min="6671" max="6912" width="8.85546875" style="63"/>
    <col min="6913" max="6913" width="34.7109375" style="63" customWidth="1"/>
    <col min="6914" max="6914" width="15.7109375" style="63" customWidth="1"/>
    <col min="6915" max="6915" width="13.28515625" style="63" customWidth="1"/>
    <col min="6916" max="6916" width="13.140625" style="63" customWidth="1"/>
    <col min="6917" max="6917" width="6.42578125" style="63" customWidth="1"/>
    <col min="6918" max="6925" width="8.85546875" style="63"/>
    <col min="6926" max="6926" width="5" style="63" customWidth="1"/>
    <col min="6927" max="7168" width="8.85546875" style="63"/>
    <col min="7169" max="7169" width="34.7109375" style="63" customWidth="1"/>
    <col min="7170" max="7170" width="15.7109375" style="63" customWidth="1"/>
    <col min="7171" max="7171" width="13.28515625" style="63" customWidth="1"/>
    <col min="7172" max="7172" width="13.140625" style="63" customWidth="1"/>
    <col min="7173" max="7173" width="6.42578125" style="63" customWidth="1"/>
    <col min="7174" max="7181" width="8.85546875" style="63"/>
    <col min="7182" max="7182" width="5" style="63" customWidth="1"/>
    <col min="7183" max="7424" width="8.85546875" style="63"/>
    <col min="7425" max="7425" width="34.7109375" style="63" customWidth="1"/>
    <col min="7426" max="7426" width="15.7109375" style="63" customWidth="1"/>
    <col min="7427" max="7427" width="13.28515625" style="63" customWidth="1"/>
    <col min="7428" max="7428" width="13.140625" style="63" customWidth="1"/>
    <col min="7429" max="7429" width="6.42578125" style="63" customWidth="1"/>
    <col min="7430" max="7437" width="8.85546875" style="63"/>
    <col min="7438" max="7438" width="5" style="63" customWidth="1"/>
    <col min="7439" max="7680" width="8.85546875" style="63"/>
    <col min="7681" max="7681" width="34.7109375" style="63" customWidth="1"/>
    <col min="7682" max="7682" width="15.7109375" style="63" customWidth="1"/>
    <col min="7683" max="7683" width="13.28515625" style="63" customWidth="1"/>
    <col min="7684" max="7684" width="13.140625" style="63" customWidth="1"/>
    <col min="7685" max="7685" width="6.42578125" style="63" customWidth="1"/>
    <col min="7686" max="7693" width="8.85546875" style="63"/>
    <col min="7694" max="7694" width="5" style="63" customWidth="1"/>
    <col min="7695" max="7936" width="8.85546875" style="63"/>
    <col min="7937" max="7937" width="34.7109375" style="63" customWidth="1"/>
    <col min="7938" max="7938" width="15.7109375" style="63" customWidth="1"/>
    <col min="7939" max="7939" width="13.28515625" style="63" customWidth="1"/>
    <col min="7940" max="7940" width="13.140625" style="63" customWidth="1"/>
    <col min="7941" max="7941" width="6.42578125" style="63" customWidth="1"/>
    <col min="7942" max="7949" width="8.85546875" style="63"/>
    <col min="7950" max="7950" width="5" style="63" customWidth="1"/>
    <col min="7951" max="8192" width="8.85546875" style="63"/>
    <col min="8193" max="8193" width="34.7109375" style="63" customWidth="1"/>
    <col min="8194" max="8194" width="15.7109375" style="63" customWidth="1"/>
    <col min="8195" max="8195" width="13.28515625" style="63" customWidth="1"/>
    <col min="8196" max="8196" width="13.140625" style="63" customWidth="1"/>
    <col min="8197" max="8197" width="6.42578125" style="63" customWidth="1"/>
    <col min="8198" max="8205" width="8.85546875" style="63"/>
    <col min="8206" max="8206" width="5" style="63" customWidth="1"/>
    <col min="8207" max="8448" width="8.85546875" style="63"/>
    <col min="8449" max="8449" width="34.7109375" style="63" customWidth="1"/>
    <col min="8450" max="8450" width="15.7109375" style="63" customWidth="1"/>
    <col min="8451" max="8451" width="13.28515625" style="63" customWidth="1"/>
    <col min="8452" max="8452" width="13.140625" style="63" customWidth="1"/>
    <col min="8453" max="8453" width="6.42578125" style="63" customWidth="1"/>
    <col min="8454" max="8461" width="8.85546875" style="63"/>
    <col min="8462" max="8462" width="5" style="63" customWidth="1"/>
    <col min="8463" max="8704" width="8.85546875" style="63"/>
    <col min="8705" max="8705" width="34.7109375" style="63" customWidth="1"/>
    <col min="8706" max="8706" width="15.7109375" style="63" customWidth="1"/>
    <col min="8707" max="8707" width="13.28515625" style="63" customWidth="1"/>
    <col min="8708" max="8708" width="13.140625" style="63" customWidth="1"/>
    <col min="8709" max="8709" width="6.42578125" style="63" customWidth="1"/>
    <col min="8710" max="8717" width="8.85546875" style="63"/>
    <col min="8718" max="8718" width="5" style="63" customWidth="1"/>
    <col min="8719" max="8960" width="8.85546875" style="63"/>
    <col min="8961" max="8961" width="34.7109375" style="63" customWidth="1"/>
    <col min="8962" max="8962" width="15.7109375" style="63" customWidth="1"/>
    <col min="8963" max="8963" width="13.28515625" style="63" customWidth="1"/>
    <col min="8964" max="8964" width="13.140625" style="63" customWidth="1"/>
    <col min="8965" max="8965" width="6.42578125" style="63" customWidth="1"/>
    <col min="8966" max="8973" width="8.85546875" style="63"/>
    <col min="8974" max="8974" width="5" style="63" customWidth="1"/>
    <col min="8975" max="9216" width="8.85546875" style="63"/>
    <col min="9217" max="9217" width="34.7109375" style="63" customWidth="1"/>
    <col min="9218" max="9218" width="15.7109375" style="63" customWidth="1"/>
    <col min="9219" max="9219" width="13.28515625" style="63" customWidth="1"/>
    <col min="9220" max="9220" width="13.140625" style="63" customWidth="1"/>
    <col min="9221" max="9221" width="6.42578125" style="63" customWidth="1"/>
    <col min="9222" max="9229" width="8.85546875" style="63"/>
    <col min="9230" max="9230" width="5" style="63" customWidth="1"/>
    <col min="9231" max="9472" width="8.85546875" style="63"/>
    <col min="9473" max="9473" width="34.7109375" style="63" customWidth="1"/>
    <col min="9474" max="9474" width="15.7109375" style="63" customWidth="1"/>
    <col min="9475" max="9475" width="13.28515625" style="63" customWidth="1"/>
    <col min="9476" max="9476" width="13.140625" style="63" customWidth="1"/>
    <col min="9477" max="9477" width="6.42578125" style="63" customWidth="1"/>
    <col min="9478" max="9485" width="8.85546875" style="63"/>
    <col min="9486" max="9486" width="5" style="63" customWidth="1"/>
    <col min="9487" max="9728" width="8.85546875" style="63"/>
    <col min="9729" max="9729" width="34.7109375" style="63" customWidth="1"/>
    <col min="9730" max="9730" width="15.7109375" style="63" customWidth="1"/>
    <col min="9731" max="9731" width="13.28515625" style="63" customWidth="1"/>
    <col min="9732" max="9732" width="13.140625" style="63" customWidth="1"/>
    <col min="9733" max="9733" width="6.42578125" style="63" customWidth="1"/>
    <col min="9734" max="9741" width="8.85546875" style="63"/>
    <col min="9742" max="9742" width="5" style="63" customWidth="1"/>
    <col min="9743" max="9984" width="8.85546875" style="63"/>
    <col min="9985" max="9985" width="34.7109375" style="63" customWidth="1"/>
    <col min="9986" max="9986" width="15.7109375" style="63" customWidth="1"/>
    <col min="9987" max="9987" width="13.28515625" style="63" customWidth="1"/>
    <col min="9988" max="9988" width="13.140625" style="63" customWidth="1"/>
    <col min="9989" max="9989" width="6.42578125" style="63" customWidth="1"/>
    <col min="9990" max="9997" width="8.85546875" style="63"/>
    <col min="9998" max="9998" width="5" style="63" customWidth="1"/>
    <col min="9999" max="10240" width="8.85546875" style="63"/>
    <col min="10241" max="10241" width="34.7109375" style="63" customWidth="1"/>
    <col min="10242" max="10242" width="15.7109375" style="63" customWidth="1"/>
    <col min="10243" max="10243" width="13.28515625" style="63" customWidth="1"/>
    <col min="10244" max="10244" width="13.140625" style="63" customWidth="1"/>
    <col min="10245" max="10245" width="6.42578125" style="63" customWidth="1"/>
    <col min="10246" max="10253" width="8.85546875" style="63"/>
    <col min="10254" max="10254" width="5" style="63" customWidth="1"/>
    <col min="10255" max="10496" width="8.85546875" style="63"/>
    <col min="10497" max="10497" width="34.7109375" style="63" customWidth="1"/>
    <col min="10498" max="10498" width="15.7109375" style="63" customWidth="1"/>
    <col min="10499" max="10499" width="13.28515625" style="63" customWidth="1"/>
    <col min="10500" max="10500" width="13.140625" style="63" customWidth="1"/>
    <col min="10501" max="10501" width="6.42578125" style="63" customWidth="1"/>
    <col min="10502" max="10509" width="8.85546875" style="63"/>
    <col min="10510" max="10510" width="5" style="63" customWidth="1"/>
    <col min="10511" max="10752" width="8.85546875" style="63"/>
    <col min="10753" max="10753" width="34.7109375" style="63" customWidth="1"/>
    <col min="10754" max="10754" width="15.7109375" style="63" customWidth="1"/>
    <col min="10755" max="10755" width="13.28515625" style="63" customWidth="1"/>
    <col min="10756" max="10756" width="13.140625" style="63" customWidth="1"/>
    <col min="10757" max="10757" width="6.42578125" style="63" customWidth="1"/>
    <col min="10758" max="10765" width="8.85546875" style="63"/>
    <col min="10766" max="10766" width="5" style="63" customWidth="1"/>
    <col min="10767" max="11008" width="8.85546875" style="63"/>
    <col min="11009" max="11009" width="34.7109375" style="63" customWidth="1"/>
    <col min="11010" max="11010" width="15.7109375" style="63" customWidth="1"/>
    <col min="11011" max="11011" width="13.28515625" style="63" customWidth="1"/>
    <col min="11012" max="11012" width="13.140625" style="63" customWidth="1"/>
    <col min="11013" max="11013" width="6.42578125" style="63" customWidth="1"/>
    <col min="11014" max="11021" width="8.85546875" style="63"/>
    <col min="11022" max="11022" width="5" style="63" customWidth="1"/>
    <col min="11023" max="11264" width="8.85546875" style="63"/>
    <col min="11265" max="11265" width="34.7109375" style="63" customWidth="1"/>
    <col min="11266" max="11266" width="15.7109375" style="63" customWidth="1"/>
    <col min="11267" max="11267" width="13.28515625" style="63" customWidth="1"/>
    <col min="11268" max="11268" width="13.140625" style="63" customWidth="1"/>
    <col min="11269" max="11269" width="6.42578125" style="63" customWidth="1"/>
    <col min="11270" max="11277" width="8.85546875" style="63"/>
    <col min="11278" max="11278" width="5" style="63" customWidth="1"/>
    <col min="11279" max="11520" width="8.85546875" style="63"/>
    <col min="11521" max="11521" width="34.7109375" style="63" customWidth="1"/>
    <col min="11522" max="11522" width="15.7109375" style="63" customWidth="1"/>
    <col min="11523" max="11523" width="13.28515625" style="63" customWidth="1"/>
    <col min="11524" max="11524" width="13.140625" style="63" customWidth="1"/>
    <col min="11525" max="11525" width="6.42578125" style="63" customWidth="1"/>
    <col min="11526" max="11533" width="8.85546875" style="63"/>
    <col min="11534" max="11534" width="5" style="63" customWidth="1"/>
    <col min="11535" max="11776" width="8.85546875" style="63"/>
    <col min="11777" max="11777" width="34.7109375" style="63" customWidth="1"/>
    <col min="11778" max="11778" width="15.7109375" style="63" customWidth="1"/>
    <col min="11779" max="11779" width="13.28515625" style="63" customWidth="1"/>
    <col min="11780" max="11780" width="13.140625" style="63" customWidth="1"/>
    <col min="11781" max="11781" width="6.42578125" style="63" customWidth="1"/>
    <col min="11782" max="11789" width="8.85546875" style="63"/>
    <col min="11790" max="11790" width="5" style="63" customWidth="1"/>
    <col min="11791" max="12032" width="8.85546875" style="63"/>
    <col min="12033" max="12033" width="34.7109375" style="63" customWidth="1"/>
    <col min="12034" max="12034" width="15.7109375" style="63" customWidth="1"/>
    <col min="12035" max="12035" width="13.28515625" style="63" customWidth="1"/>
    <col min="12036" max="12036" width="13.140625" style="63" customWidth="1"/>
    <col min="12037" max="12037" width="6.42578125" style="63" customWidth="1"/>
    <col min="12038" max="12045" width="8.85546875" style="63"/>
    <col min="12046" max="12046" width="5" style="63" customWidth="1"/>
    <col min="12047" max="12288" width="8.85546875" style="63"/>
    <col min="12289" max="12289" width="34.7109375" style="63" customWidth="1"/>
    <col min="12290" max="12290" width="15.7109375" style="63" customWidth="1"/>
    <col min="12291" max="12291" width="13.28515625" style="63" customWidth="1"/>
    <col min="12292" max="12292" width="13.140625" style="63" customWidth="1"/>
    <col min="12293" max="12293" width="6.42578125" style="63" customWidth="1"/>
    <col min="12294" max="12301" width="8.85546875" style="63"/>
    <col min="12302" max="12302" width="5" style="63" customWidth="1"/>
    <col min="12303" max="12544" width="8.85546875" style="63"/>
    <col min="12545" max="12545" width="34.7109375" style="63" customWidth="1"/>
    <col min="12546" max="12546" width="15.7109375" style="63" customWidth="1"/>
    <col min="12547" max="12547" width="13.28515625" style="63" customWidth="1"/>
    <col min="12548" max="12548" width="13.140625" style="63" customWidth="1"/>
    <col min="12549" max="12549" width="6.42578125" style="63" customWidth="1"/>
    <col min="12550" max="12557" width="8.85546875" style="63"/>
    <col min="12558" max="12558" width="5" style="63" customWidth="1"/>
    <col min="12559" max="12800" width="8.85546875" style="63"/>
    <col min="12801" max="12801" width="34.7109375" style="63" customWidth="1"/>
    <col min="12802" max="12802" width="15.7109375" style="63" customWidth="1"/>
    <col min="12803" max="12803" width="13.28515625" style="63" customWidth="1"/>
    <col min="12804" max="12804" width="13.140625" style="63" customWidth="1"/>
    <col min="12805" max="12805" width="6.42578125" style="63" customWidth="1"/>
    <col min="12806" max="12813" width="8.85546875" style="63"/>
    <col min="12814" max="12814" width="5" style="63" customWidth="1"/>
    <col min="12815" max="13056" width="8.85546875" style="63"/>
    <col min="13057" max="13057" width="34.7109375" style="63" customWidth="1"/>
    <col min="13058" max="13058" width="15.7109375" style="63" customWidth="1"/>
    <col min="13059" max="13059" width="13.28515625" style="63" customWidth="1"/>
    <col min="13060" max="13060" width="13.140625" style="63" customWidth="1"/>
    <col min="13061" max="13061" width="6.42578125" style="63" customWidth="1"/>
    <col min="13062" max="13069" width="8.85546875" style="63"/>
    <col min="13070" max="13070" width="5" style="63" customWidth="1"/>
    <col min="13071" max="13312" width="8.85546875" style="63"/>
    <col min="13313" max="13313" width="34.7109375" style="63" customWidth="1"/>
    <col min="13314" max="13314" width="15.7109375" style="63" customWidth="1"/>
    <col min="13315" max="13315" width="13.28515625" style="63" customWidth="1"/>
    <col min="13316" max="13316" width="13.140625" style="63" customWidth="1"/>
    <col min="13317" max="13317" width="6.42578125" style="63" customWidth="1"/>
    <col min="13318" max="13325" width="8.85546875" style="63"/>
    <col min="13326" max="13326" width="5" style="63" customWidth="1"/>
    <col min="13327" max="13568" width="8.85546875" style="63"/>
    <col min="13569" max="13569" width="34.7109375" style="63" customWidth="1"/>
    <col min="13570" max="13570" width="15.7109375" style="63" customWidth="1"/>
    <col min="13571" max="13571" width="13.28515625" style="63" customWidth="1"/>
    <col min="13572" max="13572" width="13.140625" style="63" customWidth="1"/>
    <col min="13573" max="13573" width="6.42578125" style="63" customWidth="1"/>
    <col min="13574" max="13581" width="8.85546875" style="63"/>
    <col min="13582" max="13582" width="5" style="63" customWidth="1"/>
    <col min="13583" max="13824" width="8.85546875" style="63"/>
    <col min="13825" max="13825" width="34.7109375" style="63" customWidth="1"/>
    <col min="13826" max="13826" width="15.7109375" style="63" customWidth="1"/>
    <col min="13827" max="13827" width="13.28515625" style="63" customWidth="1"/>
    <col min="13828" max="13828" width="13.140625" style="63" customWidth="1"/>
    <col min="13829" max="13829" width="6.42578125" style="63" customWidth="1"/>
    <col min="13830" max="13837" width="8.85546875" style="63"/>
    <col min="13838" max="13838" width="5" style="63" customWidth="1"/>
    <col min="13839" max="14080" width="8.85546875" style="63"/>
    <col min="14081" max="14081" width="34.7109375" style="63" customWidth="1"/>
    <col min="14082" max="14082" width="15.7109375" style="63" customWidth="1"/>
    <col min="14083" max="14083" width="13.28515625" style="63" customWidth="1"/>
    <col min="14084" max="14084" width="13.140625" style="63" customWidth="1"/>
    <col min="14085" max="14085" width="6.42578125" style="63" customWidth="1"/>
    <col min="14086" max="14093" width="8.85546875" style="63"/>
    <col min="14094" max="14094" width="5" style="63" customWidth="1"/>
    <col min="14095" max="14336" width="8.85546875" style="63"/>
    <col min="14337" max="14337" width="34.7109375" style="63" customWidth="1"/>
    <col min="14338" max="14338" width="15.7109375" style="63" customWidth="1"/>
    <col min="14339" max="14339" width="13.28515625" style="63" customWidth="1"/>
    <col min="14340" max="14340" width="13.140625" style="63" customWidth="1"/>
    <col min="14341" max="14341" width="6.42578125" style="63" customWidth="1"/>
    <col min="14342" max="14349" width="8.85546875" style="63"/>
    <col min="14350" max="14350" width="5" style="63" customWidth="1"/>
    <col min="14351" max="14592" width="8.85546875" style="63"/>
    <col min="14593" max="14593" width="34.7109375" style="63" customWidth="1"/>
    <col min="14594" max="14594" width="15.7109375" style="63" customWidth="1"/>
    <col min="14595" max="14595" width="13.28515625" style="63" customWidth="1"/>
    <col min="14596" max="14596" width="13.140625" style="63" customWidth="1"/>
    <col min="14597" max="14597" width="6.42578125" style="63" customWidth="1"/>
    <col min="14598" max="14605" width="8.85546875" style="63"/>
    <col min="14606" max="14606" width="5" style="63" customWidth="1"/>
    <col min="14607" max="14848" width="8.85546875" style="63"/>
    <col min="14849" max="14849" width="34.7109375" style="63" customWidth="1"/>
    <col min="14850" max="14850" width="15.7109375" style="63" customWidth="1"/>
    <col min="14851" max="14851" width="13.28515625" style="63" customWidth="1"/>
    <col min="14852" max="14852" width="13.140625" style="63" customWidth="1"/>
    <col min="14853" max="14853" width="6.42578125" style="63" customWidth="1"/>
    <col min="14854" max="14861" width="8.85546875" style="63"/>
    <col min="14862" max="14862" width="5" style="63" customWidth="1"/>
    <col min="14863" max="15104" width="8.85546875" style="63"/>
    <col min="15105" max="15105" width="34.7109375" style="63" customWidth="1"/>
    <col min="15106" max="15106" width="15.7109375" style="63" customWidth="1"/>
    <col min="15107" max="15107" width="13.28515625" style="63" customWidth="1"/>
    <col min="15108" max="15108" width="13.140625" style="63" customWidth="1"/>
    <col min="15109" max="15109" width="6.42578125" style="63" customWidth="1"/>
    <col min="15110" max="15117" width="8.85546875" style="63"/>
    <col min="15118" max="15118" width="5" style="63" customWidth="1"/>
    <col min="15119" max="15360" width="8.85546875" style="63"/>
    <col min="15361" max="15361" width="34.7109375" style="63" customWidth="1"/>
    <col min="15362" max="15362" width="15.7109375" style="63" customWidth="1"/>
    <col min="15363" max="15363" width="13.28515625" style="63" customWidth="1"/>
    <col min="15364" max="15364" width="13.140625" style="63" customWidth="1"/>
    <col min="15365" max="15365" width="6.42578125" style="63" customWidth="1"/>
    <col min="15366" max="15373" width="8.85546875" style="63"/>
    <col min="15374" max="15374" width="5" style="63" customWidth="1"/>
    <col min="15375" max="15616" width="8.85546875" style="63"/>
    <col min="15617" max="15617" width="34.7109375" style="63" customWidth="1"/>
    <col min="15618" max="15618" width="15.7109375" style="63" customWidth="1"/>
    <col min="15619" max="15619" width="13.28515625" style="63" customWidth="1"/>
    <col min="15620" max="15620" width="13.140625" style="63" customWidth="1"/>
    <col min="15621" max="15621" width="6.42578125" style="63" customWidth="1"/>
    <col min="15622" max="15629" width="8.85546875" style="63"/>
    <col min="15630" max="15630" width="5" style="63" customWidth="1"/>
    <col min="15631" max="15872" width="8.85546875" style="63"/>
    <col min="15873" max="15873" width="34.7109375" style="63" customWidth="1"/>
    <col min="15874" max="15874" width="15.7109375" style="63" customWidth="1"/>
    <col min="15875" max="15875" width="13.28515625" style="63" customWidth="1"/>
    <col min="15876" max="15876" width="13.140625" style="63" customWidth="1"/>
    <col min="15877" max="15877" width="6.42578125" style="63" customWidth="1"/>
    <col min="15878" max="15885" width="8.85546875" style="63"/>
    <col min="15886" max="15886" width="5" style="63" customWidth="1"/>
    <col min="15887" max="16128" width="8.85546875" style="63"/>
    <col min="16129" max="16129" width="34.7109375" style="63" customWidth="1"/>
    <col min="16130" max="16130" width="15.7109375" style="63" customWidth="1"/>
    <col min="16131" max="16131" width="13.28515625" style="63" customWidth="1"/>
    <col min="16132" max="16132" width="13.140625" style="63" customWidth="1"/>
    <col min="16133" max="16133" width="6.42578125" style="63" customWidth="1"/>
    <col min="16134" max="16141" width="8.85546875" style="63"/>
    <col min="16142" max="16142" width="5" style="63" customWidth="1"/>
    <col min="16143" max="16384" width="8.85546875" style="63"/>
  </cols>
  <sheetData>
    <row r="1" spans="1:5" ht="50.25" customHeight="1" x14ac:dyDescent="0.2">
      <c r="A1" s="125" t="s">
        <v>107</v>
      </c>
      <c r="B1" s="126"/>
      <c r="C1" s="126"/>
      <c r="D1" s="126"/>
      <c r="E1" s="126"/>
    </row>
    <row r="2" spans="1:5" ht="33" customHeight="1" x14ac:dyDescent="0.2">
      <c r="A2" s="125" t="s">
        <v>109</v>
      </c>
      <c r="B2" s="126"/>
      <c r="C2" s="126"/>
      <c r="D2" s="126"/>
      <c r="E2" s="126"/>
    </row>
    <row r="3" spans="1:5" x14ac:dyDescent="0.2">
      <c r="A3" s="64" t="s">
        <v>62</v>
      </c>
    </row>
    <row r="4" spans="1:5" ht="15.75" customHeight="1" x14ac:dyDescent="0.2">
      <c r="A4" s="64" t="s">
        <v>108</v>
      </c>
    </row>
    <row r="5" spans="1:5" ht="39.75" customHeight="1" x14ac:dyDescent="0.2">
      <c r="A5" s="127" t="s">
        <v>110</v>
      </c>
      <c r="B5" s="126"/>
      <c r="C5" s="126"/>
      <c r="D5" s="126"/>
      <c r="E5" s="126"/>
    </row>
    <row r="6" spans="1:5" ht="44.25" customHeight="1" x14ac:dyDescent="0.2">
      <c r="A6" s="125" t="s">
        <v>63</v>
      </c>
      <c r="B6" s="126"/>
      <c r="C6" s="126"/>
      <c r="D6" s="126"/>
      <c r="E6" s="126"/>
    </row>
    <row r="7" spans="1:5" ht="66.75" customHeight="1" x14ac:dyDescent="0.2">
      <c r="A7" s="125" t="s">
        <v>111</v>
      </c>
      <c r="B7" s="126"/>
      <c r="C7" s="126"/>
      <c r="D7" s="126"/>
      <c r="E7" s="126"/>
    </row>
    <row r="8" spans="1:5" x14ac:dyDescent="0.2">
      <c r="A8" s="65"/>
      <c r="B8" s="66"/>
      <c r="C8" s="67"/>
    </row>
    <row r="9" spans="1:5" s="72" customFormat="1" x14ac:dyDescent="0.2">
      <c r="A9" s="68" t="s">
        <v>64</v>
      </c>
      <c r="B9" s="69"/>
      <c r="C9" s="70"/>
      <c r="D9" s="71"/>
    </row>
    <row r="10" spans="1:5" s="72" customFormat="1" x14ac:dyDescent="0.2">
      <c r="A10" s="73" t="s">
        <v>65</v>
      </c>
      <c r="B10" s="107">
        <f>+B54</f>
        <v>0.18</v>
      </c>
      <c r="C10" s="70"/>
      <c r="D10" s="71"/>
    </row>
    <row r="11" spans="1:5" s="72" customFormat="1" x14ac:dyDescent="0.2">
      <c r="A11" s="73" t="s">
        <v>66</v>
      </c>
      <c r="B11" s="107">
        <f>+B49</f>
        <v>0.15142857142857144</v>
      </c>
      <c r="C11" s="70"/>
      <c r="D11" s="71"/>
    </row>
    <row r="12" spans="1:5" s="72" customFormat="1" x14ac:dyDescent="0.2">
      <c r="A12" s="73" t="s">
        <v>67</v>
      </c>
      <c r="B12" s="107">
        <f>+B57</f>
        <v>0.18050480586613107</v>
      </c>
      <c r="C12" s="70"/>
      <c r="D12" s="71"/>
    </row>
    <row r="13" spans="1:5" s="72" customFormat="1" x14ac:dyDescent="0.2">
      <c r="A13" s="73" t="s">
        <v>68</v>
      </c>
      <c r="B13" s="107">
        <f>AVERAGE(B10:B12)</f>
        <v>0.17064445909823414</v>
      </c>
      <c r="C13" s="70"/>
      <c r="D13" s="71"/>
    </row>
    <row r="14" spans="1:5" s="72" customFormat="1" x14ac:dyDescent="0.2">
      <c r="A14" s="74" t="s">
        <v>69</v>
      </c>
      <c r="B14" s="75"/>
      <c r="C14" s="75"/>
      <c r="D14" s="71"/>
    </row>
    <row r="15" spans="1:5" s="72" customFormat="1" x14ac:dyDescent="0.2">
      <c r="A15" s="76" t="s">
        <v>70</v>
      </c>
      <c r="B15" s="76" t="s">
        <v>71</v>
      </c>
      <c r="C15" s="76" t="s">
        <v>72</v>
      </c>
      <c r="D15" s="71"/>
    </row>
    <row r="16" spans="1:5" s="72" customFormat="1" x14ac:dyDescent="0.2">
      <c r="A16" s="77" t="str">
        <f>+A23</f>
        <v>1) Dividas longo prazo</v>
      </c>
      <c r="B16" s="105">
        <f>+B32</f>
        <v>5.6353364106291742E-2</v>
      </c>
      <c r="C16" s="106">
        <v>0.35</v>
      </c>
      <c r="D16" s="71"/>
    </row>
    <row r="17" spans="1:5" s="72" customFormat="1" x14ac:dyDescent="0.2">
      <c r="A17" s="77" t="str">
        <f>+A34</f>
        <v>2) Ação Preferencial</v>
      </c>
      <c r="B17" s="107">
        <f>+B41</f>
        <v>0.17167381974248927</v>
      </c>
      <c r="C17" s="106">
        <v>0.35</v>
      </c>
      <c r="D17" s="71"/>
    </row>
    <row r="18" spans="1:5" s="72" customFormat="1" x14ac:dyDescent="0.2">
      <c r="A18" s="77" t="str">
        <f>+A43</f>
        <v>3) Ação Ordinária</v>
      </c>
      <c r="B18" s="107">
        <f>+B13</f>
        <v>0.17064445909823414</v>
      </c>
      <c r="C18" s="106">
        <v>0.3</v>
      </c>
      <c r="D18" s="71"/>
    </row>
    <row r="19" spans="1:5" s="72" customFormat="1" x14ac:dyDescent="0.2">
      <c r="A19" s="78" t="s">
        <v>73</v>
      </c>
      <c r="B19" s="108">
        <f>SUMPRODUCT(B16:B18,C16:C18)</f>
        <v>0.13100285207654358</v>
      </c>
      <c r="C19" s="109">
        <f>SUM(C16:C18)</f>
        <v>1</v>
      </c>
      <c r="D19" s="71"/>
    </row>
    <row r="20" spans="1:5" s="72" customFormat="1" x14ac:dyDescent="0.2">
      <c r="A20" s="79"/>
      <c r="B20" s="80"/>
      <c r="C20" s="70"/>
      <c r="D20" s="71"/>
    </row>
    <row r="21" spans="1:5" s="72" customFormat="1" hidden="1" x14ac:dyDescent="0.2">
      <c r="A21" s="63" t="s">
        <v>74</v>
      </c>
      <c r="B21" s="81"/>
      <c r="C21" s="65"/>
      <c r="D21" s="63"/>
      <c r="E21" s="63"/>
    </row>
    <row r="22" spans="1:5" s="72" customFormat="1" hidden="1" x14ac:dyDescent="0.2">
      <c r="A22" s="63" t="s">
        <v>75</v>
      </c>
      <c r="B22" s="82">
        <v>0.3</v>
      </c>
      <c r="C22" s="63"/>
      <c r="D22" s="63"/>
      <c r="E22" s="63"/>
    </row>
    <row r="23" spans="1:5" s="72" customFormat="1" hidden="1" x14ac:dyDescent="0.2">
      <c r="A23" s="83" t="s">
        <v>76</v>
      </c>
      <c r="B23" s="84"/>
      <c r="C23" s="84"/>
      <c r="D23" s="65"/>
      <c r="E23" s="63"/>
    </row>
    <row r="24" spans="1:5" s="72" customFormat="1" hidden="1" x14ac:dyDescent="0.2">
      <c r="A24" s="63" t="s">
        <v>77</v>
      </c>
      <c r="B24" s="85">
        <v>0.2</v>
      </c>
      <c r="C24" s="86"/>
      <c r="D24" s="65"/>
      <c r="E24" s="63"/>
    </row>
    <row r="25" spans="1:5" s="72" customFormat="1" hidden="1" x14ac:dyDescent="0.2">
      <c r="A25" s="63" t="s">
        <v>78</v>
      </c>
      <c r="B25" s="87">
        <v>10</v>
      </c>
      <c r="C25" s="86"/>
      <c r="D25" s="65"/>
      <c r="E25" s="63"/>
    </row>
    <row r="26" spans="1:5" s="72" customFormat="1" hidden="1" x14ac:dyDescent="0.2">
      <c r="A26" s="63" t="s">
        <v>79</v>
      </c>
      <c r="B26" s="88" t="s">
        <v>91</v>
      </c>
      <c r="C26" s="89">
        <v>1</v>
      </c>
      <c r="D26" s="65"/>
      <c r="E26" s="63"/>
    </row>
    <row r="27" spans="1:5" s="72" customFormat="1" hidden="1" x14ac:dyDescent="0.2">
      <c r="A27" s="63" t="s">
        <v>80</v>
      </c>
      <c r="B27" s="90">
        <v>1800</v>
      </c>
      <c r="C27" s="86"/>
      <c r="D27" s="65"/>
      <c r="E27" s="63"/>
    </row>
    <row r="28" spans="1:5" hidden="1" x14ac:dyDescent="0.2">
      <c r="A28" s="63" t="s">
        <v>81</v>
      </c>
      <c r="B28" s="91">
        <v>1000</v>
      </c>
      <c r="C28" s="86"/>
      <c r="D28" s="65"/>
    </row>
    <row r="29" spans="1:5" hidden="1" x14ac:dyDescent="0.2">
      <c r="A29" s="63" t="s">
        <v>82</v>
      </c>
      <c r="B29" s="92">
        <f>+B24*B28/C26</f>
        <v>200</v>
      </c>
      <c r="C29" s="86"/>
      <c r="D29" s="65"/>
    </row>
    <row r="30" spans="1:5" hidden="1" x14ac:dyDescent="0.2">
      <c r="A30" s="63" t="s">
        <v>83</v>
      </c>
      <c r="B30" s="81">
        <f>RATE(B25,B29,-B27,B28)</f>
        <v>8.0504805866131152E-2</v>
      </c>
      <c r="C30" s="86"/>
      <c r="D30" s="65"/>
    </row>
    <row r="31" spans="1:5" hidden="1" x14ac:dyDescent="0.2">
      <c r="A31" s="63" t="s">
        <v>84</v>
      </c>
      <c r="B31" s="81">
        <f>(1+B30)^C26-1</f>
        <v>8.0504805866131068E-2</v>
      </c>
      <c r="C31" s="65"/>
      <c r="D31" s="65"/>
    </row>
    <row r="32" spans="1:5" hidden="1" x14ac:dyDescent="0.2">
      <c r="A32" s="63" t="s">
        <v>85</v>
      </c>
      <c r="B32" s="93">
        <f>+B31*(1-B22)</f>
        <v>5.6353364106291742E-2</v>
      </c>
      <c r="C32" s="65"/>
      <c r="D32" s="65"/>
    </row>
    <row r="33" spans="1:4" hidden="1" x14ac:dyDescent="0.2">
      <c r="B33" s="93"/>
      <c r="C33" s="86"/>
      <c r="D33" s="65"/>
    </row>
    <row r="34" spans="1:4" hidden="1" x14ac:dyDescent="0.2">
      <c r="A34" s="83" t="s">
        <v>86</v>
      </c>
      <c r="B34" s="65"/>
      <c r="C34" s="65"/>
      <c r="D34" s="65"/>
    </row>
    <row r="35" spans="1:4" hidden="1" x14ac:dyDescent="0.2">
      <c r="A35" s="63" t="s">
        <v>87</v>
      </c>
      <c r="B35" s="90">
        <v>120</v>
      </c>
      <c r="C35" s="65"/>
      <c r="D35" s="65"/>
    </row>
    <row r="36" spans="1:4" hidden="1" x14ac:dyDescent="0.2">
      <c r="A36" s="63" t="s">
        <v>88</v>
      </c>
      <c r="B36" s="94">
        <v>100</v>
      </c>
      <c r="C36" s="94"/>
      <c r="D36" s="65"/>
    </row>
    <row r="37" spans="1:4" hidden="1" x14ac:dyDescent="0.2">
      <c r="A37" s="63" t="s">
        <v>89</v>
      </c>
      <c r="B37" s="82">
        <v>0.2</v>
      </c>
      <c r="C37" s="94">
        <f>+B36*B37/C38</f>
        <v>20</v>
      </c>
      <c r="D37" s="65"/>
    </row>
    <row r="38" spans="1:4" hidden="1" x14ac:dyDescent="0.2">
      <c r="A38" s="63" t="s">
        <v>90</v>
      </c>
      <c r="B38" s="88" t="s">
        <v>91</v>
      </c>
      <c r="C38" s="88">
        <v>1</v>
      </c>
      <c r="D38" s="65"/>
    </row>
    <row r="39" spans="1:4" hidden="1" x14ac:dyDescent="0.2">
      <c r="A39" s="63" t="s">
        <v>92</v>
      </c>
      <c r="B39" s="90">
        <v>3.5</v>
      </c>
      <c r="C39" s="94"/>
      <c r="D39" s="65"/>
    </row>
    <row r="40" spans="1:4" hidden="1" x14ac:dyDescent="0.2">
      <c r="A40" s="63" t="s">
        <v>93</v>
      </c>
      <c r="B40" s="94">
        <f>+B35-B39</f>
        <v>116.5</v>
      </c>
      <c r="C40" s="91"/>
      <c r="D40" s="65"/>
    </row>
    <row r="41" spans="1:4" hidden="1" x14ac:dyDescent="0.2">
      <c r="A41" s="63" t="s">
        <v>94</v>
      </c>
      <c r="B41" s="81">
        <f>+C37*C38/B40</f>
        <v>0.17167381974248927</v>
      </c>
      <c r="C41" s="95"/>
      <c r="D41" s="65"/>
    </row>
    <row r="42" spans="1:4" hidden="1" x14ac:dyDescent="0.2">
      <c r="B42" s="65"/>
      <c r="C42" s="65"/>
      <c r="D42" s="65"/>
    </row>
    <row r="43" spans="1:4" hidden="1" x14ac:dyDescent="0.2">
      <c r="A43" s="83" t="s">
        <v>95</v>
      </c>
      <c r="B43" s="65"/>
      <c r="C43" s="65"/>
      <c r="D43" s="65"/>
    </row>
    <row r="44" spans="1:4" hidden="1" x14ac:dyDescent="0.2">
      <c r="A44" s="96" t="s">
        <v>96</v>
      </c>
      <c r="B44" s="65"/>
      <c r="C44" s="65"/>
      <c r="D44" s="65"/>
    </row>
    <row r="45" spans="1:4" hidden="1" x14ac:dyDescent="0.2">
      <c r="A45" s="63" t="s">
        <v>97</v>
      </c>
      <c r="B45" s="90">
        <v>70</v>
      </c>
      <c r="C45" s="94"/>
      <c r="D45" s="65"/>
    </row>
    <row r="46" spans="1:4" hidden="1" x14ac:dyDescent="0.2">
      <c r="A46" s="97" t="s">
        <v>98</v>
      </c>
      <c r="B46" s="90">
        <v>7.5</v>
      </c>
      <c r="C46" s="94"/>
      <c r="D46" s="65"/>
    </row>
    <row r="47" spans="1:4" hidden="1" x14ac:dyDescent="0.2">
      <c r="A47" s="63" t="s">
        <v>99</v>
      </c>
      <c r="B47" s="98">
        <v>0.04</v>
      </c>
      <c r="C47" s="94"/>
      <c r="D47" s="65"/>
    </row>
    <row r="48" spans="1:4" hidden="1" x14ac:dyDescent="0.2">
      <c r="A48" s="97" t="s">
        <v>100</v>
      </c>
      <c r="B48" s="94">
        <f>+B46*(1+B47)</f>
        <v>7.8000000000000007</v>
      </c>
      <c r="C48" s="99"/>
      <c r="D48" s="65"/>
    </row>
    <row r="49" spans="1:4" hidden="1" x14ac:dyDescent="0.2">
      <c r="A49" s="63" t="s">
        <v>94</v>
      </c>
      <c r="B49" s="81">
        <f>+B48/B45+B47</f>
        <v>0.15142857142857144</v>
      </c>
      <c r="C49" s="81"/>
      <c r="D49" s="65"/>
    </row>
    <row r="50" spans="1:4" hidden="1" x14ac:dyDescent="0.2">
      <c r="A50" s="100" t="s">
        <v>101</v>
      </c>
      <c r="B50" s="65"/>
      <c r="C50" s="94"/>
      <c r="D50" s="65"/>
    </row>
    <row r="51" spans="1:4" hidden="1" x14ac:dyDescent="0.2">
      <c r="A51" s="63" t="s">
        <v>102</v>
      </c>
      <c r="B51" s="101">
        <v>0.09</v>
      </c>
      <c r="C51" s="94"/>
      <c r="D51" s="65"/>
    </row>
    <row r="52" spans="1:4" hidden="1" x14ac:dyDescent="0.2">
      <c r="A52" s="63" t="s">
        <v>103</v>
      </c>
      <c r="B52" s="87">
        <v>1.5</v>
      </c>
      <c r="C52" s="94"/>
      <c r="D52" s="65"/>
    </row>
    <row r="53" spans="1:4" hidden="1" x14ac:dyDescent="0.2">
      <c r="A53" s="63" t="s">
        <v>104</v>
      </c>
      <c r="B53" s="101">
        <v>0.15</v>
      </c>
      <c r="C53" s="93"/>
      <c r="D53" s="65"/>
    </row>
    <row r="54" spans="1:4" hidden="1" x14ac:dyDescent="0.2">
      <c r="A54" s="63" t="s">
        <v>94</v>
      </c>
      <c r="B54" s="66">
        <f>+B51+(B53-B51)*B52</f>
        <v>0.18</v>
      </c>
      <c r="C54" s="93"/>
      <c r="D54" s="65"/>
    </row>
    <row r="55" spans="1:4" hidden="1" x14ac:dyDescent="0.2">
      <c r="A55" s="96" t="s">
        <v>105</v>
      </c>
      <c r="B55" s="102"/>
    </row>
    <row r="56" spans="1:4" hidden="1" x14ac:dyDescent="0.2">
      <c r="A56" s="63" t="s">
        <v>106</v>
      </c>
      <c r="B56" s="82">
        <v>0.1</v>
      </c>
    </row>
    <row r="57" spans="1:4" hidden="1" x14ac:dyDescent="0.2">
      <c r="A57" s="63" t="s">
        <v>94</v>
      </c>
      <c r="B57" s="103">
        <f>+B56+B31</f>
        <v>0.18050480586613107</v>
      </c>
    </row>
    <row r="58" spans="1:4" hidden="1" x14ac:dyDescent="0.2">
      <c r="B58" s="104">
        <f>+(+B57+B54+B49)/3</f>
        <v>0.1706444590982342</v>
      </c>
    </row>
  </sheetData>
  <mergeCells count="5">
    <mergeCell ref="A1:E1"/>
    <mergeCell ref="A2:E2"/>
    <mergeCell ref="A5:E5"/>
    <mergeCell ref="A6:E6"/>
    <mergeCell ref="A7:E7"/>
  </mergeCells>
  <pageMargins left="0.78740157480314965" right="0.78740157480314965" top="0.43307086614173229" bottom="0.98425196850393704" header="0.27559055118110237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  Lenovo 2014</dc:creator>
  <cp:lastModifiedBy>Joanilia  Lenovo 2014</cp:lastModifiedBy>
  <dcterms:created xsi:type="dcterms:W3CDTF">2014-10-03T21:40:56Z</dcterms:created>
  <dcterms:modified xsi:type="dcterms:W3CDTF">2014-11-18T01:23:46Z</dcterms:modified>
</cp:coreProperties>
</file>