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-EAC0561 - Estudos Complementares IF Derivativos\Aulas\"/>
    </mc:Choice>
  </mc:AlternateContent>
  <bookViews>
    <workbookView xWindow="240" yWindow="135" windowWidth="21075" windowHeight="9780" activeTab="1"/>
  </bookViews>
  <sheets>
    <sheet name="Plano Contas" sheetId="9" r:id="rId1"/>
    <sheet name="1. Ex. US$ Futuro" sheetId="10" r:id="rId2"/>
    <sheet name="2. Ex. Opção" sheetId="11" r:id="rId3"/>
    <sheet name="3.SWAP-Contabilização" sheetId="12" r:id="rId4"/>
    <sheet name="2. Ex. Opção (2)" sheetId="7" r:id="rId5"/>
    <sheet name="3.SWAP-Contabilização (2)" sheetId="8" r:id="rId6"/>
  </sheets>
  <definedNames>
    <definedName name="_xlnm.Print_Area" localSheetId="3">'3.SWAP-Contabilização'!$A$1:$O$42</definedName>
    <definedName name="_xlnm.Print_Area" localSheetId="5">'3.SWAP-Contabilização (2)'!$A$2:$O$44</definedName>
  </definedNames>
  <calcPr calcId="152511"/>
</workbook>
</file>

<file path=xl/calcChain.xml><?xml version="1.0" encoding="utf-8"?>
<calcChain xmlns="http://schemas.openxmlformats.org/spreadsheetml/2006/main">
  <c r="C33" i="12" l="1"/>
  <c r="A33" i="12"/>
  <c r="B32" i="12"/>
  <c r="C30" i="12"/>
  <c r="B30" i="12"/>
  <c r="B33" i="12" s="1"/>
  <c r="B29" i="12"/>
  <c r="F24" i="12"/>
  <c r="G24" i="12" s="1"/>
  <c r="I24" i="12" s="1"/>
  <c r="E24" i="12"/>
  <c r="D24" i="12"/>
  <c r="F23" i="12"/>
  <c r="D23" i="12"/>
  <c r="E23" i="12" s="1"/>
  <c r="D22" i="12"/>
  <c r="E22" i="12" s="1"/>
  <c r="B22" i="12"/>
  <c r="B23" i="12" s="1"/>
  <c r="B24" i="12" s="1"/>
  <c r="F21" i="12"/>
  <c r="D21" i="12"/>
  <c r="E21" i="12" s="1"/>
  <c r="F20" i="12"/>
  <c r="D20" i="12"/>
  <c r="E20" i="12" s="1"/>
  <c r="D19" i="12"/>
  <c r="E19" i="12" s="1"/>
  <c r="B19" i="12"/>
  <c r="B20" i="12" s="1"/>
  <c r="J18" i="12"/>
  <c r="J19" i="12" s="1"/>
  <c r="J20" i="12" s="1"/>
  <c r="J21" i="12" s="1"/>
  <c r="J22" i="12" s="1"/>
  <c r="J23" i="12" s="1"/>
  <c r="J24" i="12" s="1"/>
  <c r="H18" i="12"/>
  <c r="A28" i="12" s="1"/>
  <c r="F18" i="12"/>
  <c r="D18" i="12"/>
  <c r="E18" i="12" s="1"/>
  <c r="B18" i="12"/>
  <c r="F17" i="12"/>
  <c r="D17" i="12"/>
  <c r="E17" i="12" s="1"/>
  <c r="F15" i="12"/>
  <c r="F22" i="12" s="1"/>
  <c r="G22" i="12" s="1"/>
  <c r="I22" i="12" s="1"/>
  <c r="E15" i="12"/>
  <c r="D15" i="12"/>
  <c r="I24" i="11"/>
  <c r="F23" i="11"/>
  <c r="F22" i="11" s="1"/>
  <c r="E23" i="11"/>
  <c r="D22" i="11"/>
  <c r="B22" i="11"/>
  <c r="B23" i="11" s="1"/>
  <c r="K21" i="11"/>
  <c r="E21" i="11"/>
  <c r="B21" i="11"/>
  <c r="D20" i="11"/>
  <c r="B20" i="11"/>
  <c r="E19" i="11"/>
  <c r="D19" i="11"/>
  <c r="D21" i="11" s="1"/>
  <c r="E22" i="11" s="1"/>
  <c r="C19" i="11"/>
  <c r="C21" i="11" s="1"/>
  <c r="B19" i="11"/>
  <c r="L18" i="11"/>
  <c r="L22" i="11" s="1"/>
  <c r="C18" i="11"/>
  <c r="B18" i="11"/>
  <c r="K17" i="11"/>
  <c r="H17" i="11"/>
  <c r="D23" i="11" s="1"/>
  <c r="D15" i="11"/>
  <c r="B15" i="11"/>
  <c r="D14" i="11"/>
  <c r="I19" i="11" s="1"/>
  <c r="D12" i="11"/>
  <c r="F18" i="11" s="1"/>
  <c r="F22" i="10"/>
  <c r="E22" i="10"/>
  <c r="E21" i="10"/>
  <c r="D21" i="10"/>
  <c r="B21" i="10"/>
  <c r="B22" i="10" s="1"/>
  <c r="H20" i="10"/>
  <c r="B20" i="10"/>
  <c r="E19" i="10"/>
  <c r="E20" i="10" s="1"/>
  <c r="D19" i="10"/>
  <c r="D20" i="10" s="1"/>
  <c r="C19" i="10"/>
  <c r="C20" i="10" s="1"/>
  <c r="B19" i="10"/>
  <c r="E18" i="10"/>
  <c r="H17" i="10"/>
  <c r="E17" i="10"/>
  <c r="D17" i="10"/>
  <c r="C17" i="10"/>
  <c r="B17" i="10"/>
  <c r="B18" i="10" s="1"/>
  <c r="B16" i="10"/>
  <c r="I15" i="10"/>
  <c r="K14" i="10"/>
  <c r="H14" i="10"/>
  <c r="E15" i="10" s="1"/>
  <c r="D22" i="10" s="1"/>
  <c r="I12" i="10"/>
  <c r="H12" i="10"/>
  <c r="F12" i="10"/>
  <c r="G12" i="10" s="1"/>
  <c r="I11" i="10"/>
  <c r="F19" i="10" s="1"/>
  <c r="H11" i="10"/>
  <c r="G11" i="10"/>
  <c r="F11" i="10"/>
  <c r="H10" i="10"/>
  <c r="I10" i="10" s="1"/>
  <c r="F10" i="10"/>
  <c r="G10" i="10" s="1"/>
  <c r="E10" i="10"/>
  <c r="I9" i="10"/>
  <c r="F16" i="10" s="1"/>
  <c r="H9" i="10"/>
  <c r="G9" i="10"/>
  <c r="F9" i="10"/>
  <c r="F17" i="10" l="1"/>
  <c r="J10" i="10"/>
  <c r="G17" i="12"/>
  <c r="I17" i="12" s="1"/>
  <c r="G20" i="12"/>
  <c r="I20" i="12" s="1"/>
  <c r="K24" i="12"/>
  <c r="G18" i="12"/>
  <c r="I18" i="12" s="1"/>
  <c r="K18" i="12" s="1"/>
  <c r="L18" i="12" s="1"/>
  <c r="G21" i="12"/>
  <c r="I21" i="12" s="1"/>
  <c r="K21" i="12" s="1"/>
  <c r="K18" i="10"/>
  <c r="F20" i="10"/>
  <c r="I17" i="10"/>
  <c r="H16" i="10"/>
  <c r="L16" i="10"/>
  <c r="K18" i="11"/>
  <c r="I18" i="11"/>
  <c r="K22" i="12"/>
  <c r="K20" i="11"/>
  <c r="F20" i="11"/>
  <c r="K23" i="12"/>
  <c r="L23" i="12" s="1"/>
  <c r="G23" i="12"/>
  <c r="I23" i="12" s="1"/>
  <c r="E20" i="11"/>
  <c r="D13" i="11"/>
  <c r="F19" i="11" s="1"/>
  <c r="F19" i="12"/>
  <c r="G19" i="12" s="1"/>
  <c r="I19" i="12" s="1"/>
  <c r="K19" i="12" s="1"/>
  <c r="L19" i="12" s="1"/>
  <c r="J32" i="12" s="1"/>
  <c r="H19" i="12"/>
  <c r="D33" i="12" l="1"/>
  <c r="N32" i="12"/>
  <c r="L21" i="12"/>
  <c r="N21" i="12" s="1"/>
  <c r="I25" i="12"/>
  <c r="I27" i="12" s="1"/>
  <c r="G35" i="12" s="1"/>
  <c r="I35" i="12" s="1"/>
  <c r="L24" i="12"/>
  <c r="N24" i="12" s="1"/>
  <c r="N20" i="12"/>
  <c r="N33" i="12" s="1"/>
  <c r="G33" i="12"/>
  <c r="I33" i="12" s="1"/>
  <c r="H20" i="12"/>
  <c r="H21" i="12" s="1"/>
  <c r="H22" i="12" s="1"/>
  <c r="H23" i="12" s="1"/>
  <c r="H24" i="12" s="1"/>
  <c r="H25" i="12" s="1"/>
  <c r="A31" i="12"/>
  <c r="K20" i="12"/>
  <c r="L20" i="12" s="1"/>
  <c r="J33" i="12" s="1"/>
  <c r="L22" i="12"/>
  <c r="N22" i="12" s="1"/>
  <c r="K19" i="10"/>
  <c r="I18" i="10"/>
  <c r="F21" i="10"/>
  <c r="D32" i="12"/>
  <c r="G32" i="12" s="1"/>
  <c r="I32" i="12" s="1"/>
  <c r="N19" i="12"/>
  <c r="K19" i="11"/>
  <c r="K22" i="11" s="1"/>
  <c r="I23" i="11"/>
  <c r="I25" i="11" s="1"/>
  <c r="H21" i="11" s="1"/>
  <c r="I16" i="10"/>
  <c r="I19" i="10" s="1"/>
  <c r="K16" i="10"/>
  <c r="F18" i="10"/>
  <c r="N23" i="12"/>
  <c r="D29" i="12"/>
  <c r="N18" i="12"/>
  <c r="K20" i="10" l="1"/>
  <c r="L19" i="10"/>
  <c r="J12" i="10" s="1"/>
  <c r="H22" i="10"/>
  <c r="N27" i="12"/>
  <c r="N35" i="12" s="1"/>
  <c r="J35" i="12" s="1"/>
  <c r="J36" i="12" s="1"/>
  <c r="I31" i="12"/>
  <c r="J31" i="12" s="1"/>
  <c r="K33" i="12" s="1"/>
  <c r="G31" i="12"/>
  <c r="H21" i="10"/>
  <c r="H23" i="10" s="1"/>
  <c r="L17" i="10"/>
  <c r="L20" i="10" l="1"/>
  <c r="M18" i="10"/>
  <c r="N31" i="12"/>
  <c r="D30" i="12" s="1"/>
  <c r="K31" i="12"/>
  <c r="K32" i="12"/>
</calcChain>
</file>

<file path=xl/sharedStrings.xml><?xml version="1.0" encoding="utf-8"?>
<sst xmlns="http://schemas.openxmlformats.org/spreadsheetml/2006/main" count="283" uniqueCount="128">
  <si>
    <t>Data</t>
  </si>
  <si>
    <t>Período</t>
  </si>
  <si>
    <t>transação</t>
  </si>
  <si>
    <t>valor</t>
  </si>
  <si>
    <t>CAIXA</t>
  </si>
  <si>
    <t>GANHO/PERDA COM INSTRUMENTOS FINANCEIROS</t>
  </si>
  <si>
    <t>(2) Caso seja operação de hedge accounting - Hedge de Fluxo de Caixa</t>
  </si>
  <si>
    <t xml:space="preserve"> Ao invés de contabilizar o Ganho ou Perda com Instrumentos Financeiros no resultado, vai para Ajuste de Avaliação Patrimonial, no PL, indo para resultado apenas no final</t>
  </si>
  <si>
    <t>(3) Caso seja operação de hedge accounting - Hedge de Valor justo</t>
  </si>
  <si>
    <t>Contratação:</t>
  </si>
  <si>
    <t>Vencimento</t>
  </si>
  <si>
    <t>Preço de exercício</t>
  </si>
  <si>
    <t>Prêmio</t>
  </si>
  <si>
    <t xml:space="preserve">Uma Cia comprou 1.000 opções de compra </t>
  </si>
  <si>
    <r>
      <t>Efetue as contabilizações, considerando que o valor justo da opção em 28/02 seja</t>
    </r>
    <r>
      <rPr>
        <b/>
        <sz val="12"/>
        <color rgb="FF006600"/>
        <rFont val="Arial"/>
        <family val="2"/>
      </rPr>
      <t xml:space="preserve"> 0,25 ( 250 no total) e o</t>
    </r>
    <r>
      <rPr>
        <sz val="12"/>
        <color rgb="FF006600"/>
        <rFont val="Arial"/>
        <family val="2"/>
      </rPr>
      <t xml:space="preserve"> preço de mercado em 3</t>
    </r>
    <r>
      <rPr>
        <b/>
        <sz val="12"/>
        <color rgb="FF006600"/>
        <rFont val="Arial"/>
        <family val="2"/>
      </rPr>
      <t xml:space="preserve">1/03 é  2,70 </t>
    </r>
  </si>
  <si>
    <t>Pagamento de Prêmio</t>
  </si>
  <si>
    <t>Exercício</t>
  </si>
  <si>
    <t>Eventos</t>
  </si>
  <si>
    <t>Valor total</t>
  </si>
  <si>
    <t>Exercíco da Opção</t>
  </si>
  <si>
    <t xml:space="preserve"> (250 - 50)</t>
  </si>
  <si>
    <t>Valor de mercado</t>
  </si>
  <si>
    <t>Registro da contabilização das ações na sua carteira</t>
  </si>
  <si>
    <t xml:space="preserve"> OU 2.700</t>
  </si>
  <si>
    <t xml:space="preserve">Ajuste Contábil (vr.justo/marcação a mercado) </t>
  </si>
  <si>
    <t>Ativa</t>
  </si>
  <si>
    <t>Pre</t>
  </si>
  <si>
    <t>Passiva</t>
  </si>
  <si>
    <t>Indexada ao CDI</t>
  </si>
  <si>
    <t>Prazo</t>
  </si>
  <si>
    <t>anos</t>
  </si>
  <si>
    <t>Valor Nocional</t>
  </si>
  <si>
    <t>Contrato recebe trimetralmente</t>
  </si>
  <si>
    <t>Ativa - Recebe</t>
  </si>
  <si>
    <t>aa</t>
  </si>
  <si>
    <t>Passiva-Paga</t>
  </si>
  <si>
    <t>CDI+0,5%</t>
  </si>
  <si>
    <t>Taxa trimestral</t>
  </si>
  <si>
    <t>Valor Trimestral</t>
  </si>
  <si>
    <t>Valor Justo</t>
  </si>
  <si>
    <t>Atualização do Vr.Justo</t>
  </si>
  <si>
    <t>CDI ao ano</t>
  </si>
  <si>
    <t>Taxa Passiva</t>
  </si>
  <si>
    <t>Taxa ativa</t>
  </si>
  <si>
    <t>Diferencial</t>
  </si>
  <si>
    <t>Valor presente(VPL)</t>
  </si>
  <si>
    <t>Variação do VPL</t>
  </si>
  <si>
    <t>Faltam</t>
  </si>
  <si>
    <t>1t</t>
  </si>
  <si>
    <t>2t</t>
  </si>
  <si>
    <t>3t</t>
  </si>
  <si>
    <t>4t</t>
  </si>
  <si>
    <t>CONTABILIZAÇÃO</t>
  </si>
  <si>
    <t>D</t>
  </si>
  <si>
    <t>C</t>
  </si>
  <si>
    <t>VALOR R$</t>
  </si>
  <si>
    <t>Pelo pagamento do Ajuste</t>
  </si>
  <si>
    <t>Caixa</t>
  </si>
  <si>
    <t>Pela Marcação a Mercado do Derivativo</t>
  </si>
  <si>
    <t>obs: Os lançamentos devem ser repetidos até 31/12/20009</t>
  </si>
  <si>
    <t>OBS: o GANHO DE 100 PODE SER EXPLICADO DA SEGUINTE FORMA: Despesa de prêmio = 200 e ganho com valorização  = 300</t>
  </si>
  <si>
    <t>IF - INSTRUMENTOS FINANCEIROS-DERIVATIVOS</t>
  </si>
  <si>
    <t>IF - INSTRUMENTOs FINANCEIROS - AÇÕES</t>
  </si>
  <si>
    <t xml:space="preserve">C </t>
  </si>
  <si>
    <t>A atualização do objeto de hedge  será a mesma da valorização/desvalorização do instrumento financeiro dericativo (instrumento de hedge) , em sentido contário, levando o resultado total a se anular e ser igual a zero</t>
  </si>
  <si>
    <t>Haverá a contabilização de um objeto de hedge,  que será avaliado pelo valor justo contra resultado.</t>
  </si>
  <si>
    <t>Haverá a contabilização de um objeto de hedge,que será avaliado pelo valor justo contra resultado.</t>
  </si>
  <si>
    <t>Efetue as contabilizações do pagamento do ajuste e do ajuste contábil ao valor justo</t>
  </si>
  <si>
    <t>Um banco fez um swap de uma operção passiva de pré para CDI + 0,5, pelo prazo de 2 anos, ajuste financeiro e a valor justo trimestralaç</t>
  </si>
  <si>
    <t>2 -EXEMPLO - CONTABILIZAÇÃO OPÇÃO DE COMPRA</t>
  </si>
  <si>
    <t>3- EXEMPLO - CONTABILIZAÇÃO DE SWAP</t>
  </si>
  <si>
    <t>IF- INSTRUMENTOS FINANCEIROSS DERIVATIVOS</t>
  </si>
  <si>
    <t>...</t>
  </si>
  <si>
    <t>TOTAL GANHOS/ PERDAS</t>
  </si>
  <si>
    <t>AJUSTE TRIMESTRAL</t>
  </si>
  <si>
    <t>AJUSTE + VARIAÇÃO VPL</t>
  </si>
  <si>
    <t>Saldo IF Derivativos</t>
  </si>
  <si>
    <t>ATIVO</t>
  </si>
  <si>
    <t>PASSIVO</t>
  </si>
  <si>
    <t xml:space="preserve">Caixa </t>
  </si>
  <si>
    <t xml:space="preserve">Empréstimos </t>
  </si>
  <si>
    <t xml:space="preserve">Instrumentos Financeiros - IF - Derivativos </t>
  </si>
  <si>
    <t>Instrumentos Financeiros Passivos (empréstimos)</t>
  </si>
  <si>
    <t>Instrumentos Financeiros Ativos (Aplicações, empréstimos)</t>
  </si>
  <si>
    <t>Instrumentos Financeiros- IF - Derivativos</t>
  </si>
  <si>
    <t>Estoque</t>
  </si>
  <si>
    <t>PL</t>
  </si>
  <si>
    <t>Contas a Receber</t>
  </si>
  <si>
    <t xml:space="preserve">Outros Resultados Abrangentes - Ajuste de Avaliação Patrimonial </t>
  </si>
  <si>
    <t xml:space="preserve">Outros ativos </t>
  </si>
  <si>
    <t xml:space="preserve">Lucros Acumulados </t>
  </si>
  <si>
    <t>DESPESAS</t>
  </si>
  <si>
    <t>RECEITAS</t>
  </si>
  <si>
    <t>Receita de Vendas</t>
  </si>
  <si>
    <t>Perda com desvalorização de estoque</t>
  </si>
  <si>
    <t>Ganho com valorização de estoque</t>
  </si>
  <si>
    <t>Perda com IF-Derivativos</t>
  </si>
  <si>
    <t>Ganho com IF-Derivativos</t>
  </si>
  <si>
    <t>Despesa Financeira</t>
  </si>
  <si>
    <t>Receita Financeira</t>
  </si>
  <si>
    <t>Outras Despesas</t>
  </si>
  <si>
    <t>Outras Receitas</t>
  </si>
  <si>
    <t>(1) Caso a operação seja para NEGOCIAÇAO</t>
  </si>
  <si>
    <t>EAC0561 : Estudos Complementares IV –Contabilidade de Instrumentos Financeiros e Derivativos – Aspectos Contábeis e Fiscais-Profa.Joanília Cia</t>
  </si>
  <si>
    <r>
      <rPr>
        <b/>
        <sz val="9"/>
        <color rgb="FFFF0000"/>
        <rFont val="Calibri"/>
        <family val="2"/>
        <scheme val="minor"/>
      </rPr>
      <t xml:space="preserve"> ou </t>
    </r>
    <r>
      <rPr>
        <sz val="9"/>
        <color rgb="FFFF0000"/>
        <rFont val="Calibri"/>
        <family val="2"/>
        <scheme val="minor"/>
      </rPr>
      <t>registro da venda de ações no mercado</t>
    </r>
  </si>
  <si>
    <t>1. EXEMPLO CONTABILIZAÇÃO US$ FUTURO</t>
  </si>
  <si>
    <r>
      <t>Um agente importador (vendido em US$ à vista),  tem que pagar US$ 1 milhão em três meses (</t>
    </r>
    <r>
      <rPr>
        <b/>
        <sz val="12"/>
        <color rgb="FF006600"/>
        <rFont val="Arial"/>
        <family val="2"/>
      </rPr>
      <t>T</t>
    </r>
    <r>
      <rPr>
        <sz val="12"/>
        <color rgb="FF006600"/>
        <rFont val="Arial"/>
        <family val="2"/>
      </rPr>
      <t>), e comprou US$ FUTURO por R$2,05/US$ (</t>
    </r>
    <r>
      <rPr>
        <b/>
        <sz val="12"/>
        <color rgb="FF006600"/>
        <rFont val="Arial"/>
        <family val="2"/>
      </rPr>
      <t>K</t>
    </r>
    <r>
      <rPr>
        <sz val="12"/>
        <color rgb="FF006600"/>
        <rFont val="Arial"/>
        <family val="2"/>
      </rPr>
      <t xml:space="preserve">) para 28/02. </t>
    </r>
  </si>
  <si>
    <t>Efetue as contabilizações, considerando que o ajuste financeiro de posição se dá em 15/01 e 15/02, e considerando as seguintes cotações do US$ futuro e os valores justos:</t>
  </si>
  <si>
    <t>Suponha ainda um depósito de margem de R$ 20.000</t>
  </si>
  <si>
    <t>(1) Caso a operação seja para especulação</t>
  </si>
  <si>
    <t>AJUSTES FINANCEIROS</t>
  </si>
  <si>
    <t>AJUSTES CONTÁBEIS</t>
  </si>
  <si>
    <t>Cotação</t>
  </si>
  <si>
    <t>Valor justo do contrato</t>
  </si>
  <si>
    <t>Acumulado</t>
  </si>
  <si>
    <t xml:space="preserve"> D </t>
  </si>
  <si>
    <t xml:space="preserve"> C </t>
  </si>
  <si>
    <t>Início</t>
  </si>
  <si>
    <t>Depósito da Margem</t>
  </si>
  <si>
    <t>OUTROS ATIVOS</t>
  </si>
  <si>
    <t>Recebimento/ Pagamento ajuste financeiro</t>
  </si>
  <si>
    <t>IF - INSTRUMENTOS FINANCEIROS DERIVATIVOS</t>
  </si>
  <si>
    <t>Ajuste Contábil (vr.justo/marcação  a mercado)</t>
  </si>
  <si>
    <t>Ajuste Contábil  (vr.justo/marcação a mercado) e Liquidação</t>
  </si>
  <si>
    <t>Liberação da Margem</t>
  </si>
  <si>
    <t>Haverá a contabilização de um objeto de hedge, que pode ser um Contas a Pagar, por exemplo, que será avaliado pelo valor justo contra resultado.</t>
  </si>
  <si>
    <t>A atualização do objetov de hedge  será a mesma da valorização/desvalorização do instrumento financeiro derivativo (instrumento de hedge) , em sentido contário, levando o resultado total a se anular e ser igual a zero</t>
  </si>
  <si>
    <r>
      <rPr>
        <b/>
        <sz val="9"/>
        <color rgb="FF006600"/>
        <rFont val="Calibri"/>
        <family val="2"/>
        <scheme val="minor"/>
      </rPr>
      <t xml:space="preserve"> ou </t>
    </r>
    <r>
      <rPr>
        <sz val="9"/>
        <color rgb="FF006600"/>
        <rFont val="Calibri"/>
        <family val="2"/>
        <scheme val="minor"/>
      </rPr>
      <t>registro da venda de ações no mercado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</si>
</sst>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  <numFmt numFmtId="167" formatCode="0.0000%"/>
    <numFmt numFmtId="168" formatCode="_-&quot;R$&quot;\ * #,##0_-;\-&quot;R$&quot;\ * #,##0_-;_-&quot;R$&quot;\ * &quot;-&quot;??_-;_-@_-"/>
    <numFmt numFmtId="169" formatCode="0.000%"/>
    <numFmt numFmtId="170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1"/>
      <color rgb="FF006600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006600"/>
      <name val="Arial Black"/>
      <family val="2"/>
    </font>
    <font>
      <b/>
      <sz val="8"/>
      <color rgb="FF006600"/>
      <name val="Calibri"/>
      <family val="2"/>
      <scheme val="minor"/>
    </font>
    <font>
      <b/>
      <sz val="9"/>
      <color rgb="FF0066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6600"/>
      <name val="Arial Black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name val="Arial"/>
      <family val="2"/>
    </font>
    <font>
      <b/>
      <sz val="16"/>
      <color rgb="FFC00000"/>
      <name val="Century Gothic"/>
      <family val="2"/>
    </font>
    <font>
      <b/>
      <sz val="16"/>
      <color rgb="FF000000"/>
      <name val="Century Gothic"/>
      <family val="2"/>
    </font>
    <font>
      <sz val="10"/>
      <color theme="0"/>
      <name val="Calibri"/>
      <family val="2"/>
      <scheme val="minor"/>
    </font>
    <font>
      <sz val="8"/>
      <color rgb="FF006600"/>
      <name val="Arial Black"/>
      <family val="2"/>
    </font>
    <font>
      <sz val="8"/>
      <color rgb="FF0066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006600"/>
      <name val="Arial"/>
      <family val="2"/>
    </font>
    <font>
      <sz val="9"/>
      <color rgb="FF00660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Alignment="1">
      <alignment horizontal="left" indent="4" readingOrder="1"/>
    </xf>
    <xf numFmtId="0" fontId="4" fillId="0" borderId="0" xfId="0" applyFont="1" applyBorder="1"/>
    <xf numFmtId="164" fontId="4" fillId="0" borderId="0" xfId="1" applyNumberFormat="1" applyFont="1" applyBorder="1"/>
    <xf numFmtId="16" fontId="4" fillId="0" borderId="0" xfId="0" applyNumberFormat="1" applyFont="1"/>
    <xf numFmtId="43" fontId="4" fillId="0" borderId="0" xfId="1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6" fontId="5" fillId="0" borderId="1" xfId="0" applyNumberFormat="1" applyFont="1" applyBorder="1"/>
    <xf numFmtId="43" fontId="5" fillId="0" borderId="1" xfId="1" applyFont="1" applyBorder="1"/>
    <xf numFmtId="165" fontId="4" fillId="0" borderId="1" xfId="1" applyNumberFormat="1" applyFont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" fontId="5" fillId="0" borderId="1" xfId="0" applyNumberFormat="1" applyFont="1" applyBorder="1" applyAlignment="1">
      <alignment vertical="center"/>
    </xf>
    <xf numFmtId="166" fontId="5" fillId="0" borderId="0" xfId="0" applyNumberFormat="1" applyFont="1"/>
    <xf numFmtId="0" fontId="5" fillId="0" borderId="0" xfId="0" applyFont="1" applyBorder="1" applyAlignment="1">
      <alignment vertical="center"/>
    </xf>
    <xf numFmtId="165" fontId="5" fillId="0" borderId="0" xfId="1" applyNumberFormat="1" applyFont="1"/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43" fontId="5" fillId="0" borderId="0" xfId="0" applyNumberFormat="1" applyFont="1" applyBorder="1"/>
    <xf numFmtId="165" fontId="5" fillId="0" borderId="0" xfId="1" applyNumberFormat="1" applyFont="1" applyBorder="1"/>
    <xf numFmtId="43" fontId="5" fillId="0" borderId="0" xfId="1" applyFont="1" applyBorder="1"/>
    <xf numFmtId="165" fontId="4" fillId="0" borderId="0" xfId="1" applyNumberFormat="1" applyFont="1" applyBorder="1"/>
    <xf numFmtId="166" fontId="4" fillId="0" borderId="0" xfId="0" applyNumberFormat="1" applyFont="1" applyBorder="1"/>
    <xf numFmtId="165" fontId="4" fillId="0" borderId="0" xfId="0" applyNumberFormat="1" applyFont="1" applyBorder="1"/>
    <xf numFmtId="43" fontId="5" fillId="0" borderId="1" xfId="1" applyFont="1" applyBorder="1" applyAlignment="1">
      <alignment wrapText="1"/>
    </xf>
    <xf numFmtId="0" fontId="9" fillId="0" borderId="0" xfId="0" applyFont="1"/>
    <xf numFmtId="167" fontId="0" fillId="0" borderId="0" xfId="3" applyNumberFormat="1" applyFont="1"/>
    <xf numFmtId="165" fontId="0" fillId="0" borderId="0" xfId="1" applyNumberFormat="1" applyFont="1"/>
    <xf numFmtId="168" fontId="0" fillId="0" borderId="0" xfId="2" applyNumberFormat="1" applyFont="1"/>
    <xf numFmtId="0" fontId="0" fillId="0" borderId="0" xfId="0" applyAlignment="1">
      <alignment horizontal="center"/>
    </xf>
    <xf numFmtId="10" fontId="0" fillId="0" borderId="10" xfId="0" applyNumberFormat="1" applyBorder="1"/>
    <xf numFmtId="168" fontId="0" fillId="0" borderId="14" xfId="2" applyNumberFormat="1" applyFont="1" applyBorder="1" applyAlignment="1">
      <alignment horizontal="center" vertical="center" wrapText="1"/>
    </xf>
    <xf numFmtId="168" fontId="0" fillId="0" borderId="15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7" fontId="0" fillId="0" borderId="10" xfId="3" applyNumberFormat="1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 wrapText="1"/>
    </xf>
    <xf numFmtId="168" fontId="0" fillId="0" borderId="16" xfId="2" applyNumberFormat="1" applyFont="1" applyFill="1" applyBorder="1" applyAlignment="1">
      <alignment horizontal="center" vertical="center" wrapText="1"/>
    </xf>
    <xf numFmtId="168" fontId="0" fillId="0" borderId="10" xfId="2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68" fontId="0" fillId="0" borderId="16" xfId="2" applyNumberFormat="1" applyFont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10" fontId="0" fillId="0" borderId="16" xfId="0" applyNumberFormat="1" applyBorder="1"/>
    <xf numFmtId="167" fontId="0" fillId="0" borderId="10" xfId="3" applyNumberFormat="1" applyFont="1" applyBorder="1"/>
    <xf numFmtId="168" fontId="0" fillId="0" borderId="17" xfId="2" applyNumberFormat="1" applyFont="1" applyBorder="1"/>
    <xf numFmtId="168" fontId="0" fillId="0" borderId="18" xfId="2" applyNumberFormat="1" applyFont="1" applyBorder="1"/>
    <xf numFmtId="10" fontId="9" fillId="0" borderId="1" xfId="0" applyNumberFormat="1" applyFont="1" applyBorder="1"/>
    <xf numFmtId="169" fontId="0" fillId="0" borderId="16" xfId="3" applyNumberFormat="1" applyFont="1" applyBorder="1"/>
    <xf numFmtId="169" fontId="0" fillId="0" borderId="1" xfId="3" applyNumberFormat="1" applyFont="1" applyBorder="1"/>
    <xf numFmtId="14" fontId="0" fillId="0" borderId="16" xfId="1" applyNumberFormat="1" applyFont="1" applyBorder="1"/>
    <xf numFmtId="165" fontId="0" fillId="0" borderId="2" xfId="1" applyNumberFormat="1" applyFont="1" applyBorder="1"/>
    <xf numFmtId="0" fontId="0" fillId="0" borderId="21" xfId="0" applyBorder="1"/>
    <xf numFmtId="0" fontId="0" fillId="0" borderId="22" xfId="0" applyBorder="1"/>
    <xf numFmtId="10" fontId="0" fillId="0" borderId="22" xfId="0" applyNumberFormat="1" applyBorder="1"/>
    <xf numFmtId="10" fontId="0" fillId="0" borderId="23" xfId="0" applyNumberFormat="1" applyBorder="1"/>
    <xf numFmtId="169" fontId="0" fillId="0" borderId="21" xfId="3" applyNumberFormat="1" applyFont="1" applyBorder="1"/>
    <xf numFmtId="169" fontId="0" fillId="0" borderId="22" xfId="3" applyNumberFormat="1" applyFont="1" applyBorder="1"/>
    <xf numFmtId="167" fontId="0" fillId="0" borderId="23" xfId="3" applyNumberFormat="1" applyFont="1" applyBorder="1"/>
    <xf numFmtId="14" fontId="0" fillId="0" borderId="21" xfId="1" applyNumberFormat="1" applyFont="1" applyBorder="1"/>
    <xf numFmtId="165" fontId="0" fillId="0" borderId="24" xfId="1" applyNumberFormat="1" applyFont="1" applyBorder="1"/>
    <xf numFmtId="168" fontId="0" fillId="0" borderId="25" xfId="2" applyNumberFormat="1" applyFont="1" applyBorder="1"/>
    <xf numFmtId="44" fontId="0" fillId="0" borderId="0" xfId="0" applyNumberFormat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168" fontId="9" fillId="0" borderId="0" xfId="2" applyNumberFormat="1" applyFo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68" fontId="0" fillId="0" borderId="0" xfId="2" applyNumberFormat="1" applyFont="1" applyBorder="1"/>
    <xf numFmtId="10" fontId="0" fillId="0" borderId="11" xfId="0" applyNumberFormat="1" applyBorder="1"/>
    <xf numFmtId="0" fontId="0" fillId="0" borderId="0" xfId="0" applyBorder="1"/>
    <xf numFmtId="165" fontId="0" fillId="0" borderId="0" xfId="1" applyNumberFormat="1" applyFont="1" applyBorder="1"/>
    <xf numFmtId="168" fontId="0" fillId="0" borderId="23" xfId="2" applyNumberFormat="1" applyFont="1" applyFill="1" applyBorder="1"/>
    <xf numFmtId="14" fontId="0" fillId="0" borderId="1" xfId="1" applyNumberFormat="1" applyFont="1" applyBorder="1" applyAlignment="1">
      <alignment horizontal="center"/>
    </xf>
    <xf numFmtId="43" fontId="0" fillId="0" borderId="0" xfId="1" applyFont="1" applyAlignment="1">
      <alignment horizontal="center"/>
    </xf>
    <xf numFmtId="10" fontId="0" fillId="0" borderId="0" xfId="0" applyNumberFormat="1" applyAlignment="1">
      <alignment horizontal="center"/>
    </xf>
    <xf numFmtId="168" fontId="11" fillId="0" borderId="0" xfId="2" applyNumberFormat="1" applyFont="1" applyBorder="1" applyAlignment="1">
      <alignment horizontal="center"/>
    </xf>
    <xf numFmtId="0" fontId="12" fillId="0" borderId="0" xfId="0" applyFont="1"/>
    <xf numFmtId="43" fontId="0" fillId="0" borderId="0" xfId="0" applyNumberFormat="1"/>
    <xf numFmtId="43" fontId="0" fillId="0" borderId="1" xfId="0" applyNumberFormat="1" applyBorder="1"/>
    <xf numFmtId="43" fontId="9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/>
    </xf>
    <xf numFmtId="165" fontId="9" fillId="0" borderId="6" xfId="1" applyNumberFormat="1" applyFont="1" applyBorder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0" fillId="0" borderId="16" xfId="1" applyNumberFormat="1" applyFont="1" applyBorder="1"/>
    <xf numFmtId="165" fontId="0" fillId="0" borderId="10" xfId="1" applyNumberFormat="1" applyFont="1" applyBorder="1"/>
    <xf numFmtId="165" fontId="0" fillId="0" borderId="1" xfId="1" applyNumberFormat="1" applyFont="1" applyBorder="1"/>
    <xf numFmtId="165" fontId="0" fillId="0" borderId="19" xfId="1" applyNumberFormat="1" applyFont="1" applyBorder="1"/>
    <xf numFmtId="165" fontId="0" fillId="0" borderId="7" xfId="1" applyNumberFormat="1" applyFont="1" applyBorder="1"/>
    <xf numFmtId="165" fontId="0" fillId="0" borderId="20" xfId="1" applyNumberFormat="1" applyFont="1" applyBorder="1"/>
    <xf numFmtId="165" fontId="0" fillId="0" borderId="22" xfId="1" applyNumberFormat="1" applyFont="1" applyBorder="1"/>
    <xf numFmtId="165" fontId="16" fillId="0" borderId="0" xfId="1" applyNumberFormat="1" applyFont="1"/>
    <xf numFmtId="165" fontId="16" fillId="0" borderId="0" xfId="1" applyNumberFormat="1" applyFont="1" applyBorder="1"/>
    <xf numFmtId="0" fontId="19" fillId="0" borderId="27" xfId="0" applyFont="1" applyBorder="1" applyAlignment="1">
      <alignment horizontal="center" vertical="center" wrapText="1" readingOrder="1"/>
    </xf>
    <xf numFmtId="0" fontId="19" fillId="0" borderId="28" xfId="0" applyFont="1" applyBorder="1" applyAlignment="1">
      <alignment horizontal="center" vertical="center" wrapText="1" readingOrder="1"/>
    </xf>
    <xf numFmtId="0" fontId="20" fillId="0" borderId="27" xfId="0" applyFont="1" applyBorder="1" applyAlignment="1">
      <alignment horizontal="left" wrapText="1" readingOrder="1"/>
    </xf>
    <xf numFmtId="0" fontId="20" fillId="0" borderId="28" xfId="0" applyFont="1" applyBorder="1" applyAlignment="1">
      <alignment horizontal="left" vertical="center" wrapText="1" readingOrder="1"/>
    </xf>
    <xf numFmtId="0" fontId="20" fillId="0" borderId="28" xfId="0" applyFont="1" applyBorder="1" applyAlignment="1">
      <alignment horizontal="left" vertical="top" wrapText="1" readingOrder="1"/>
    </xf>
    <xf numFmtId="0" fontId="20" fillId="0" borderId="29" xfId="0" applyFont="1" applyBorder="1" applyAlignment="1">
      <alignment horizontal="left" wrapText="1" readingOrder="1"/>
    </xf>
    <xf numFmtId="0" fontId="20" fillId="0" borderId="27" xfId="0" applyFont="1" applyBorder="1" applyAlignment="1">
      <alignment horizontal="left" vertical="top" wrapText="1" readingOrder="1"/>
    </xf>
    <xf numFmtId="0" fontId="20" fillId="0" borderId="27" xfId="0" applyFont="1" applyBorder="1" applyAlignment="1">
      <alignment horizontal="left" vertical="center" wrapText="1" readingOrder="1"/>
    </xf>
    <xf numFmtId="0" fontId="18" fillId="0" borderId="28" xfId="0" applyFont="1" applyBorder="1" applyAlignment="1">
      <alignment vertical="top" wrapText="1"/>
    </xf>
    <xf numFmtId="0" fontId="16" fillId="0" borderId="0" xfId="0" applyFont="1"/>
    <xf numFmtId="165" fontId="16" fillId="0" borderId="26" xfId="0" applyNumberFormat="1" applyFont="1" applyBorder="1"/>
    <xf numFmtId="165" fontId="21" fillId="0" borderId="0" xfId="1" applyNumberFormat="1" applyFont="1" applyBorder="1" applyAlignment="1">
      <alignment horizontal="center" wrapText="1"/>
    </xf>
    <xf numFmtId="0" fontId="3" fillId="0" borderId="0" xfId="0" applyFont="1" applyAlignment="1">
      <alignment readingOrder="1"/>
    </xf>
    <xf numFmtId="0" fontId="22" fillId="0" borderId="0" xfId="0" applyFont="1"/>
    <xf numFmtId="0" fontId="23" fillId="0" borderId="0" xfId="0" applyFont="1"/>
    <xf numFmtId="165" fontId="15" fillId="0" borderId="0" xfId="1" applyNumberFormat="1" applyFont="1" applyBorder="1"/>
    <xf numFmtId="165" fontId="17" fillId="0" borderId="0" xfId="1" applyNumberFormat="1" applyFont="1" applyBorder="1" applyAlignment="1">
      <alignment horizontal="center" wrapText="1"/>
    </xf>
    <xf numFmtId="0" fontId="16" fillId="0" borderId="0" xfId="0" applyFont="1" applyBorder="1"/>
    <xf numFmtId="166" fontId="15" fillId="0" borderId="0" xfId="0" applyNumberFormat="1" applyFont="1" applyBorder="1"/>
    <xf numFmtId="165" fontId="15" fillId="0" borderId="0" xfId="0" applyNumberFormat="1" applyFon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165" fontId="24" fillId="0" borderId="1" xfId="1" applyNumberFormat="1" applyFont="1" applyBorder="1" applyAlignment="1">
      <alignment vertical="center" wrapText="1"/>
    </xf>
    <xf numFmtId="43" fontId="25" fillId="0" borderId="1" xfId="0" applyNumberFormat="1" applyFont="1" applyBorder="1" applyAlignment="1">
      <alignment vertical="center" wrapText="1"/>
    </xf>
    <xf numFmtId="165" fontId="24" fillId="0" borderId="1" xfId="1" applyNumberFormat="1" applyFont="1" applyBorder="1"/>
    <xf numFmtId="43" fontId="24" fillId="0" borderId="1" xfId="1" applyFont="1" applyBorder="1"/>
    <xf numFmtId="0" fontId="26" fillId="0" borderId="1" xfId="0" applyFont="1" applyBorder="1"/>
    <xf numFmtId="165" fontId="24" fillId="0" borderId="1" xfId="0" applyNumberFormat="1" applyFont="1" applyBorder="1"/>
    <xf numFmtId="165" fontId="24" fillId="0" borderId="0" xfId="0" applyNumberFormat="1" applyFont="1" applyBorder="1" applyAlignment="1">
      <alignment vertical="center"/>
    </xf>
    <xf numFmtId="165" fontId="24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5" fontId="24" fillId="0" borderId="0" xfId="0" applyNumberFormat="1" applyFont="1"/>
    <xf numFmtId="165" fontId="24" fillId="0" borderId="5" xfId="0" applyNumberFormat="1" applyFont="1" applyBorder="1"/>
    <xf numFmtId="166" fontId="24" fillId="0" borderId="0" xfId="0" applyNumberFormat="1" applyFont="1"/>
    <xf numFmtId="166" fontId="24" fillId="0" borderId="5" xfId="0" applyNumberFormat="1" applyFont="1" applyBorder="1"/>
    <xf numFmtId="0" fontId="24" fillId="0" borderId="0" xfId="0" applyFont="1"/>
    <xf numFmtId="0" fontId="24" fillId="0" borderId="5" xfId="0" applyFont="1" applyBorder="1"/>
    <xf numFmtId="165" fontId="28" fillId="0" borderId="0" xfId="0" applyNumberFormat="1" applyFont="1" applyBorder="1"/>
    <xf numFmtId="166" fontId="24" fillId="0" borderId="3" xfId="0" applyNumberFormat="1" applyFont="1" applyBorder="1" applyAlignment="1">
      <alignment vertical="center"/>
    </xf>
    <xf numFmtId="165" fontId="24" fillId="0" borderId="4" xfId="0" applyNumberFormat="1" applyFont="1" applyBorder="1" applyAlignment="1">
      <alignment vertical="center"/>
    </xf>
    <xf numFmtId="43" fontId="24" fillId="0" borderId="0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168" fontId="26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wrapText="1"/>
    </xf>
    <xf numFmtId="165" fontId="24" fillId="0" borderId="0" xfId="1" applyNumberFormat="1" applyFont="1"/>
    <xf numFmtId="165" fontId="24" fillId="0" borderId="4" xfId="1" applyNumberFormat="1" applyFont="1" applyBorder="1"/>
    <xf numFmtId="165" fontId="29" fillId="0" borderId="0" xfId="1" applyNumberFormat="1" applyFont="1"/>
    <xf numFmtId="165" fontId="24" fillId="0" borderId="5" xfId="1" applyNumberFormat="1" applyFont="1" applyBorder="1"/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14" fillId="0" borderId="6" xfId="1" applyNumberFormat="1" applyFont="1" applyBorder="1" applyAlignment="1">
      <alignment horizontal="center" vertical="center" wrapText="1"/>
    </xf>
    <xf numFmtId="168" fontId="10" fillId="0" borderId="0" xfId="2" applyNumberFormat="1" applyFont="1" applyBorder="1" applyAlignment="1">
      <alignment horizontal="center" wrapText="1"/>
    </xf>
    <xf numFmtId="0" fontId="4" fillId="0" borderId="1" xfId="0" applyFont="1" applyBorder="1"/>
    <xf numFmtId="164" fontId="4" fillId="0" borderId="1" xfId="1" applyNumberFormat="1" applyFont="1" applyBorder="1"/>
    <xf numFmtId="0" fontId="30" fillId="0" borderId="0" xfId="0" applyFont="1" applyAlignment="1">
      <alignment horizontal="left" indent="4" readingOrder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5" fillId="0" borderId="1" xfId="0" applyNumberFormat="1" applyFont="1" applyBorder="1"/>
    <xf numFmtId="165" fontId="5" fillId="0" borderId="1" xfId="1" applyNumberFormat="1" applyFont="1" applyBorder="1"/>
    <xf numFmtId="170" fontId="5" fillId="0" borderId="1" xfId="1" applyNumberFormat="1" applyFont="1" applyBorder="1"/>
    <xf numFmtId="166" fontId="5" fillId="0" borderId="2" xfId="0" applyNumberFormat="1" applyFont="1" applyBorder="1"/>
    <xf numFmtId="43" fontId="5" fillId="0" borderId="2" xfId="1" applyFont="1" applyBorder="1"/>
    <xf numFmtId="0" fontId="7" fillId="0" borderId="6" xfId="0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 wrapText="1"/>
    </xf>
    <xf numFmtId="165" fontId="5" fillId="0" borderId="0" xfId="1" applyNumberFormat="1" applyFont="1" applyBorder="1" applyAlignment="1">
      <alignment vertical="center"/>
    </xf>
    <xf numFmtId="165" fontId="5" fillId="0" borderId="5" xfId="1" applyNumberFormat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165" fontId="5" fillId="0" borderId="5" xfId="1" applyNumberFormat="1" applyFont="1" applyBorder="1"/>
    <xf numFmtId="165" fontId="4" fillId="0" borderId="7" xfId="1" applyNumberFormat="1" applyFont="1" applyBorder="1"/>
    <xf numFmtId="165" fontId="7" fillId="0" borderId="6" xfId="1" applyNumberFormat="1" applyFont="1" applyBorder="1" applyAlignment="1">
      <alignment wrapText="1"/>
    </xf>
    <xf numFmtId="165" fontId="5" fillId="0" borderId="26" xfId="1" applyNumberFormat="1" applyFont="1" applyBorder="1"/>
    <xf numFmtId="165" fontId="5" fillId="0" borderId="3" xfId="1" applyNumberFormat="1" applyFont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0" fontId="32" fillId="0" borderId="1" xfId="0" applyFont="1" applyBorder="1"/>
    <xf numFmtId="165" fontId="5" fillId="0" borderId="0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43" fontId="31" fillId="0" borderId="1" xfId="0" applyNumberFormat="1" applyFont="1" applyBorder="1" applyAlignment="1">
      <alignment vertical="center" wrapText="1"/>
    </xf>
    <xf numFmtId="165" fontId="5" fillId="0" borderId="0" xfId="0" applyNumberFormat="1" applyFont="1"/>
    <xf numFmtId="165" fontId="5" fillId="0" borderId="5" xfId="0" applyNumberFormat="1" applyFont="1" applyBorder="1"/>
    <xf numFmtId="166" fontId="5" fillId="0" borderId="5" xfId="0" applyNumberFormat="1" applyFont="1" applyBorder="1"/>
    <xf numFmtId="0" fontId="5" fillId="0" borderId="5" xfId="0" applyFont="1" applyBorder="1"/>
    <xf numFmtId="165" fontId="4" fillId="0" borderId="30" xfId="0" applyNumberFormat="1" applyFont="1" applyBorder="1"/>
    <xf numFmtId="165" fontId="4" fillId="0" borderId="5" xfId="0" applyNumberFormat="1" applyFont="1" applyBorder="1"/>
    <xf numFmtId="165" fontId="5" fillId="0" borderId="26" xfId="0" applyNumberFormat="1" applyFont="1" applyBorder="1"/>
    <xf numFmtId="166" fontId="5" fillId="0" borderId="3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5" fontId="5" fillId="0" borderId="1" xfId="0" applyNumberFormat="1" applyFont="1" applyBorder="1"/>
    <xf numFmtId="43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6" fontId="4" fillId="0" borderId="7" xfId="0" applyNumberFormat="1" applyFont="1" applyBorder="1"/>
    <xf numFmtId="165" fontId="4" fillId="0" borderId="7" xfId="0" applyNumberFormat="1" applyFont="1" applyBorder="1"/>
    <xf numFmtId="168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165" fontId="0" fillId="0" borderId="4" xfId="1" applyNumberFormat="1" applyFont="1" applyBorder="1"/>
    <xf numFmtId="165" fontId="33" fillId="0" borderId="0" xfId="1" applyNumberFormat="1" applyFont="1"/>
    <xf numFmtId="165" fontId="0" fillId="0" borderId="5" xfId="1" applyNumberFormat="1" applyFont="1" applyBorder="1"/>
    <xf numFmtId="165" fontId="10" fillId="0" borderId="0" xfId="1" applyNumberFormat="1" applyFont="1" applyBorder="1" applyAlignment="1">
      <alignment horizontal="center" wrapText="1"/>
    </xf>
    <xf numFmtId="165" fontId="14" fillId="0" borderId="7" xfId="1" applyNumberFormat="1" applyFont="1" applyBorder="1" applyAlignment="1">
      <alignment horizontal="center" wrapText="1"/>
    </xf>
    <xf numFmtId="165" fontId="0" fillId="0" borderId="26" xfId="1" applyNumberFormat="1" applyFont="1" applyBorder="1"/>
    <xf numFmtId="165" fontId="9" fillId="0" borderId="7" xfId="1" applyNumberFormat="1" applyFont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20" sqref="A20"/>
    </sheetView>
  </sheetViews>
  <sheetFormatPr defaultRowHeight="15" x14ac:dyDescent="0.25"/>
  <cols>
    <col min="1" max="1" width="62" customWidth="1"/>
    <col min="2" max="2" width="66.140625" customWidth="1"/>
  </cols>
  <sheetData>
    <row r="1" spans="1:2" ht="21" thickBot="1" x14ac:dyDescent="0.3">
      <c r="A1" s="109" t="s">
        <v>77</v>
      </c>
      <c r="B1" s="110" t="s">
        <v>78</v>
      </c>
    </row>
    <row r="2" spans="1:2" ht="21" thickBot="1" x14ac:dyDescent="0.35">
      <c r="A2" s="111" t="s">
        <v>79</v>
      </c>
      <c r="B2" s="112" t="s">
        <v>80</v>
      </c>
    </row>
    <row r="3" spans="1:2" ht="41.25" thickBot="1" x14ac:dyDescent="0.35">
      <c r="A3" s="111" t="s">
        <v>81</v>
      </c>
      <c r="B3" s="112" t="s">
        <v>82</v>
      </c>
    </row>
    <row r="4" spans="1:2" ht="41.25" thickBot="1" x14ac:dyDescent="0.35">
      <c r="A4" s="111" t="s">
        <v>83</v>
      </c>
      <c r="B4" s="112" t="s">
        <v>84</v>
      </c>
    </row>
    <row r="5" spans="1:2" ht="21" thickBot="1" x14ac:dyDescent="0.35">
      <c r="A5" s="111" t="s">
        <v>85</v>
      </c>
      <c r="B5" s="110" t="s">
        <v>86</v>
      </c>
    </row>
    <row r="6" spans="1:2" ht="41.25" thickBot="1" x14ac:dyDescent="0.35">
      <c r="A6" s="111" t="s">
        <v>87</v>
      </c>
      <c r="B6" s="113" t="s">
        <v>88</v>
      </c>
    </row>
    <row r="7" spans="1:2" ht="21" thickBot="1" x14ac:dyDescent="0.35">
      <c r="A7" s="114" t="s">
        <v>89</v>
      </c>
      <c r="B7" s="115" t="s">
        <v>90</v>
      </c>
    </row>
    <row r="8" spans="1:2" ht="21" thickBot="1" x14ac:dyDescent="0.3">
      <c r="A8" s="109" t="s">
        <v>91</v>
      </c>
      <c r="B8" s="110" t="s">
        <v>92</v>
      </c>
    </row>
    <row r="9" spans="1:2" ht="24" thickBot="1" x14ac:dyDescent="0.3">
      <c r="A9" s="116" t="s">
        <v>93</v>
      </c>
      <c r="B9" s="117"/>
    </row>
    <row r="10" spans="1:2" ht="21" thickBot="1" x14ac:dyDescent="0.3">
      <c r="A10" s="116" t="s">
        <v>94</v>
      </c>
      <c r="B10" s="112" t="s">
        <v>95</v>
      </c>
    </row>
    <row r="11" spans="1:2" ht="21" thickBot="1" x14ac:dyDescent="0.3">
      <c r="A11" s="116" t="s">
        <v>96</v>
      </c>
      <c r="B11" s="112" t="s">
        <v>97</v>
      </c>
    </row>
    <row r="12" spans="1:2" ht="21" thickBot="1" x14ac:dyDescent="0.3">
      <c r="A12" s="116" t="s">
        <v>98</v>
      </c>
      <c r="B12" s="112" t="s">
        <v>99</v>
      </c>
    </row>
    <row r="13" spans="1:2" ht="21" thickBot="1" x14ac:dyDescent="0.3">
      <c r="A13" s="116" t="s">
        <v>100</v>
      </c>
      <c r="B13" s="112" t="s">
        <v>101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4" zoomScaleNormal="100" workbookViewId="0">
      <selection activeCell="F17" sqref="F17"/>
    </sheetView>
  </sheetViews>
  <sheetFormatPr defaultRowHeight="15" x14ac:dyDescent="0.25"/>
  <cols>
    <col min="1" max="1" width="3.28515625" style="8" customWidth="1"/>
    <col min="2" max="2" width="9.28515625" style="8" bestFit="1" customWidth="1"/>
    <col min="3" max="3" width="22.5703125" style="8" customWidth="1"/>
    <col min="4" max="4" width="25.140625" style="8" customWidth="1"/>
    <col min="5" max="5" width="20.85546875" style="8" customWidth="1"/>
    <col min="6" max="6" width="13.7109375" style="8" customWidth="1"/>
    <col min="7" max="7" width="10.7109375" style="8" bestFit="1" customWidth="1"/>
    <col min="8" max="9" width="12.7109375" style="8" bestFit="1" customWidth="1"/>
    <col min="10" max="10" width="13.7109375" style="8" customWidth="1"/>
    <col min="11" max="11" width="12.28515625" style="8" customWidth="1"/>
    <col min="12" max="12" width="10.7109375" style="8" customWidth="1"/>
    <col min="13" max="13" width="10.7109375" style="8" bestFit="1" customWidth="1"/>
    <col min="14" max="16384" width="9.140625" style="8"/>
  </cols>
  <sheetData>
    <row r="1" spans="1:12" ht="18.75" x14ac:dyDescent="0.4">
      <c r="A1" s="89" t="s">
        <v>105</v>
      </c>
      <c r="B1" s="7"/>
    </row>
    <row r="2" spans="1:12" ht="15.75" x14ac:dyDescent="0.25">
      <c r="B2" s="1" t="s">
        <v>106</v>
      </c>
    </row>
    <row r="3" spans="1:12" ht="15.75" x14ac:dyDescent="0.25">
      <c r="B3" s="1" t="s">
        <v>107</v>
      </c>
    </row>
    <row r="4" spans="1:12" ht="15.75" x14ac:dyDescent="0.25">
      <c r="B4" s="1" t="s">
        <v>108</v>
      </c>
    </row>
    <row r="5" spans="1:12" ht="15.75" x14ac:dyDescent="0.25">
      <c r="B5" s="1"/>
      <c r="C5" s="169">
        <v>2.0499999999999998</v>
      </c>
      <c r="D5" s="170">
        <v>1000000</v>
      </c>
      <c r="E5" s="3"/>
    </row>
    <row r="6" spans="1:12" ht="15.75" x14ac:dyDescent="0.25">
      <c r="B6" s="171" t="s">
        <v>109</v>
      </c>
      <c r="C6" s="2"/>
      <c r="D6" s="3"/>
      <c r="E6" s="3"/>
    </row>
    <row r="7" spans="1:12" x14ac:dyDescent="0.25">
      <c r="B7" s="9"/>
      <c r="C7" s="9"/>
      <c r="D7" s="9"/>
      <c r="E7" s="9"/>
      <c r="F7" s="172" t="s">
        <v>110</v>
      </c>
      <c r="G7" s="172"/>
      <c r="H7" s="172"/>
      <c r="I7" s="172"/>
      <c r="J7" s="173" t="s">
        <v>111</v>
      </c>
    </row>
    <row r="8" spans="1:12" x14ac:dyDescent="0.25">
      <c r="B8" s="10" t="s">
        <v>0</v>
      </c>
      <c r="C8" s="10" t="s">
        <v>112</v>
      </c>
      <c r="D8" s="10" t="s">
        <v>113</v>
      </c>
      <c r="E8" s="10"/>
      <c r="F8" s="11"/>
      <c r="G8" s="11" t="s">
        <v>114</v>
      </c>
      <c r="H8" s="11"/>
      <c r="I8" s="169" t="s">
        <v>1</v>
      </c>
      <c r="J8" s="14"/>
    </row>
    <row r="9" spans="1:12" x14ac:dyDescent="0.25">
      <c r="B9" s="12">
        <v>41654</v>
      </c>
      <c r="C9" s="13">
        <v>2.1</v>
      </c>
      <c r="D9" s="13"/>
      <c r="F9" s="174">
        <f>+C9-$C$5</f>
        <v>5.0000000000000266E-2</v>
      </c>
      <c r="G9" s="175">
        <f>+F9*$D$5</f>
        <v>50000.000000000269</v>
      </c>
      <c r="H9" s="13">
        <f>+C9-C5</f>
        <v>5.0000000000000266E-2</v>
      </c>
      <c r="I9" s="14">
        <f>+H9*D5</f>
        <v>50000.000000000269</v>
      </c>
      <c r="J9" s="14"/>
    </row>
    <row r="10" spans="1:12" x14ac:dyDescent="0.25">
      <c r="B10" s="12">
        <v>41670</v>
      </c>
      <c r="C10" s="13">
        <v>2</v>
      </c>
      <c r="D10" s="176">
        <v>1.2E-2</v>
      </c>
      <c r="E10" s="177">
        <f>+D10*D5</f>
        <v>12000</v>
      </c>
      <c r="F10" s="174">
        <f>+C10-$C$5</f>
        <v>-4.9999999999999822E-2</v>
      </c>
      <c r="G10" s="175">
        <f>+F10*$D$5</f>
        <v>-49999.999999999825</v>
      </c>
      <c r="H10" s="13">
        <f>+C10-C9</f>
        <v>-0.10000000000000009</v>
      </c>
      <c r="I10" s="14">
        <f>+H10*$D$5</f>
        <v>-100000.00000000009</v>
      </c>
      <c r="J10" s="14">
        <f>+I10+I9-E10</f>
        <v>-61999.999999999818</v>
      </c>
    </row>
    <row r="11" spans="1:12" x14ac:dyDescent="0.25">
      <c r="B11" s="12">
        <v>41685</v>
      </c>
      <c r="C11" s="13">
        <v>1.95</v>
      </c>
      <c r="D11" s="13"/>
      <c r="E11" s="178"/>
      <c r="F11" s="174">
        <f>+C11-$C$5</f>
        <v>-9.9999999999999867E-2</v>
      </c>
      <c r="G11" s="175">
        <f>+F11*$D$5</f>
        <v>-99999.999999999869</v>
      </c>
      <c r="H11" s="13">
        <f>+C11-C10</f>
        <v>-5.0000000000000044E-2</v>
      </c>
      <c r="I11" s="14">
        <f>+H11*$D$5</f>
        <v>-50000.000000000044</v>
      </c>
      <c r="J11" s="14"/>
    </row>
    <row r="12" spans="1:12" x14ac:dyDescent="0.25">
      <c r="B12" s="12">
        <v>41698</v>
      </c>
      <c r="C12" s="13">
        <v>1.9</v>
      </c>
      <c r="D12" s="13">
        <v>0</v>
      </c>
      <c r="E12" s="178"/>
      <c r="F12" s="174">
        <f>+C12-$C$5</f>
        <v>-0.14999999999999991</v>
      </c>
      <c r="G12" s="175">
        <f>+F12*$D$5</f>
        <v>-149999.99999999991</v>
      </c>
      <c r="H12" s="13">
        <f>+C12-C11</f>
        <v>-5.0000000000000044E-2</v>
      </c>
      <c r="I12" s="14">
        <f>+H12*$D$5</f>
        <v>-50000.000000000044</v>
      </c>
      <c r="J12" s="14">
        <f>+L19</f>
        <v>-88000.000000000087</v>
      </c>
    </row>
    <row r="14" spans="1:12" s="15" customFormat="1" ht="27.75" customHeight="1" x14ac:dyDescent="0.25">
      <c r="B14" s="16" t="s">
        <v>0</v>
      </c>
      <c r="C14" s="16" t="s">
        <v>2</v>
      </c>
      <c r="D14" s="17" t="s">
        <v>115</v>
      </c>
      <c r="E14" s="17" t="s">
        <v>116</v>
      </c>
      <c r="F14" s="17" t="s">
        <v>3</v>
      </c>
      <c r="H14" s="18" t="str">
        <f>+D16</f>
        <v>CAIXA</v>
      </c>
      <c r="I14" s="18"/>
      <c r="K14" s="179" t="str">
        <f>+E16</f>
        <v>IF - INSTRUMENTOS FINANCEIROS DERIVATIVOS</v>
      </c>
      <c r="L14" s="179"/>
    </row>
    <row r="15" spans="1:12" s="15" customFormat="1" x14ac:dyDescent="0.25">
      <c r="B15" s="16" t="s">
        <v>117</v>
      </c>
      <c r="C15" s="16" t="s">
        <v>118</v>
      </c>
      <c r="D15" s="17" t="s">
        <v>119</v>
      </c>
      <c r="E15" s="17" t="str">
        <f>+H14</f>
        <v>CAIXA</v>
      </c>
      <c r="F15" s="175">
        <v>20000</v>
      </c>
      <c r="H15" s="180"/>
      <c r="I15" s="181">
        <f>+F15</f>
        <v>20000</v>
      </c>
      <c r="J15" s="180"/>
      <c r="K15" s="180"/>
      <c r="L15" s="181"/>
    </row>
    <row r="16" spans="1:12" s="19" customFormat="1" ht="38.25" x14ac:dyDescent="0.25">
      <c r="B16" s="20">
        <f>+B9</f>
        <v>41654</v>
      </c>
      <c r="C16" s="182" t="s">
        <v>120</v>
      </c>
      <c r="D16" s="183" t="s">
        <v>4</v>
      </c>
      <c r="E16" s="183" t="s">
        <v>121</v>
      </c>
      <c r="F16" s="184">
        <f>+I9</f>
        <v>50000.000000000269</v>
      </c>
      <c r="H16" s="185">
        <f>+F16</f>
        <v>50000.000000000269</v>
      </c>
      <c r="I16" s="186">
        <f>+F17</f>
        <v>-100000.00000000009</v>
      </c>
      <c r="J16" s="187"/>
      <c r="K16" s="185">
        <f>+F17</f>
        <v>-100000.00000000009</v>
      </c>
      <c r="L16" s="186">
        <f>+F16</f>
        <v>50000.000000000269</v>
      </c>
    </row>
    <row r="17" spans="2:13" ht="36" customHeight="1" x14ac:dyDescent="0.25">
      <c r="B17" s="12">
        <f>+B10</f>
        <v>41670</v>
      </c>
      <c r="C17" s="182" t="str">
        <f>+C16</f>
        <v>Recebimento/ Pagamento ajuste financeiro</v>
      </c>
      <c r="D17" s="183" t="str">
        <f>+E16</f>
        <v>IF - INSTRUMENTOS FINANCEIROS DERIVATIVOS</v>
      </c>
      <c r="E17" s="183" t="str">
        <f>+D16</f>
        <v>CAIXA</v>
      </c>
      <c r="F17" s="175">
        <f>+I10</f>
        <v>-100000.00000000009</v>
      </c>
      <c r="H17" s="23">
        <f>+F15</f>
        <v>20000</v>
      </c>
      <c r="I17" s="188">
        <f>+F19</f>
        <v>-50000.000000000044</v>
      </c>
      <c r="J17" s="23"/>
      <c r="K17" s="23"/>
      <c r="L17" s="188">
        <f>+F18</f>
        <v>-61999.999999999818</v>
      </c>
      <c r="M17" s="21"/>
    </row>
    <row r="18" spans="2:13" ht="42" customHeight="1" thickBot="1" x14ac:dyDescent="0.3">
      <c r="B18" s="12">
        <f>+B17</f>
        <v>41670</v>
      </c>
      <c r="C18" s="182" t="s">
        <v>122</v>
      </c>
      <c r="D18" s="183" t="s">
        <v>5</v>
      </c>
      <c r="E18" s="183" t="str">
        <f>+D17</f>
        <v>IF - INSTRUMENTOS FINANCEIROS DERIVATIVOS</v>
      </c>
      <c r="F18" s="175">
        <f>+F17+F16-E10</f>
        <v>-61999.999999999818</v>
      </c>
      <c r="H18" s="23"/>
      <c r="I18" s="188">
        <f>+F20</f>
        <v>-50000.000000000044</v>
      </c>
      <c r="J18" s="23"/>
      <c r="K18" s="23">
        <f>+F19</f>
        <v>-50000.000000000044</v>
      </c>
      <c r="L18" s="188"/>
      <c r="M18" s="21">
        <f>-K16-K18-K19-L16+L17+L19</f>
        <v>0</v>
      </c>
    </row>
    <row r="19" spans="2:13" ht="25.5" customHeight="1" thickBot="1" x14ac:dyDescent="0.3">
      <c r="B19" s="12">
        <f>+B11</f>
        <v>41685</v>
      </c>
      <c r="C19" s="182" t="str">
        <f>+C16</f>
        <v>Recebimento/ Pagamento ajuste financeiro</v>
      </c>
      <c r="D19" s="183" t="str">
        <f>+D17</f>
        <v>IF - INSTRUMENTOS FINANCEIROS DERIVATIVOS</v>
      </c>
      <c r="E19" s="183" t="str">
        <f>+E17</f>
        <v>CAIXA</v>
      </c>
      <c r="F19" s="175">
        <f>+I11</f>
        <v>-50000.000000000044</v>
      </c>
      <c r="H19" s="23"/>
      <c r="I19" s="189">
        <f>+I16+I17+I18+H16</f>
        <v>-149999.99999999991</v>
      </c>
      <c r="J19" s="23"/>
      <c r="K19" s="23">
        <f>+F20</f>
        <v>-50000.000000000044</v>
      </c>
      <c r="L19" s="188">
        <f>+F21</f>
        <v>-88000.000000000087</v>
      </c>
    </row>
    <row r="20" spans="2:13" ht="34.5" customHeight="1" thickBot="1" x14ac:dyDescent="0.3">
      <c r="B20" s="12">
        <f>+B12</f>
        <v>41698</v>
      </c>
      <c r="C20" s="182" t="str">
        <f>+C19</f>
        <v>Recebimento/ Pagamento ajuste financeiro</v>
      </c>
      <c r="D20" s="183" t="str">
        <f>+D19</f>
        <v>IF - INSTRUMENTOS FINANCEIROS DERIVATIVOS</v>
      </c>
      <c r="E20" s="183" t="str">
        <f>+E19</f>
        <v>CAIXA</v>
      </c>
      <c r="F20" s="175">
        <f>+F19</f>
        <v>-50000.000000000044</v>
      </c>
      <c r="H20" s="190" t="str">
        <f>+D18</f>
        <v>GANHO/PERDA COM INSTRUMENTOS FINANCEIROS</v>
      </c>
      <c r="I20" s="190"/>
      <c r="J20" s="23"/>
      <c r="K20" s="191">
        <f>SUM(K16:K19)</f>
        <v>-200000.00000000017</v>
      </c>
      <c r="L20" s="191">
        <f>SUM(L16:L19)</f>
        <v>-99999.999999999636</v>
      </c>
    </row>
    <row r="21" spans="2:13" ht="36.75" customHeight="1" thickTop="1" x14ac:dyDescent="0.25">
      <c r="B21" s="12">
        <f>+B12</f>
        <v>41698</v>
      </c>
      <c r="C21" s="182" t="s">
        <v>123</v>
      </c>
      <c r="D21" s="183" t="str">
        <f>+D18</f>
        <v>GANHO/PERDA COM INSTRUMENTOS FINANCEIROS</v>
      </c>
      <c r="E21" s="183" t="str">
        <f>+E18</f>
        <v>IF - INSTRUMENTOS FINANCEIROS DERIVATIVOS</v>
      </c>
      <c r="F21" s="175">
        <f>+F20+F19+F17+F16-F18</f>
        <v>-88000.000000000087</v>
      </c>
      <c r="H21" s="192">
        <f>+F18</f>
        <v>-61999.999999999818</v>
      </c>
      <c r="I21" s="193"/>
      <c r="J21" s="23"/>
      <c r="K21" s="185"/>
      <c r="L21" s="185">
        <v>0</v>
      </c>
    </row>
    <row r="22" spans="2:13" ht="15.75" thickBot="1" x14ac:dyDescent="0.3">
      <c r="B22" s="12">
        <f>+B21</f>
        <v>41698</v>
      </c>
      <c r="C22" s="182" t="s">
        <v>124</v>
      </c>
      <c r="D22" s="194" t="str">
        <f>+E15</f>
        <v>CAIXA</v>
      </c>
      <c r="E22" s="194" t="str">
        <f>+D15</f>
        <v>OUTROS ATIVOS</v>
      </c>
      <c r="F22" s="175">
        <f>+F15</f>
        <v>20000</v>
      </c>
      <c r="H22" s="23">
        <f>+F21</f>
        <v>-88000.000000000087</v>
      </c>
      <c r="I22" s="188"/>
      <c r="J22" s="23"/>
      <c r="K22" s="28"/>
      <c r="L22" s="28"/>
    </row>
    <row r="23" spans="2:13" ht="15.75" thickBot="1" x14ac:dyDescent="0.3">
      <c r="H23" s="189">
        <f>+H21+H22</f>
        <v>-149999.99999999991</v>
      </c>
      <c r="I23" s="28"/>
      <c r="J23" s="23"/>
      <c r="K23" s="23"/>
      <c r="L23" s="23"/>
    </row>
    <row r="24" spans="2:13" x14ac:dyDescent="0.25">
      <c r="B24" s="6" t="s">
        <v>6</v>
      </c>
      <c r="H24" s="22"/>
      <c r="I24" s="22"/>
      <c r="J24" s="9"/>
      <c r="K24" s="22"/>
      <c r="L24" s="22"/>
    </row>
    <row r="25" spans="2:13" x14ac:dyDescent="0.25">
      <c r="B25" s="8" t="s">
        <v>7</v>
      </c>
      <c r="H25" s="9"/>
      <c r="I25" s="9"/>
      <c r="J25" s="9"/>
      <c r="K25" s="9"/>
      <c r="L25" s="9"/>
    </row>
    <row r="27" spans="2:13" x14ac:dyDescent="0.25">
      <c r="B27" s="6" t="s">
        <v>8</v>
      </c>
    </row>
    <row r="28" spans="2:13" x14ac:dyDescent="0.25">
      <c r="B28" s="8" t="s">
        <v>125</v>
      </c>
    </row>
    <row r="29" spans="2:13" x14ac:dyDescent="0.25">
      <c r="B29" s="8" t="s">
        <v>126</v>
      </c>
    </row>
  </sheetData>
  <mergeCells count="3">
    <mergeCell ref="F7:I7"/>
    <mergeCell ref="K14:L14"/>
    <mergeCell ref="H20:I20"/>
  </mergeCells>
  <pageMargins left="0.15748031496062992" right="7.874015748031496E-2" top="0.47244094488188981" bottom="0.43307086614173229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topLeftCell="A13" zoomScale="60" zoomScaleNormal="100" workbookViewId="0">
      <selection activeCell="I18" sqref="I18"/>
    </sheetView>
  </sheetViews>
  <sheetFormatPr defaultRowHeight="15" x14ac:dyDescent="0.25"/>
  <cols>
    <col min="1" max="1" width="3.28515625" style="8" customWidth="1"/>
    <col min="2" max="2" width="9.140625" style="8"/>
    <col min="3" max="3" width="22.5703125" style="8" customWidth="1"/>
    <col min="4" max="4" width="25.140625" style="8" customWidth="1"/>
    <col min="5" max="5" width="20.85546875" style="8" customWidth="1"/>
    <col min="6" max="6" width="13.7109375" style="8" customWidth="1"/>
    <col min="7" max="8" width="10.5703125" style="8" bestFit="1" customWidth="1"/>
    <col min="9" max="9" width="9.140625" style="8"/>
    <col min="10" max="10" width="8.5703125" style="8" customWidth="1"/>
    <col min="11" max="11" width="14.28515625" style="8" customWidth="1"/>
    <col min="12" max="12" width="14" style="8" customWidth="1"/>
    <col min="13" max="13" width="10.5703125" style="8" bestFit="1" customWidth="1"/>
    <col min="14" max="16384" width="9.140625" style="8"/>
  </cols>
  <sheetData>
    <row r="1" spans="1:10" ht="18.75" x14ac:dyDescent="0.4">
      <c r="A1" s="89" t="s">
        <v>69</v>
      </c>
      <c r="B1" s="7"/>
    </row>
    <row r="2" spans="1:10" ht="15.75" x14ac:dyDescent="0.25">
      <c r="B2" s="1" t="s">
        <v>13</v>
      </c>
      <c r="E2" s="23">
        <v>1000</v>
      </c>
    </row>
    <row r="3" spans="1:10" ht="15.75" x14ac:dyDescent="0.25">
      <c r="B3" s="1" t="s">
        <v>9</v>
      </c>
      <c r="D3" s="4">
        <v>41685</v>
      </c>
    </row>
    <row r="4" spans="1:10" ht="15.75" x14ac:dyDescent="0.25">
      <c r="B4" s="1" t="s">
        <v>10</v>
      </c>
      <c r="D4" s="4">
        <v>41729</v>
      </c>
    </row>
    <row r="5" spans="1:10" ht="15.75" x14ac:dyDescent="0.25">
      <c r="B5" s="1" t="s">
        <v>11</v>
      </c>
      <c r="D5" s="5">
        <v>2.4</v>
      </c>
    </row>
    <row r="6" spans="1:10" ht="15.75" x14ac:dyDescent="0.25">
      <c r="B6" s="1" t="s">
        <v>12</v>
      </c>
      <c r="D6" s="5">
        <v>0.2</v>
      </c>
    </row>
    <row r="7" spans="1:10" ht="15.75" x14ac:dyDescent="0.25">
      <c r="B7" s="1" t="s">
        <v>14</v>
      </c>
    </row>
    <row r="8" spans="1:10" ht="15.75" x14ac:dyDescent="0.25">
      <c r="B8" s="1"/>
    </row>
    <row r="9" spans="1:10" ht="15.75" x14ac:dyDescent="0.25">
      <c r="B9" s="171" t="s">
        <v>109</v>
      </c>
      <c r="C9" s="2"/>
      <c r="D9" s="3"/>
      <c r="E9" s="3"/>
    </row>
    <row r="10" spans="1:10" x14ac:dyDescent="0.25">
      <c r="B10" s="9"/>
      <c r="C10" s="9"/>
      <c r="D10" s="9"/>
      <c r="E10" s="9"/>
      <c r="F10" s="159"/>
      <c r="G10" s="159"/>
      <c r="H10" s="159"/>
      <c r="I10" s="159"/>
      <c r="J10" s="24"/>
    </row>
    <row r="11" spans="1:10" x14ac:dyDescent="0.25">
      <c r="B11" s="10" t="s">
        <v>0</v>
      </c>
      <c r="C11" s="10" t="s">
        <v>17</v>
      </c>
      <c r="D11" s="10" t="s">
        <v>18</v>
      </c>
      <c r="E11" s="25"/>
      <c r="F11" s="9"/>
      <c r="G11" s="9"/>
      <c r="H11" s="9"/>
      <c r="I11" s="2"/>
      <c r="J11" s="2"/>
    </row>
    <row r="12" spans="1:10" x14ac:dyDescent="0.25">
      <c r="B12" s="26">
        <v>41685</v>
      </c>
      <c r="C12" s="10" t="s">
        <v>15</v>
      </c>
      <c r="D12" s="97">
        <f>+E2*D6</f>
        <v>200</v>
      </c>
      <c r="E12" s="25"/>
      <c r="F12" s="9"/>
      <c r="G12" s="9"/>
      <c r="H12" s="9"/>
      <c r="I12" s="2"/>
      <c r="J12" s="2"/>
    </row>
    <row r="13" spans="1:10" ht="45" x14ac:dyDescent="0.25">
      <c r="B13" s="12">
        <v>41698</v>
      </c>
      <c r="C13" s="33" t="s">
        <v>24</v>
      </c>
      <c r="D13" s="14">
        <f>0.25*E2-D12</f>
        <v>50</v>
      </c>
      <c r="E13" s="9" t="s">
        <v>20</v>
      </c>
      <c r="F13" s="27"/>
      <c r="G13" s="28"/>
      <c r="H13" s="29"/>
      <c r="I13" s="30"/>
      <c r="J13" s="2"/>
    </row>
    <row r="14" spans="1:10" x14ac:dyDescent="0.25">
      <c r="B14" s="12">
        <v>41729</v>
      </c>
      <c r="C14" s="11" t="s">
        <v>16</v>
      </c>
      <c r="D14" s="14">
        <f>2.4*E2</f>
        <v>2400</v>
      </c>
    </row>
    <row r="15" spans="1:10" x14ac:dyDescent="0.25">
      <c r="B15" s="12">
        <f>+B14</f>
        <v>41729</v>
      </c>
      <c r="C15" s="11" t="s">
        <v>21</v>
      </c>
      <c r="D15" s="14">
        <f>2.7*E2</f>
        <v>2700</v>
      </c>
    </row>
    <row r="16" spans="1:10" x14ac:dyDescent="0.25">
      <c r="B16" s="12"/>
      <c r="C16" s="11"/>
      <c r="D16" s="13"/>
    </row>
    <row r="17" spans="2:13" s="15" customFormat="1" ht="35.25" customHeight="1" x14ac:dyDescent="0.25">
      <c r="B17" s="16" t="s">
        <v>0</v>
      </c>
      <c r="C17" s="16" t="s">
        <v>2</v>
      </c>
      <c r="D17" s="17" t="s">
        <v>53</v>
      </c>
      <c r="E17" s="17" t="s">
        <v>63</v>
      </c>
      <c r="F17" s="17" t="s">
        <v>3</v>
      </c>
      <c r="H17" s="18" t="str">
        <f>+E18</f>
        <v>CAIXA</v>
      </c>
      <c r="I17" s="18"/>
      <c r="K17" s="160" t="str">
        <f>+D18</f>
        <v>IF - INSTRUMENTOS FINANCEIROS-DERIVATIVOS</v>
      </c>
      <c r="L17" s="160"/>
    </row>
    <row r="18" spans="2:13" s="19" customFormat="1" ht="25.5" x14ac:dyDescent="0.25">
      <c r="B18" s="20">
        <f>+B12</f>
        <v>41685</v>
      </c>
      <c r="C18" s="182" t="str">
        <f>+C12</f>
        <v>Pagamento de Prêmio</v>
      </c>
      <c r="D18" s="183" t="s">
        <v>61</v>
      </c>
      <c r="E18" s="183" t="s">
        <v>4</v>
      </c>
      <c r="F18" s="184">
        <f>+D12</f>
        <v>200</v>
      </c>
      <c r="H18" s="195"/>
      <c r="I18" s="196">
        <f>+F18</f>
        <v>200</v>
      </c>
      <c r="K18" s="195">
        <f>+F18</f>
        <v>200</v>
      </c>
      <c r="L18" s="196" t="str">
        <f>+K24</f>
        <v xml:space="preserve"> OU 2.700</v>
      </c>
    </row>
    <row r="19" spans="2:13" ht="36" customHeight="1" x14ac:dyDescent="0.25">
      <c r="B19" s="12">
        <f>+B13</f>
        <v>41698</v>
      </c>
      <c r="C19" s="197" t="str">
        <f>+C13</f>
        <v xml:space="preserve">Ajuste Contábil (vr.justo/marcação a mercado) </v>
      </c>
      <c r="D19" s="183" t="str">
        <f>+D18</f>
        <v>IF - INSTRUMENTOS FINANCEIROS-DERIVATIVOS</v>
      </c>
      <c r="E19" s="183" t="str">
        <f>+H22</f>
        <v>GANHO/PERDA COM INSTRUMENTOS FINANCEIROS</v>
      </c>
      <c r="F19" s="175">
        <f>+D13</f>
        <v>50</v>
      </c>
      <c r="H19" s="198" t="s">
        <v>23</v>
      </c>
      <c r="I19" s="199">
        <f>+D14</f>
        <v>2400</v>
      </c>
      <c r="J19" s="21"/>
      <c r="K19" s="198">
        <f>+F19</f>
        <v>50</v>
      </c>
      <c r="L19" s="200"/>
      <c r="M19" s="21"/>
    </row>
    <row r="20" spans="2:13" ht="33" customHeight="1" thickBot="1" x14ac:dyDescent="0.3">
      <c r="B20" s="12">
        <f>+B14</f>
        <v>41729</v>
      </c>
      <c r="C20" s="182" t="s">
        <v>19</v>
      </c>
      <c r="D20" s="183" t="str">
        <f>+K17</f>
        <v>IF - INSTRUMENTOS FINANCEIROS-DERIVATIVOS</v>
      </c>
      <c r="E20" s="183" t="str">
        <f>+H17</f>
        <v>CAIXA</v>
      </c>
      <c r="F20" s="175">
        <f>+I19</f>
        <v>2400</v>
      </c>
      <c r="I20" s="199"/>
      <c r="K20" s="198">
        <f>+I19</f>
        <v>2400</v>
      </c>
      <c r="L20" s="201"/>
      <c r="M20" s="21"/>
    </row>
    <row r="21" spans="2:13" ht="39.75" customHeight="1" thickBot="1" x14ac:dyDescent="0.3">
      <c r="B21" s="12">
        <f>+B20</f>
        <v>41729</v>
      </c>
      <c r="C21" s="197" t="str">
        <f>+C19</f>
        <v xml:space="preserve">Ajuste Contábil (vr.justo/marcação a mercado) </v>
      </c>
      <c r="D21" s="183" t="str">
        <f>+D19</f>
        <v>IF - INSTRUMENTOS FINANCEIROS-DERIVATIVOS</v>
      </c>
      <c r="E21" s="183" t="str">
        <f>+H22</f>
        <v>GANHO/PERDA COM INSTRUMENTOS FINANCEIROS</v>
      </c>
      <c r="F21" s="175">
        <v>50</v>
      </c>
      <c r="H21" s="202">
        <f>+I25</f>
        <v>100</v>
      </c>
      <c r="I21" s="203"/>
      <c r="K21" s="198">
        <f>+I24</f>
        <v>50</v>
      </c>
      <c r="L21" s="200"/>
    </row>
    <row r="22" spans="2:13" ht="39.75" customHeight="1" thickBot="1" x14ac:dyDescent="0.3">
      <c r="B22" s="12">
        <f>+B21</f>
        <v>41729</v>
      </c>
      <c r="C22" s="182" t="s">
        <v>22</v>
      </c>
      <c r="D22" s="183" t="str">
        <f>+K23</f>
        <v>IF - INSTRUMENTOs FINANCEIROS - AÇÕES</v>
      </c>
      <c r="E22" s="183" t="str">
        <f>+D21</f>
        <v>IF - INSTRUMENTOS FINANCEIROS-DERIVATIVOS</v>
      </c>
      <c r="F22" s="175" t="str">
        <f>+F23</f>
        <v xml:space="preserve"> OU 2.700</v>
      </c>
      <c r="H22" s="161" t="s">
        <v>5</v>
      </c>
      <c r="I22" s="161"/>
      <c r="K22" s="204">
        <f>SUM(K18:K21)</f>
        <v>2700</v>
      </c>
      <c r="L22" s="204">
        <f>SUM(L18:L21)</f>
        <v>0</v>
      </c>
    </row>
    <row r="23" spans="2:13" ht="41.25" customHeight="1" thickTop="1" x14ac:dyDescent="0.25">
      <c r="B23" s="12">
        <f>+B22</f>
        <v>41729</v>
      </c>
      <c r="C23" s="182" t="s">
        <v>127</v>
      </c>
      <c r="D23" s="183" t="str">
        <f>+H17</f>
        <v>CAIXA</v>
      </c>
      <c r="E23" s="183" t="str">
        <f>+K17</f>
        <v>IF - INSTRUMENTOS FINANCEIROS-DERIVATIVOS</v>
      </c>
      <c r="F23" s="13" t="str">
        <f>+L18</f>
        <v xml:space="preserve"> OU 2.700</v>
      </c>
      <c r="H23" s="205"/>
      <c r="I23" s="206">
        <f>+F19</f>
        <v>50</v>
      </c>
      <c r="K23" s="160" t="s">
        <v>62</v>
      </c>
      <c r="L23" s="160"/>
    </row>
    <row r="24" spans="2:13" ht="15.75" customHeight="1" thickBot="1" x14ac:dyDescent="0.3">
      <c r="B24" s="12"/>
      <c r="C24" s="182"/>
      <c r="D24" s="194"/>
      <c r="E24" s="194"/>
      <c r="F24" s="207"/>
      <c r="H24" s="21"/>
      <c r="I24" s="199">
        <f>+F21</f>
        <v>50</v>
      </c>
      <c r="K24" s="208" t="s">
        <v>23</v>
      </c>
      <c r="L24" s="209"/>
    </row>
    <row r="25" spans="2:13" ht="15.75" thickBot="1" x14ac:dyDescent="0.3">
      <c r="H25" s="210"/>
      <c r="I25" s="211">
        <f>+I23+I24</f>
        <v>100</v>
      </c>
    </row>
    <row r="26" spans="2:13" x14ac:dyDescent="0.25">
      <c r="B26" s="8" t="s">
        <v>60</v>
      </c>
      <c r="H26" s="31"/>
      <c r="I26" s="32"/>
      <c r="L26" s="9"/>
    </row>
    <row r="27" spans="2:13" x14ac:dyDescent="0.25">
      <c r="H27" s="31"/>
      <c r="I27" s="32"/>
      <c r="L27" s="9"/>
    </row>
    <row r="28" spans="2:13" x14ac:dyDescent="0.25">
      <c r="B28" s="6" t="s">
        <v>6</v>
      </c>
      <c r="H28" s="22"/>
      <c r="I28" s="22"/>
      <c r="J28" s="9"/>
      <c r="K28" s="22"/>
      <c r="L28" s="22"/>
    </row>
    <row r="29" spans="2:13" x14ac:dyDescent="0.25">
      <c r="B29" s="8" t="s">
        <v>7</v>
      </c>
      <c r="H29" s="9"/>
      <c r="I29" s="9"/>
      <c r="J29" s="9"/>
      <c r="K29" s="9"/>
      <c r="L29" s="9"/>
    </row>
    <row r="31" spans="2:13" x14ac:dyDescent="0.25">
      <c r="B31" s="6" t="s">
        <v>8</v>
      </c>
    </row>
    <row r="32" spans="2:13" x14ac:dyDescent="0.25">
      <c r="B32" s="8" t="s">
        <v>66</v>
      </c>
    </row>
    <row r="33" spans="2:2" x14ac:dyDescent="0.25">
      <c r="B33" s="8" t="s">
        <v>64</v>
      </c>
    </row>
  </sheetData>
  <mergeCells count="4">
    <mergeCell ref="F10:I10"/>
    <mergeCell ref="K17:L17"/>
    <mergeCell ref="H22:I22"/>
    <mergeCell ref="K23:L23"/>
  </mergeCells>
  <pageMargins left="0.13" right="0.01" top="0.46" bottom="0.4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zoomScaleNormal="100" workbookViewId="0">
      <selection activeCell="I18" sqref="I18"/>
    </sheetView>
  </sheetViews>
  <sheetFormatPr defaultRowHeight="15" x14ac:dyDescent="0.25"/>
  <cols>
    <col min="1" max="1" width="15.85546875" customWidth="1"/>
    <col min="2" max="2" width="17.42578125" bestFit="1" customWidth="1"/>
    <col min="3" max="3" width="12.85546875" customWidth="1"/>
    <col min="4" max="4" width="11.5703125" customWidth="1"/>
    <col min="5" max="5" width="12.28515625" customWidth="1"/>
    <col min="6" max="6" width="12" customWidth="1"/>
    <col min="7" max="7" width="14.7109375" style="35" bestFit="1" customWidth="1"/>
    <col min="8" max="8" width="10.5703125" customWidth="1"/>
    <col min="9" max="9" width="15.5703125" bestFit="1" customWidth="1"/>
    <col min="10" max="10" width="11.42578125" style="36" customWidth="1"/>
    <col min="11" max="11" width="16.42578125" style="37" customWidth="1"/>
    <col min="12" max="12" width="15.42578125" style="37" bestFit="1" customWidth="1"/>
    <col min="13" max="13" width="2.42578125" customWidth="1"/>
    <col min="14" max="14" width="15.5703125" bestFit="1" customWidth="1"/>
  </cols>
  <sheetData>
    <row r="1" spans="1:14" ht="15.75" x14ac:dyDescent="0.3">
      <c r="A1" s="89" t="s">
        <v>70</v>
      </c>
    </row>
    <row r="2" spans="1:14" x14ac:dyDescent="0.25">
      <c r="A2" s="6" t="s">
        <v>68</v>
      </c>
    </row>
    <row r="3" spans="1:14" x14ac:dyDescent="0.25">
      <c r="A3" s="6" t="s">
        <v>67</v>
      </c>
    </row>
    <row r="4" spans="1:14" x14ac:dyDescent="0.25">
      <c r="A4" s="34"/>
    </row>
    <row r="5" spans="1:14" x14ac:dyDescent="0.25">
      <c r="A5" t="s">
        <v>0</v>
      </c>
      <c r="B5" s="85">
        <v>38718</v>
      </c>
    </row>
    <row r="6" spans="1:14" hidden="1" x14ac:dyDescent="0.25">
      <c r="A6" t="s">
        <v>25</v>
      </c>
      <c r="B6" s="38" t="s">
        <v>26</v>
      </c>
    </row>
    <row r="7" spans="1:14" hidden="1" x14ac:dyDescent="0.25">
      <c r="A7" t="s">
        <v>27</v>
      </c>
      <c r="B7" s="38" t="s">
        <v>28</v>
      </c>
    </row>
    <row r="8" spans="1:14" x14ac:dyDescent="0.25">
      <c r="A8" t="s">
        <v>29</v>
      </c>
      <c r="B8" s="38">
        <v>2</v>
      </c>
      <c r="C8" t="s">
        <v>30</v>
      </c>
    </row>
    <row r="9" spans="1:14" x14ac:dyDescent="0.25">
      <c r="A9" t="s">
        <v>31</v>
      </c>
      <c r="B9" s="86">
        <v>100000000</v>
      </c>
    </row>
    <row r="10" spans="1:14" x14ac:dyDescent="0.25">
      <c r="A10" t="s">
        <v>32</v>
      </c>
      <c r="B10" s="38"/>
    </row>
    <row r="11" spans="1:14" x14ac:dyDescent="0.25">
      <c r="A11" t="s">
        <v>33</v>
      </c>
      <c r="B11" s="87">
        <v>0.16500000000000001</v>
      </c>
      <c r="C11" t="s">
        <v>34</v>
      </c>
    </row>
    <row r="12" spans="1:14" ht="15.75" thickBot="1" x14ac:dyDescent="0.3">
      <c r="A12" t="s">
        <v>35</v>
      </c>
      <c r="B12" s="38" t="s">
        <v>36</v>
      </c>
    </row>
    <row r="13" spans="1:14" s="42" customFormat="1" ht="30" x14ac:dyDescent="0.25">
      <c r="A13" s="129"/>
      <c r="B13" s="130"/>
      <c r="C13" s="130"/>
      <c r="D13" s="81">
        <v>5.0000000000000001E-3</v>
      </c>
      <c r="E13" s="162" t="s">
        <v>37</v>
      </c>
      <c r="F13" s="163"/>
      <c r="G13" s="164"/>
      <c r="H13" s="165" t="s">
        <v>38</v>
      </c>
      <c r="I13" s="166"/>
      <c r="J13" s="166"/>
      <c r="K13" s="40" t="s">
        <v>39</v>
      </c>
      <c r="L13" s="41" t="s">
        <v>40</v>
      </c>
      <c r="N13" s="44"/>
    </row>
    <row r="14" spans="1:14" s="42" customFormat="1" ht="30" x14ac:dyDescent="0.2">
      <c r="A14" s="43" t="s">
        <v>1</v>
      </c>
      <c r="B14" s="44"/>
      <c r="C14" s="44" t="s">
        <v>41</v>
      </c>
      <c r="D14" s="45" t="s">
        <v>42</v>
      </c>
      <c r="E14" s="43" t="s">
        <v>42</v>
      </c>
      <c r="F14" s="44" t="s">
        <v>43</v>
      </c>
      <c r="G14" s="46" t="s">
        <v>44</v>
      </c>
      <c r="H14" s="43"/>
      <c r="I14" s="93" t="s">
        <v>74</v>
      </c>
      <c r="J14" s="47"/>
      <c r="K14" s="48" t="s">
        <v>45</v>
      </c>
      <c r="L14" s="49" t="s">
        <v>46</v>
      </c>
      <c r="N14" s="94" t="s">
        <v>73</v>
      </c>
    </row>
    <row r="15" spans="1:14" s="42" customFormat="1" ht="30" x14ac:dyDescent="0.25">
      <c r="A15" s="43"/>
      <c r="B15" s="44"/>
      <c r="C15" s="44"/>
      <c r="D15" s="45" t="str">
        <f>+B12</f>
        <v>CDI+0,5%</v>
      </c>
      <c r="E15" s="43" t="str">
        <f>+D15</f>
        <v>CDI+0,5%</v>
      </c>
      <c r="F15" s="50">
        <f>+B11</f>
        <v>0.16500000000000001</v>
      </c>
      <c r="G15" s="46"/>
      <c r="H15" s="43"/>
      <c r="I15" s="44"/>
      <c r="J15" s="47" t="s">
        <v>47</v>
      </c>
      <c r="K15" s="51"/>
      <c r="L15" s="49"/>
      <c r="N15" s="44" t="s">
        <v>75</v>
      </c>
    </row>
    <row r="16" spans="1:14" x14ac:dyDescent="0.25">
      <c r="A16" s="52"/>
      <c r="B16" s="53"/>
      <c r="C16" s="53"/>
      <c r="D16" s="82"/>
      <c r="E16" s="54"/>
      <c r="F16" s="53"/>
      <c r="G16" s="55"/>
      <c r="H16" s="82"/>
      <c r="I16" s="82"/>
      <c r="J16" s="83"/>
      <c r="K16" s="56"/>
      <c r="L16" s="57"/>
      <c r="N16" s="53"/>
    </row>
    <row r="17" spans="1:15" x14ac:dyDescent="0.25">
      <c r="A17" s="52" t="s">
        <v>48</v>
      </c>
      <c r="B17" s="53">
        <v>2006</v>
      </c>
      <c r="C17" s="58">
        <v>0.16</v>
      </c>
      <c r="D17" s="39">
        <f t="shared" ref="D17:D24" si="0">+C17+$D$13</f>
        <v>0.16500000000000001</v>
      </c>
      <c r="E17" s="59">
        <f>+(1+D17)^(3/12)-1</f>
        <v>3.8918503659524317E-2</v>
      </c>
      <c r="F17" s="60">
        <f t="shared" ref="F17:F24" si="1">+(1+$F$15)^(3/12)-1</f>
        <v>3.8918503659524317E-2</v>
      </c>
      <c r="G17" s="55">
        <f>+F17-E17</f>
        <v>0</v>
      </c>
      <c r="H17" s="61">
        <v>38718</v>
      </c>
      <c r="I17" s="102">
        <f t="shared" ref="I17:I24" si="2">+G17*$B$9</f>
        <v>0</v>
      </c>
      <c r="J17" s="62">
        <v>8</v>
      </c>
      <c r="K17" s="100">
        <v>0</v>
      </c>
      <c r="L17" s="101">
        <v>0</v>
      </c>
      <c r="M17" s="36"/>
      <c r="N17" s="102"/>
    </row>
    <row r="18" spans="1:15" x14ac:dyDescent="0.25">
      <c r="A18" s="52" t="s">
        <v>49</v>
      </c>
      <c r="B18" s="53">
        <f>+B17</f>
        <v>2006</v>
      </c>
      <c r="C18" s="58">
        <v>0.161</v>
      </c>
      <c r="D18" s="39">
        <f t="shared" si="0"/>
        <v>0.16600000000000001</v>
      </c>
      <c r="E18" s="59">
        <f t="shared" ref="E18:E24" si="3">+(1+D18)^(3/12)-1</f>
        <v>3.9141375817288493E-2</v>
      </c>
      <c r="F18" s="60">
        <f t="shared" si="1"/>
        <v>3.8918503659524317E-2</v>
      </c>
      <c r="G18" s="55">
        <f t="shared" ref="G18:G24" si="4">+F18-E18</f>
        <v>-2.2287215776417568E-4</v>
      </c>
      <c r="H18" s="61">
        <f>+H17+89</f>
        <v>38807</v>
      </c>
      <c r="I18" s="102">
        <f t="shared" si="2"/>
        <v>-22287.215776417568</v>
      </c>
      <c r="J18" s="62">
        <f>+J17-1</f>
        <v>7</v>
      </c>
      <c r="K18" s="100">
        <f t="shared" ref="K18:K24" si="5">-PV(E18,J18,I18)</f>
        <v>-134194.57510815826</v>
      </c>
      <c r="L18" s="101">
        <f t="shared" ref="L18:L24" si="6">+K18-K17</f>
        <v>-134194.57510815826</v>
      </c>
      <c r="M18" s="36"/>
      <c r="N18" s="102">
        <f>+I18+L18</f>
        <v>-156481.79088457584</v>
      </c>
    </row>
    <row r="19" spans="1:15" x14ac:dyDescent="0.25">
      <c r="A19" s="52" t="s">
        <v>50</v>
      </c>
      <c r="B19" s="53">
        <f t="shared" ref="B19:B24" si="7">+B18</f>
        <v>2006</v>
      </c>
      <c r="C19" s="58">
        <v>0.16300000000000001</v>
      </c>
      <c r="D19" s="39">
        <f t="shared" si="0"/>
        <v>0.16800000000000001</v>
      </c>
      <c r="E19" s="59">
        <f t="shared" si="3"/>
        <v>3.9586690415235992E-2</v>
      </c>
      <c r="F19" s="60">
        <f t="shared" si="1"/>
        <v>3.8918503659524317E-2</v>
      </c>
      <c r="G19" s="55">
        <f t="shared" si="4"/>
        <v>-6.6818675571167496E-4</v>
      </c>
      <c r="H19" s="61">
        <f>+H18+91</f>
        <v>38898</v>
      </c>
      <c r="I19" s="102">
        <f t="shared" si="2"/>
        <v>-66818.675571167492</v>
      </c>
      <c r="J19" s="62">
        <f t="shared" ref="J19:J24" si="8">+J18-1</f>
        <v>6</v>
      </c>
      <c r="K19" s="100">
        <f t="shared" si="5"/>
        <v>-350744.43491122237</v>
      </c>
      <c r="L19" s="101">
        <f t="shared" si="6"/>
        <v>-216549.85980306412</v>
      </c>
      <c r="M19" s="36"/>
      <c r="N19" s="102">
        <f t="shared" ref="N19:N24" si="9">+I19+L19</f>
        <v>-283368.53537423164</v>
      </c>
    </row>
    <row r="20" spans="1:15" x14ac:dyDescent="0.25">
      <c r="A20" s="52" t="s">
        <v>51</v>
      </c>
      <c r="B20" s="53">
        <f t="shared" si="7"/>
        <v>2006</v>
      </c>
      <c r="C20" s="58">
        <v>0.16400000000000001</v>
      </c>
      <c r="D20" s="39">
        <f t="shared" si="0"/>
        <v>0.16900000000000001</v>
      </c>
      <c r="E20" s="59">
        <f t="shared" si="3"/>
        <v>3.9809133284585352E-2</v>
      </c>
      <c r="F20" s="60">
        <f t="shared" si="1"/>
        <v>3.8918503659524317E-2</v>
      </c>
      <c r="G20" s="55">
        <f t="shared" si="4"/>
        <v>-8.906296250610346E-4</v>
      </c>
      <c r="H20" s="61">
        <f>+H19+92</f>
        <v>38990</v>
      </c>
      <c r="I20" s="102">
        <f t="shared" si="2"/>
        <v>-89062.96250610346</v>
      </c>
      <c r="J20" s="62">
        <f t="shared" si="8"/>
        <v>5</v>
      </c>
      <c r="K20" s="100">
        <f t="shared" si="5"/>
        <v>-396705.17077317857</v>
      </c>
      <c r="L20" s="101">
        <f t="shared" si="6"/>
        <v>-45960.7358619562</v>
      </c>
      <c r="M20" s="36"/>
      <c r="N20" s="102">
        <f t="shared" si="9"/>
        <v>-135023.69836805965</v>
      </c>
    </row>
    <row r="21" spans="1:15" x14ac:dyDescent="0.25">
      <c r="A21" s="52" t="s">
        <v>48</v>
      </c>
      <c r="B21" s="53">
        <v>2007</v>
      </c>
      <c r="C21" s="58">
        <v>0.16300000000000001</v>
      </c>
      <c r="D21" s="39">
        <f t="shared" si="0"/>
        <v>0.16800000000000001</v>
      </c>
      <c r="E21" s="59">
        <f t="shared" si="3"/>
        <v>3.9586690415235992E-2</v>
      </c>
      <c r="F21" s="60">
        <f t="shared" si="1"/>
        <v>3.8918503659524317E-2</v>
      </c>
      <c r="G21" s="55">
        <f t="shared" si="4"/>
        <v>-6.6818675571167496E-4</v>
      </c>
      <c r="H21" s="61">
        <f>+H20+91</f>
        <v>39081</v>
      </c>
      <c r="I21" s="102">
        <f t="shared" si="2"/>
        <v>-66818.675571167492</v>
      </c>
      <c r="J21" s="62">
        <f t="shared" si="8"/>
        <v>4</v>
      </c>
      <c r="K21" s="100">
        <f t="shared" si="5"/>
        <v>-242781.22999326058</v>
      </c>
      <c r="L21" s="101">
        <f t="shared" si="6"/>
        <v>153923.94077991799</v>
      </c>
      <c r="M21" s="36"/>
      <c r="N21" s="102">
        <f t="shared" si="9"/>
        <v>87105.265208750498</v>
      </c>
    </row>
    <row r="22" spans="1:15" x14ac:dyDescent="0.25">
      <c r="A22" s="52" t="s">
        <v>49</v>
      </c>
      <c r="B22" s="53">
        <f t="shared" si="7"/>
        <v>2007</v>
      </c>
      <c r="C22" s="58">
        <v>0.16450000000000001</v>
      </c>
      <c r="D22" s="39">
        <f t="shared" si="0"/>
        <v>0.16950000000000001</v>
      </c>
      <c r="E22" s="59">
        <f t="shared" si="3"/>
        <v>3.992030120548562E-2</v>
      </c>
      <c r="F22" s="60">
        <f t="shared" si="1"/>
        <v>3.8918503659524317E-2</v>
      </c>
      <c r="G22" s="55">
        <f t="shared" si="4"/>
        <v>-1.0017975459613027E-3</v>
      </c>
      <c r="H22" s="61">
        <f>+H21+91</f>
        <v>39172</v>
      </c>
      <c r="I22" s="102">
        <f t="shared" si="2"/>
        <v>-100179.75459613027</v>
      </c>
      <c r="J22" s="62">
        <f t="shared" si="8"/>
        <v>3</v>
      </c>
      <c r="K22" s="100">
        <f t="shared" si="5"/>
        <v>-278049.99653077952</v>
      </c>
      <c r="L22" s="101">
        <f t="shared" si="6"/>
        <v>-35268.766537518939</v>
      </c>
      <c r="M22" s="36"/>
      <c r="N22" s="102">
        <f t="shared" si="9"/>
        <v>-135448.52113364922</v>
      </c>
    </row>
    <row r="23" spans="1:15" ht="15.75" thickBot="1" x14ac:dyDescent="0.3">
      <c r="A23" s="52" t="s">
        <v>50</v>
      </c>
      <c r="B23" s="53">
        <f t="shared" si="7"/>
        <v>2007</v>
      </c>
      <c r="C23" s="58">
        <v>0.16500000000000001</v>
      </c>
      <c r="D23" s="39">
        <f t="shared" si="0"/>
        <v>0.17</v>
      </c>
      <c r="E23" s="59">
        <f t="shared" si="3"/>
        <v>4.0031433486121593E-2</v>
      </c>
      <c r="F23" s="60">
        <f t="shared" si="1"/>
        <v>3.8918503659524317E-2</v>
      </c>
      <c r="G23" s="55">
        <f t="shared" si="4"/>
        <v>-1.1129298265972754E-3</v>
      </c>
      <c r="H23" s="61">
        <f>+H22+91</f>
        <v>39263</v>
      </c>
      <c r="I23" s="102">
        <f t="shared" si="2"/>
        <v>-111292.98265972754</v>
      </c>
      <c r="J23" s="62">
        <f t="shared" si="8"/>
        <v>2</v>
      </c>
      <c r="K23" s="103">
        <f t="shared" si="5"/>
        <v>-209899.64789138699</v>
      </c>
      <c r="L23" s="101">
        <f t="shared" si="6"/>
        <v>68150.348639392527</v>
      </c>
      <c r="M23" s="36"/>
      <c r="N23" s="102">
        <f t="shared" si="9"/>
        <v>-43142.634020335012</v>
      </c>
    </row>
    <row r="24" spans="1:15" ht="15.75" thickBot="1" x14ac:dyDescent="0.3">
      <c r="A24" s="52" t="s">
        <v>51</v>
      </c>
      <c r="B24" s="53">
        <f t="shared" si="7"/>
        <v>2007</v>
      </c>
      <c r="C24" s="58">
        <v>0.16600000000000001</v>
      </c>
      <c r="D24" s="39">
        <f t="shared" si="0"/>
        <v>0.17100000000000001</v>
      </c>
      <c r="E24" s="59">
        <f t="shared" si="3"/>
        <v>4.0253591233167851E-2</v>
      </c>
      <c r="F24" s="60">
        <f t="shared" si="1"/>
        <v>3.8918503659524317E-2</v>
      </c>
      <c r="G24" s="55">
        <f t="shared" si="4"/>
        <v>-1.3350875736435341E-3</v>
      </c>
      <c r="H24" s="61">
        <f>+H23+92</f>
        <v>39355</v>
      </c>
      <c r="I24" s="102">
        <f t="shared" si="2"/>
        <v>-133508.75736435343</v>
      </c>
      <c r="J24" s="62">
        <f t="shared" si="8"/>
        <v>1</v>
      </c>
      <c r="K24" s="104">
        <f t="shared" si="5"/>
        <v>-128342.51041237509</v>
      </c>
      <c r="L24" s="105">
        <f t="shared" si="6"/>
        <v>81557.137479011901</v>
      </c>
      <c r="M24" s="36"/>
      <c r="N24" s="102">
        <f t="shared" si="9"/>
        <v>-51951.619885341526</v>
      </c>
    </row>
    <row r="25" spans="1:15" ht="15.75" thickBot="1" x14ac:dyDescent="0.3">
      <c r="A25" s="63"/>
      <c r="B25" s="64"/>
      <c r="C25" s="65"/>
      <c r="D25" s="66"/>
      <c r="E25" s="67"/>
      <c r="F25" s="68"/>
      <c r="G25" s="69"/>
      <c r="H25" s="70">
        <f>+H24+92</f>
        <v>39447</v>
      </c>
      <c r="I25" s="106">
        <f>+K24</f>
        <v>-128342.51041237509</v>
      </c>
      <c r="J25" s="71">
        <v>0</v>
      </c>
      <c r="K25" s="72"/>
      <c r="L25" s="84"/>
      <c r="M25" s="73"/>
      <c r="N25" s="91"/>
    </row>
    <row r="26" spans="1:15" x14ac:dyDescent="0.25">
      <c r="I26" s="90"/>
      <c r="N26" s="90"/>
    </row>
    <row r="27" spans="1:15" x14ac:dyDescent="0.25">
      <c r="A27" s="34" t="s">
        <v>52</v>
      </c>
      <c r="I27" s="92">
        <f>SUM(I17:I26)</f>
        <v>-718311.53445744235</v>
      </c>
      <c r="N27" s="92">
        <f>SUM(N18:N26)</f>
        <v>-718311.53445744235</v>
      </c>
    </row>
    <row r="28" spans="1:15" x14ac:dyDescent="0.25">
      <c r="A28" s="74">
        <f>+H18</f>
        <v>38807</v>
      </c>
      <c r="B28" s="75" t="s">
        <v>53</v>
      </c>
      <c r="C28" s="75" t="s">
        <v>54</v>
      </c>
      <c r="D28" s="75" t="s">
        <v>55</v>
      </c>
      <c r="F28" s="76"/>
      <c r="G28" s="76"/>
      <c r="I28" s="76"/>
      <c r="J28" s="76"/>
      <c r="L28" s="77"/>
      <c r="N28" s="90"/>
    </row>
    <row r="29" spans="1:15" ht="39" x14ac:dyDescent="0.25">
      <c r="A29" s="78" t="s">
        <v>56</v>
      </c>
      <c r="B29" s="212" t="str">
        <f>+I30</f>
        <v>IF- INSTRUMENTOS FINANCEIROSS DERIVATIVOS</v>
      </c>
      <c r="C29" s="213" t="s">
        <v>57</v>
      </c>
      <c r="D29" s="102">
        <f>-I18</f>
        <v>22287.215776417568</v>
      </c>
      <c r="F29" s="36"/>
      <c r="G29" s="36"/>
      <c r="H29" s="36"/>
      <c r="I29" s="36"/>
      <c r="K29" s="36"/>
      <c r="L29" s="36"/>
      <c r="M29" s="36"/>
      <c r="N29" s="36"/>
      <c r="O29" s="36"/>
    </row>
    <row r="30" spans="1:15" ht="64.5" x14ac:dyDescent="0.25">
      <c r="A30" s="78" t="s">
        <v>58</v>
      </c>
      <c r="B30" s="213" t="str">
        <f>+N30</f>
        <v>GANHO/PERDA COM INSTRUMENTOS FINANCEIROS</v>
      </c>
      <c r="C30" s="212" t="str">
        <f>+I30</f>
        <v>IF- INSTRUMENTOS FINANCEIROSS DERIVATIVOS</v>
      </c>
      <c r="D30" s="102">
        <f>+N31</f>
        <v>156481.79088457584</v>
      </c>
      <c r="F30" s="98" t="s">
        <v>57</v>
      </c>
      <c r="G30" s="98"/>
      <c r="H30" s="99"/>
      <c r="I30" s="167" t="s">
        <v>71</v>
      </c>
      <c r="J30" s="167"/>
      <c r="K30" s="99" t="s">
        <v>76</v>
      </c>
      <c r="L30" s="36"/>
      <c r="M30" s="36"/>
      <c r="N30" s="167" t="s">
        <v>5</v>
      </c>
      <c r="O30" s="167"/>
    </row>
    <row r="31" spans="1:15" x14ac:dyDescent="0.25">
      <c r="A31" s="79">
        <f>+H19</f>
        <v>38898</v>
      </c>
      <c r="B31" s="213"/>
      <c r="C31" s="213"/>
      <c r="D31" s="36"/>
      <c r="F31" s="36"/>
      <c r="G31" s="214">
        <f>+D29</f>
        <v>22287.215776417568</v>
      </c>
      <c r="H31" s="36"/>
      <c r="I31" s="36">
        <f>+D29</f>
        <v>22287.215776417568</v>
      </c>
      <c r="J31" s="214">
        <f>-L18+I31</f>
        <v>156481.79088457584</v>
      </c>
      <c r="K31" s="215">
        <f>+J31-I31</f>
        <v>134194.57510815826</v>
      </c>
      <c r="L31" s="36"/>
      <c r="M31" s="36"/>
      <c r="N31" s="36">
        <f>+J31</f>
        <v>156481.79088457584</v>
      </c>
      <c r="O31" s="214"/>
    </row>
    <row r="32" spans="1:15" ht="39" x14ac:dyDescent="0.25">
      <c r="A32" s="78" t="s">
        <v>56</v>
      </c>
      <c r="B32" s="212" t="str">
        <f>+I30</f>
        <v>IF- INSTRUMENTOS FINANCEIROSS DERIVATIVOS</v>
      </c>
      <c r="C32" s="213" t="s">
        <v>57</v>
      </c>
      <c r="D32" s="102">
        <f>-+I19</f>
        <v>66818.675571167492</v>
      </c>
      <c r="F32" s="36"/>
      <c r="G32" s="216">
        <f>+D32</f>
        <v>66818.675571167492</v>
      </c>
      <c r="H32" s="36"/>
      <c r="I32" s="36">
        <f>+G32</f>
        <v>66818.675571167492</v>
      </c>
      <c r="J32" s="216">
        <f>-L19-I19</f>
        <v>283368.53537423164</v>
      </c>
      <c r="K32" s="215">
        <f>+J31+J32-I31-I32</f>
        <v>350744.43491122237</v>
      </c>
      <c r="L32" s="36"/>
      <c r="M32" s="36"/>
      <c r="N32" s="36">
        <f>+J32</f>
        <v>283368.53537423164</v>
      </c>
      <c r="O32" s="216"/>
    </row>
    <row r="33" spans="1:15" ht="64.5" x14ac:dyDescent="0.25">
      <c r="A33" s="78" t="str">
        <f>+A30</f>
        <v>Pela Marcação a Mercado do Derivativo</v>
      </c>
      <c r="B33" s="213" t="str">
        <f>+B30</f>
        <v>GANHO/PERDA COM INSTRUMENTOS FINANCEIROS</v>
      </c>
      <c r="C33" s="212" t="str">
        <f>+C30</f>
        <v>IF- INSTRUMENTOS FINANCEIROSS DERIVATIVOS</v>
      </c>
      <c r="D33" s="102">
        <f>+J32</f>
        <v>283368.53537423164</v>
      </c>
      <c r="F33" s="36"/>
      <c r="G33" s="216">
        <f>-I20</f>
        <v>89062.96250610346</v>
      </c>
      <c r="H33" s="36"/>
      <c r="I33" s="36">
        <f>+G33</f>
        <v>89062.96250610346</v>
      </c>
      <c r="J33" s="216">
        <f>-L20-I20</f>
        <v>135023.69836805965</v>
      </c>
      <c r="K33" s="215">
        <f>+J33+J32+J31-I31-I32-I33</f>
        <v>396705.17077317869</v>
      </c>
      <c r="L33" s="36"/>
      <c r="M33" s="36"/>
      <c r="N33" s="36">
        <f>+N20</f>
        <v>-135023.69836805965</v>
      </c>
      <c r="O33" s="216"/>
    </row>
    <row r="34" spans="1:15" ht="15.75" thickBot="1" x14ac:dyDescent="0.3">
      <c r="F34" s="36"/>
      <c r="G34" s="36" t="s">
        <v>72</v>
      </c>
      <c r="H34" s="36"/>
      <c r="I34" s="83"/>
      <c r="J34" s="83" t="s">
        <v>72</v>
      </c>
      <c r="K34" s="36">
        <v>0</v>
      </c>
      <c r="L34" s="36"/>
      <c r="M34" s="36"/>
      <c r="N34" s="36" t="s">
        <v>72</v>
      </c>
      <c r="O34" s="36"/>
    </row>
    <row r="35" spans="1:15" ht="29.25" customHeight="1" thickBot="1" x14ac:dyDescent="0.3">
      <c r="A35" t="s">
        <v>59</v>
      </c>
      <c r="F35" s="217"/>
      <c r="G35" s="218">
        <f>+I27</f>
        <v>-718311.53445744235</v>
      </c>
      <c r="H35" s="83"/>
      <c r="I35" s="219">
        <f>+G35</f>
        <v>-718311.53445744235</v>
      </c>
      <c r="J35" s="219">
        <f>+N35</f>
        <v>-718311.53445744235</v>
      </c>
      <c r="K35" s="83"/>
      <c r="L35" s="36"/>
      <c r="M35" s="36"/>
      <c r="N35" s="220">
        <f>+N27</f>
        <v>-718311.53445744235</v>
      </c>
      <c r="O35" s="83"/>
    </row>
    <row r="36" spans="1:15" x14ac:dyDescent="0.25">
      <c r="F36" s="83"/>
      <c r="G36" s="83"/>
      <c r="H36" s="83"/>
      <c r="I36" s="83"/>
      <c r="J36" s="83">
        <f>+J35-I35</f>
        <v>0</v>
      </c>
      <c r="K36" s="83"/>
      <c r="L36" s="83"/>
      <c r="M36" s="83"/>
      <c r="N36" s="83"/>
      <c r="O36" s="36"/>
    </row>
    <row r="37" spans="1:15" ht="32.25" customHeight="1" x14ac:dyDescent="0.25">
      <c r="A37" s="6" t="s">
        <v>6</v>
      </c>
      <c r="F37" s="83"/>
      <c r="G37" s="83"/>
      <c r="H37" s="83"/>
      <c r="I37" s="83"/>
      <c r="J37" s="83"/>
      <c r="K37" s="83"/>
      <c r="L37" s="83"/>
      <c r="M37" s="83"/>
      <c r="N37" s="83"/>
      <c r="O37" s="36"/>
    </row>
    <row r="38" spans="1:15" x14ac:dyDescent="0.25">
      <c r="A38" s="8" t="s">
        <v>7</v>
      </c>
      <c r="F38" s="80"/>
      <c r="G38" s="80"/>
      <c r="H38" s="80"/>
      <c r="I38" s="82"/>
      <c r="J38" s="83"/>
      <c r="K38" s="80"/>
      <c r="L38" s="80"/>
      <c r="M38" s="80"/>
      <c r="N38" s="82"/>
    </row>
    <row r="39" spans="1:15" x14ac:dyDescent="0.25">
      <c r="A39" s="8"/>
      <c r="F39" s="37"/>
      <c r="G39" s="37"/>
      <c r="H39" s="37"/>
      <c r="I39" s="37"/>
      <c r="M39" s="37"/>
    </row>
    <row r="40" spans="1:15" ht="30.75" customHeight="1" x14ac:dyDescent="0.25">
      <c r="A40" s="6" t="s">
        <v>8</v>
      </c>
      <c r="F40" s="168"/>
      <c r="G40" s="168"/>
      <c r="H40" s="37"/>
      <c r="I40" s="80"/>
      <c r="J40" s="83"/>
    </row>
    <row r="41" spans="1:15" ht="21" customHeight="1" x14ac:dyDescent="0.25">
      <c r="A41" s="8" t="s">
        <v>65</v>
      </c>
      <c r="F41" s="80"/>
      <c r="G41" s="80"/>
      <c r="H41" s="37"/>
      <c r="I41" s="88"/>
      <c r="J41" s="88"/>
    </row>
    <row r="42" spans="1:15" ht="15" customHeight="1" x14ac:dyDescent="0.25">
      <c r="A42" s="8" t="s">
        <v>64</v>
      </c>
      <c r="F42" s="80"/>
      <c r="G42" s="80"/>
      <c r="H42" s="37"/>
      <c r="I42" s="80"/>
      <c r="J42" s="83"/>
    </row>
    <row r="43" spans="1:15" x14ac:dyDescent="0.25">
      <c r="F43" s="80"/>
      <c r="G43" s="80"/>
      <c r="H43" s="37"/>
      <c r="I43" s="80"/>
      <c r="J43" s="83"/>
    </row>
    <row r="44" spans="1:15" x14ac:dyDescent="0.25">
      <c r="F44" s="37"/>
      <c r="G44" s="37"/>
      <c r="H44" s="37"/>
      <c r="I44" s="80"/>
      <c r="J44" s="83"/>
      <c r="M44" s="37"/>
    </row>
    <row r="45" spans="1:15" x14ac:dyDescent="0.25">
      <c r="F45" s="37"/>
      <c r="G45" s="37"/>
      <c r="H45" s="37"/>
      <c r="I45" s="37"/>
      <c r="M45" s="37"/>
    </row>
    <row r="46" spans="1:15" x14ac:dyDescent="0.25">
      <c r="F46" s="37"/>
      <c r="G46" s="37"/>
      <c r="H46" s="37"/>
      <c r="M46" s="37"/>
    </row>
    <row r="47" spans="1:15" ht="34.5" customHeight="1" x14ac:dyDescent="0.25">
      <c r="F47" s="37"/>
      <c r="G47" s="37"/>
      <c r="H47" s="37"/>
      <c r="M47" s="37"/>
    </row>
    <row r="48" spans="1:15" ht="15" customHeight="1" x14ac:dyDescent="0.25">
      <c r="F48" s="37"/>
      <c r="G48" s="37"/>
      <c r="H48" s="37"/>
      <c r="M48" s="37"/>
    </row>
    <row r="49" spans="6:13" x14ac:dyDescent="0.25">
      <c r="F49" s="37"/>
      <c r="G49" s="37"/>
      <c r="H49" s="37"/>
      <c r="M49" s="37"/>
    </row>
  </sheetData>
  <mergeCells count="5">
    <mergeCell ref="E13:G13"/>
    <mergeCell ref="H13:J13"/>
    <mergeCell ref="I30:J30"/>
    <mergeCell ref="N30:O30"/>
    <mergeCell ref="F40:G40"/>
  </mergeCells>
  <pageMargins left="0.27" right="0.16" top="0.21" bottom="0.26" header="0.16" footer="0.17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13" zoomScaleNormal="100" workbookViewId="0">
      <selection activeCell="A13" sqref="A1:XFD1048576"/>
    </sheetView>
  </sheetViews>
  <sheetFormatPr defaultRowHeight="15" x14ac:dyDescent="0.25"/>
  <cols>
    <col min="1" max="1" width="3.28515625" style="8" customWidth="1"/>
    <col min="2" max="2" width="9.140625" style="8"/>
    <col min="3" max="3" width="22.5703125" style="8" customWidth="1"/>
    <col min="4" max="4" width="25.140625" style="8" customWidth="1"/>
    <col min="5" max="5" width="20.85546875" style="8" customWidth="1"/>
    <col min="6" max="6" width="13.7109375" style="8" customWidth="1"/>
    <col min="7" max="8" width="10.5703125" style="8" bestFit="1" customWidth="1"/>
    <col min="9" max="9" width="9.140625" style="8"/>
    <col min="10" max="10" width="8.5703125" style="8" customWidth="1"/>
    <col min="11" max="11" width="14.28515625" style="8" customWidth="1"/>
    <col min="12" max="12" width="14" style="8" customWidth="1"/>
    <col min="13" max="13" width="10.5703125" style="8" bestFit="1" customWidth="1"/>
    <col min="14" max="16384" width="9.140625" style="8"/>
  </cols>
  <sheetData>
    <row r="1" spans="1:10" s="123" customFormat="1" ht="12.75" x14ac:dyDescent="0.25">
      <c r="A1" s="122" t="s">
        <v>103</v>
      </c>
    </row>
    <row r="2" spans="1:10" ht="18.75" x14ac:dyDescent="0.4">
      <c r="A2" s="89" t="s">
        <v>69</v>
      </c>
      <c r="B2" s="7"/>
    </row>
    <row r="3" spans="1:10" ht="15.75" x14ac:dyDescent="0.25">
      <c r="B3" s="1" t="s">
        <v>13</v>
      </c>
      <c r="E3" s="23">
        <v>1000</v>
      </c>
    </row>
    <row r="4" spans="1:10" ht="15.75" x14ac:dyDescent="0.25">
      <c r="B4" s="1" t="s">
        <v>9</v>
      </c>
      <c r="D4" s="4">
        <v>41685</v>
      </c>
    </row>
    <row r="5" spans="1:10" ht="15.75" x14ac:dyDescent="0.25">
      <c r="B5" s="1" t="s">
        <v>10</v>
      </c>
      <c r="D5" s="4">
        <v>41729</v>
      </c>
    </row>
    <row r="6" spans="1:10" ht="15.75" x14ac:dyDescent="0.25">
      <c r="B6" s="1" t="s">
        <v>11</v>
      </c>
      <c r="D6" s="5">
        <v>2.4</v>
      </c>
    </row>
    <row r="7" spans="1:10" ht="15.75" x14ac:dyDescent="0.25">
      <c r="B7" s="1" t="s">
        <v>12</v>
      </c>
      <c r="D7" s="5">
        <v>0.2</v>
      </c>
    </row>
    <row r="8" spans="1:10" ht="15.75" x14ac:dyDescent="0.25">
      <c r="B8" s="1" t="s">
        <v>14</v>
      </c>
    </row>
    <row r="9" spans="1:10" ht="15.75" x14ac:dyDescent="0.25">
      <c r="B9" s="1"/>
    </row>
    <row r="10" spans="1:10" ht="15.75" x14ac:dyDescent="0.25">
      <c r="B10" s="121" t="s">
        <v>102</v>
      </c>
      <c r="C10" s="2"/>
      <c r="D10" s="3"/>
      <c r="E10" s="3"/>
    </row>
    <row r="11" spans="1:10" x14ac:dyDescent="0.25">
      <c r="B11" s="9"/>
      <c r="C11" s="9"/>
      <c r="D11" s="9"/>
      <c r="E11" s="9"/>
      <c r="F11" s="159"/>
      <c r="G11" s="159"/>
      <c r="H11" s="159"/>
      <c r="I11" s="159"/>
      <c r="J11" s="24"/>
    </row>
    <row r="12" spans="1:10" x14ac:dyDescent="0.25">
      <c r="B12" s="10" t="s">
        <v>0</v>
      </c>
      <c r="C12" s="10" t="s">
        <v>17</v>
      </c>
      <c r="D12" s="10" t="s">
        <v>18</v>
      </c>
      <c r="E12" s="25"/>
      <c r="F12" s="9"/>
      <c r="G12" s="9"/>
      <c r="H12" s="9"/>
      <c r="I12" s="2"/>
      <c r="J12" s="2"/>
    </row>
    <row r="13" spans="1:10" x14ac:dyDescent="0.25">
      <c r="B13" s="26">
        <v>41685</v>
      </c>
      <c r="C13" s="10" t="s">
        <v>15</v>
      </c>
      <c r="D13" s="97">
        <v>200</v>
      </c>
      <c r="E13" s="25"/>
      <c r="F13" s="9"/>
      <c r="G13" s="9"/>
      <c r="H13" s="9"/>
      <c r="I13" s="2"/>
      <c r="J13" s="2"/>
    </row>
    <row r="14" spans="1:10" ht="45" x14ac:dyDescent="0.25">
      <c r="B14" s="12">
        <v>41698</v>
      </c>
      <c r="C14" s="33" t="s">
        <v>24</v>
      </c>
      <c r="D14" s="14">
        <v>50</v>
      </c>
      <c r="E14" s="9" t="s">
        <v>20</v>
      </c>
      <c r="F14" s="27"/>
      <c r="G14" s="28"/>
      <c r="H14" s="29"/>
      <c r="I14" s="30"/>
      <c r="J14" s="2"/>
    </row>
    <row r="15" spans="1:10" x14ac:dyDescent="0.25">
      <c r="B15" s="12">
        <v>41729</v>
      </c>
      <c r="C15" s="11" t="s">
        <v>16</v>
      </c>
      <c r="D15" s="14">
        <v>2400</v>
      </c>
    </row>
    <row r="16" spans="1:10" x14ac:dyDescent="0.25">
      <c r="B16" s="12">
        <v>41729</v>
      </c>
      <c r="C16" s="11" t="s">
        <v>21</v>
      </c>
      <c r="D16" s="14">
        <v>2700</v>
      </c>
    </row>
    <row r="17" spans="2:13" x14ac:dyDescent="0.25">
      <c r="B17" s="12"/>
      <c r="C17" s="11"/>
      <c r="D17" s="13"/>
    </row>
    <row r="18" spans="2:13" s="15" customFormat="1" ht="35.25" customHeight="1" x14ac:dyDescent="0.25">
      <c r="B18" s="16" t="s">
        <v>0</v>
      </c>
      <c r="C18" s="16" t="s">
        <v>2</v>
      </c>
      <c r="D18" s="17" t="s">
        <v>53</v>
      </c>
      <c r="E18" s="17" t="s">
        <v>63</v>
      </c>
      <c r="F18" s="17" t="s">
        <v>3</v>
      </c>
      <c r="H18" s="18" t="s">
        <v>4</v>
      </c>
      <c r="I18" s="18"/>
      <c r="K18" s="160" t="s">
        <v>61</v>
      </c>
      <c r="L18" s="160"/>
    </row>
    <row r="19" spans="2:13" s="19" customFormat="1" ht="25.5" x14ac:dyDescent="0.25">
      <c r="B19" s="20">
        <v>41685</v>
      </c>
      <c r="C19" s="131" t="s">
        <v>15</v>
      </c>
      <c r="D19" s="132" t="s">
        <v>61</v>
      </c>
      <c r="E19" s="132" t="s">
        <v>4</v>
      </c>
      <c r="F19" s="133">
        <v>200</v>
      </c>
      <c r="H19" s="139"/>
      <c r="I19" s="140">
        <v>200</v>
      </c>
      <c r="J19" s="141"/>
      <c r="K19" s="139">
        <v>200</v>
      </c>
      <c r="L19" s="140" t="s">
        <v>23</v>
      </c>
    </row>
    <row r="20" spans="2:13" ht="36" customHeight="1" x14ac:dyDescent="0.25">
      <c r="B20" s="12">
        <v>41698</v>
      </c>
      <c r="C20" s="134" t="s">
        <v>24</v>
      </c>
      <c r="D20" s="132" t="s">
        <v>61</v>
      </c>
      <c r="E20" s="132" t="s">
        <v>5</v>
      </c>
      <c r="F20" s="135">
        <v>50</v>
      </c>
      <c r="H20" s="142" t="s">
        <v>23</v>
      </c>
      <c r="I20" s="143">
        <v>2400</v>
      </c>
      <c r="J20" s="144"/>
      <c r="K20" s="142">
        <v>50</v>
      </c>
      <c r="L20" s="145"/>
      <c r="M20" s="21"/>
    </row>
    <row r="21" spans="2:13" ht="33" customHeight="1" x14ac:dyDescent="0.25">
      <c r="B21" s="12">
        <v>41729</v>
      </c>
      <c r="C21" s="131" t="s">
        <v>19</v>
      </c>
      <c r="D21" s="132" t="s">
        <v>61</v>
      </c>
      <c r="E21" s="132" t="s">
        <v>4</v>
      </c>
      <c r="F21" s="135">
        <v>2400</v>
      </c>
      <c r="H21" s="146"/>
      <c r="I21" s="143"/>
      <c r="J21" s="146"/>
      <c r="K21" s="142">
        <v>2400</v>
      </c>
      <c r="L21" s="147"/>
      <c r="M21" s="21"/>
    </row>
    <row r="22" spans="2:13" ht="39.75" customHeight="1" x14ac:dyDescent="0.25">
      <c r="B22" s="12">
        <v>41729</v>
      </c>
      <c r="C22" s="134" t="s">
        <v>24</v>
      </c>
      <c r="D22" s="132" t="s">
        <v>61</v>
      </c>
      <c r="E22" s="132" t="s">
        <v>5</v>
      </c>
      <c r="F22" s="135">
        <v>50</v>
      </c>
      <c r="H22" s="148">
        <v>100</v>
      </c>
      <c r="I22" s="148"/>
      <c r="J22" s="146"/>
      <c r="K22" s="142">
        <v>50</v>
      </c>
      <c r="L22" s="145"/>
    </row>
    <row r="23" spans="2:13" ht="39.75" customHeight="1" thickBot="1" x14ac:dyDescent="0.3">
      <c r="B23" s="12">
        <v>41729</v>
      </c>
      <c r="C23" s="131" t="s">
        <v>22</v>
      </c>
      <c r="D23" s="132" t="s">
        <v>62</v>
      </c>
      <c r="E23" s="132" t="s">
        <v>61</v>
      </c>
      <c r="F23" s="135" t="s">
        <v>23</v>
      </c>
      <c r="H23" s="161" t="s">
        <v>5</v>
      </c>
      <c r="I23" s="161"/>
      <c r="K23" s="119">
        <v>2700</v>
      </c>
      <c r="L23" s="119">
        <v>0</v>
      </c>
    </row>
    <row r="24" spans="2:13" ht="41.25" customHeight="1" thickTop="1" x14ac:dyDescent="0.25">
      <c r="B24" s="12">
        <v>41729</v>
      </c>
      <c r="C24" s="131" t="s">
        <v>104</v>
      </c>
      <c r="D24" s="132" t="s">
        <v>4</v>
      </c>
      <c r="E24" s="132" t="s">
        <v>61</v>
      </c>
      <c r="F24" s="136" t="s">
        <v>23</v>
      </c>
      <c r="H24" s="149"/>
      <c r="I24" s="150">
        <v>50</v>
      </c>
      <c r="K24" s="160" t="s">
        <v>62</v>
      </c>
      <c r="L24" s="160"/>
    </row>
    <row r="25" spans="2:13" ht="36.75" customHeight="1" x14ac:dyDescent="0.25">
      <c r="B25" s="12"/>
      <c r="C25" s="131"/>
      <c r="D25" s="137"/>
      <c r="E25" s="137"/>
      <c r="F25" s="138"/>
      <c r="H25" s="144"/>
      <c r="I25" s="143">
        <v>50</v>
      </c>
      <c r="K25" s="151" t="s">
        <v>23</v>
      </c>
      <c r="L25" s="152"/>
    </row>
    <row r="26" spans="2:13" x14ac:dyDescent="0.25">
      <c r="H26" s="127"/>
      <c r="I26" s="128">
        <v>100</v>
      </c>
      <c r="J26" s="9"/>
    </row>
    <row r="27" spans="2:13" x14ac:dyDescent="0.25">
      <c r="B27" s="118" t="s">
        <v>60</v>
      </c>
      <c r="H27" s="31"/>
      <c r="I27" s="32"/>
      <c r="L27" s="9"/>
    </row>
    <row r="28" spans="2:13" x14ac:dyDescent="0.25">
      <c r="H28" s="31"/>
      <c r="I28" s="32"/>
      <c r="L28" s="9"/>
    </row>
    <row r="29" spans="2:13" x14ac:dyDescent="0.25">
      <c r="B29" s="6" t="s">
        <v>6</v>
      </c>
      <c r="H29" s="22"/>
      <c r="I29" s="22"/>
      <c r="J29" s="9"/>
      <c r="K29" s="22"/>
      <c r="L29" s="22"/>
    </row>
    <row r="30" spans="2:13" x14ac:dyDescent="0.25">
      <c r="B30" s="118" t="s">
        <v>7</v>
      </c>
      <c r="H30" s="9"/>
      <c r="I30" s="9"/>
      <c r="J30" s="9"/>
      <c r="K30" s="9"/>
      <c r="L30" s="9"/>
    </row>
    <row r="32" spans="2:13" x14ac:dyDescent="0.25">
      <c r="B32" s="6" t="s">
        <v>8</v>
      </c>
    </row>
    <row r="33" spans="2:2" x14ac:dyDescent="0.25">
      <c r="B33" s="118" t="s">
        <v>66</v>
      </c>
    </row>
    <row r="34" spans="2:2" x14ac:dyDescent="0.25">
      <c r="B34" s="118" t="s">
        <v>64</v>
      </c>
    </row>
  </sheetData>
  <mergeCells count="4">
    <mergeCell ref="F11:I11"/>
    <mergeCell ref="K18:L18"/>
    <mergeCell ref="H23:I23"/>
    <mergeCell ref="K24:L24"/>
  </mergeCells>
  <pageMargins left="0.13" right="0.01" top="0.46" bottom="0.4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opLeftCell="A15" zoomScaleNormal="100" workbookViewId="0">
      <selection activeCell="F11" sqref="F11"/>
    </sheetView>
  </sheetViews>
  <sheetFormatPr defaultRowHeight="15" x14ac:dyDescent="0.25"/>
  <cols>
    <col min="1" max="1" width="15.85546875" customWidth="1"/>
    <col min="2" max="2" width="17.42578125" bestFit="1" customWidth="1"/>
    <col min="3" max="3" width="12.85546875" customWidth="1"/>
    <col min="4" max="4" width="11.5703125" customWidth="1"/>
    <col min="5" max="5" width="12.28515625" customWidth="1"/>
    <col min="6" max="6" width="12" customWidth="1"/>
    <col min="7" max="7" width="14.7109375" style="35" bestFit="1" customWidth="1"/>
    <col min="8" max="8" width="10.5703125" customWidth="1"/>
    <col min="9" max="9" width="15.5703125" bestFit="1" customWidth="1"/>
    <col min="10" max="10" width="11.42578125" style="36" customWidth="1"/>
    <col min="11" max="11" width="16.42578125" style="37" customWidth="1"/>
    <col min="12" max="12" width="15.42578125" style="37" bestFit="1" customWidth="1"/>
    <col min="13" max="13" width="2.42578125" customWidth="1"/>
    <col min="14" max="14" width="15.5703125" bestFit="1" customWidth="1"/>
  </cols>
  <sheetData>
    <row r="1" spans="1:14" s="123" customFormat="1" ht="12.75" x14ac:dyDescent="0.25">
      <c r="A1" s="122" t="s">
        <v>103</v>
      </c>
    </row>
    <row r="2" spans="1:14" ht="15.75" x14ac:dyDescent="0.3">
      <c r="A2" s="89" t="s">
        <v>70</v>
      </c>
    </row>
    <row r="3" spans="1:14" x14ac:dyDescent="0.25">
      <c r="A3" s="6" t="s">
        <v>68</v>
      </c>
    </row>
    <row r="4" spans="1:14" x14ac:dyDescent="0.25">
      <c r="A4" s="6" t="s">
        <v>67</v>
      </c>
    </row>
    <row r="5" spans="1:14" x14ac:dyDescent="0.25">
      <c r="A5" s="34"/>
    </row>
    <row r="6" spans="1:14" x14ac:dyDescent="0.25">
      <c r="A6" t="s">
        <v>0</v>
      </c>
      <c r="B6" s="85">
        <v>38718</v>
      </c>
    </row>
    <row r="7" spans="1:14" hidden="1" x14ac:dyDescent="0.25">
      <c r="A7" t="s">
        <v>25</v>
      </c>
      <c r="B7" s="38" t="s">
        <v>26</v>
      </c>
    </row>
    <row r="8" spans="1:14" hidden="1" x14ac:dyDescent="0.25">
      <c r="A8" t="s">
        <v>27</v>
      </c>
      <c r="B8" s="38" t="s">
        <v>28</v>
      </c>
    </row>
    <row r="9" spans="1:14" x14ac:dyDescent="0.25">
      <c r="A9" t="s">
        <v>29</v>
      </c>
      <c r="B9" s="38">
        <v>2</v>
      </c>
      <c r="C9" t="s">
        <v>30</v>
      </c>
    </row>
    <row r="10" spans="1:14" x14ac:dyDescent="0.25">
      <c r="A10" t="s">
        <v>31</v>
      </c>
      <c r="B10" s="86">
        <v>100000000</v>
      </c>
    </row>
    <row r="11" spans="1:14" x14ac:dyDescent="0.25">
      <c r="A11" t="s">
        <v>32</v>
      </c>
      <c r="B11" s="38"/>
    </row>
    <row r="12" spans="1:14" x14ac:dyDescent="0.25">
      <c r="A12" t="s">
        <v>33</v>
      </c>
      <c r="B12" s="87">
        <v>0.16500000000000001</v>
      </c>
      <c r="C12" t="s">
        <v>34</v>
      </c>
    </row>
    <row r="13" spans="1:14" ht="15.75" thickBot="1" x14ac:dyDescent="0.3">
      <c r="A13" t="s">
        <v>35</v>
      </c>
      <c r="B13" s="38" t="s">
        <v>36</v>
      </c>
    </row>
    <row r="14" spans="1:14" s="42" customFormat="1" ht="30" x14ac:dyDescent="0.25">
      <c r="A14" s="95"/>
      <c r="B14" s="96"/>
      <c r="C14" s="96"/>
      <c r="D14" s="81">
        <v>5.0000000000000001E-3</v>
      </c>
      <c r="E14" s="162" t="s">
        <v>37</v>
      </c>
      <c r="F14" s="163"/>
      <c r="G14" s="164"/>
      <c r="H14" s="165" t="s">
        <v>38</v>
      </c>
      <c r="I14" s="166"/>
      <c r="J14" s="166"/>
      <c r="K14" s="40" t="s">
        <v>39</v>
      </c>
      <c r="L14" s="41" t="s">
        <v>40</v>
      </c>
      <c r="N14" s="44"/>
    </row>
    <row r="15" spans="1:14" s="42" customFormat="1" ht="30" x14ac:dyDescent="0.2">
      <c r="A15" s="43" t="s">
        <v>1</v>
      </c>
      <c r="B15" s="44"/>
      <c r="C15" s="44" t="s">
        <v>41</v>
      </c>
      <c r="D15" s="45" t="s">
        <v>42</v>
      </c>
      <c r="E15" s="43" t="s">
        <v>42</v>
      </c>
      <c r="F15" s="44" t="s">
        <v>43</v>
      </c>
      <c r="G15" s="46" t="s">
        <v>44</v>
      </c>
      <c r="H15" s="43"/>
      <c r="I15" s="93" t="s">
        <v>74</v>
      </c>
      <c r="J15" s="47"/>
      <c r="K15" s="48" t="s">
        <v>45</v>
      </c>
      <c r="L15" s="49" t="s">
        <v>46</v>
      </c>
      <c r="N15" s="94" t="s">
        <v>73</v>
      </c>
    </row>
    <row r="16" spans="1:14" s="42" customFormat="1" ht="30" x14ac:dyDescent="0.25">
      <c r="A16" s="43"/>
      <c r="B16" s="44"/>
      <c r="C16" s="44"/>
      <c r="D16" s="45" t="s">
        <v>36</v>
      </c>
      <c r="E16" s="43" t="s">
        <v>36</v>
      </c>
      <c r="F16" s="50">
        <v>0.16500000000000001</v>
      </c>
      <c r="G16" s="46"/>
      <c r="H16" s="43"/>
      <c r="I16" s="44"/>
      <c r="J16" s="47" t="s">
        <v>47</v>
      </c>
      <c r="K16" s="51"/>
      <c r="L16" s="49"/>
      <c r="N16" s="44" t="s">
        <v>75</v>
      </c>
    </row>
    <row r="17" spans="1:15" x14ac:dyDescent="0.25">
      <c r="A17" s="52"/>
      <c r="B17" s="53"/>
      <c r="C17" s="53"/>
      <c r="D17" s="82"/>
      <c r="E17" s="54"/>
      <c r="F17" s="53"/>
      <c r="G17" s="55"/>
      <c r="H17" s="82"/>
      <c r="I17" s="82"/>
      <c r="J17" s="83"/>
      <c r="K17" s="56"/>
      <c r="L17" s="57"/>
      <c r="N17" s="53"/>
    </row>
    <row r="18" spans="1:15" x14ac:dyDescent="0.25">
      <c r="A18" s="52" t="s">
        <v>48</v>
      </c>
      <c r="B18" s="53">
        <v>2006</v>
      </c>
      <c r="C18" s="58">
        <v>0.16</v>
      </c>
      <c r="D18" s="39">
        <v>0.16500000000000001</v>
      </c>
      <c r="E18" s="59">
        <v>3.8918503659524317E-2</v>
      </c>
      <c r="F18" s="60">
        <v>3.8918503659524317E-2</v>
      </c>
      <c r="G18" s="55">
        <v>0</v>
      </c>
      <c r="H18" s="61">
        <v>38718</v>
      </c>
      <c r="I18" s="102">
        <v>0</v>
      </c>
      <c r="J18" s="62">
        <v>8</v>
      </c>
      <c r="K18" s="100">
        <v>0</v>
      </c>
      <c r="L18" s="101">
        <v>0</v>
      </c>
      <c r="M18" s="36"/>
      <c r="N18" s="102"/>
    </row>
    <row r="19" spans="1:15" x14ac:dyDescent="0.25">
      <c r="A19" s="52" t="s">
        <v>49</v>
      </c>
      <c r="B19" s="53">
        <v>2006</v>
      </c>
      <c r="C19" s="58">
        <v>0.161</v>
      </c>
      <c r="D19" s="39">
        <v>0.16600000000000001</v>
      </c>
      <c r="E19" s="59">
        <v>3.9141375817288493E-2</v>
      </c>
      <c r="F19" s="60">
        <v>3.8918503659524317E-2</v>
      </c>
      <c r="G19" s="55">
        <v>-2.2287215776417568E-4</v>
      </c>
      <c r="H19" s="61">
        <v>38807</v>
      </c>
      <c r="I19" s="102">
        <v>-22287.215776417568</v>
      </c>
      <c r="J19" s="62">
        <v>7</v>
      </c>
      <c r="K19" s="100">
        <v>-134194.57510815826</v>
      </c>
      <c r="L19" s="101">
        <v>-134194.57510815826</v>
      </c>
      <c r="M19" s="36"/>
      <c r="N19" s="102">
        <v>-156481.79088457584</v>
      </c>
    </row>
    <row r="20" spans="1:15" x14ac:dyDescent="0.25">
      <c r="A20" s="52" t="s">
        <v>50</v>
      </c>
      <c r="B20" s="53">
        <v>2006</v>
      </c>
      <c r="C20" s="58">
        <v>0.16300000000000001</v>
      </c>
      <c r="D20" s="39">
        <v>0.16800000000000001</v>
      </c>
      <c r="E20" s="59">
        <v>3.9586690415235992E-2</v>
      </c>
      <c r="F20" s="60">
        <v>3.8918503659524317E-2</v>
      </c>
      <c r="G20" s="55">
        <v>-6.6818675571167496E-4</v>
      </c>
      <c r="H20" s="61">
        <v>38898</v>
      </c>
      <c r="I20" s="102">
        <v>-66818.675571167492</v>
      </c>
      <c r="J20" s="62">
        <v>6</v>
      </c>
      <c r="K20" s="100">
        <v>-350744.43491122237</v>
      </c>
      <c r="L20" s="101">
        <v>-216549.85980306412</v>
      </c>
      <c r="M20" s="36"/>
      <c r="N20" s="102">
        <v>-283368.53537423164</v>
      </c>
    </row>
    <row r="21" spans="1:15" x14ac:dyDescent="0.25">
      <c r="A21" s="52" t="s">
        <v>51</v>
      </c>
      <c r="B21" s="53">
        <v>2006</v>
      </c>
      <c r="C21" s="58">
        <v>0.16400000000000001</v>
      </c>
      <c r="D21" s="39">
        <v>0.16900000000000001</v>
      </c>
      <c r="E21" s="59">
        <v>3.9809133284585352E-2</v>
      </c>
      <c r="F21" s="60">
        <v>3.8918503659524317E-2</v>
      </c>
      <c r="G21" s="55">
        <v>-8.906296250610346E-4</v>
      </c>
      <c r="H21" s="61">
        <v>38990</v>
      </c>
      <c r="I21" s="102">
        <v>-89062.96250610346</v>
      </c>
      <c r="J21" s="62">
        <v>5</v>
      </c>
      <c r="K21" s="100">
        <v>-396705.17077317857</v>
      </c>
      <c r="L21" s="101">
        <v>-45960.7358619562</v>
      </c>
      <c r="M21" s="36"/>
      <c r="N21" s="102">
        <v>-135023.69836805965</v>
      </c>
    </row>
    <row r="22" spans="1:15" x14ac:dyDescent="0.25">
      <c r="A22" s="52" t="s">
        <v>48</v>
      </c>
      <c r="B22" s="53">
        <v>2007</v>
      </c>
      <c r="C22" s="58">
        <v>0.16300000000000001</v>
      </c>
      <c r="D22" s="39">
        <v>0.16800000000000001</v>
      </c>
      <c r="E22" s="59">
        <v>3.9586690415235992E-2</v>
      </c>
      <c r="F22" s="60">
        <v>3.8918503659524317E-2</v>
      </c>
      <c r="G22" s="55">
        <v>-6.6818675571167496E-4</v>
      </c>
      <c r="H22" s="61">
        <v>39081</v>
      </c>
      <c r="I22" s="102">
        <v>-66818.675571167492</v>
      </c>
      <c r="J22" s="62">
        <v>4</v>
      </c>
      <c r="K22" s="100">
        <v>-242781.22999326058</v>
      </c>
      <c r="L22" s="101">
        <v>153923.94077991799</v>
      </c>
      <c r="M22" s="36"/>
      <c r="N22" s="102">
        <v>87105.265208750498</v>
      </c>
    </row>
    <row r="23" spans="1:15" x14ac:dyDescent="0.25">
      <c r="A23" s="52" t="s">
        <v>49</v>
      </c>
      <c r="B23" s="53">
        <v>2007</v>
      </c>
      <c r="C23" s="58">
        <v>0.16450000000000001</v>
      </c>
      <c r="D23" s="39">
        <v>0.16950000000000001</v>
      </c>
      <c r="E23" s="59">
        <v>3.992030120548562E-2</v>
      </c>
      <c r="F23" s="60">
        <v>3.8918503659524317E-2</v>
      </c>
      <c r="G23" s="55">
        <v>-1.0017975459613027E-3</v>
      </c>
      <c r="H23" s="61">
        <v>39172</v>
      </c>
      <c r="I23" s="102">
        <v>-100179.75459613027</v>
      </c>
      <c r="J23" s="62">
        <v>3</v>
      </c>
      <c r="K23" s="100">
        <v>-278049.99653077952</v>
      </c>
      <c r="L23" s="101">
        <v>-35268.766537518939</v>
      </c>
      <c r="M23" s="36"/>
      <c r="N23" s="102">
        <v>-135448.52113364922</v>
      </c>
    </row>
    <row r="24" spans="1:15" ht="15.75" thickBot="1" x14ac:dyDescent="0.3">
      <c r="A24" s="52" t="s">
        <v>50</v>
      </c>
      <c r="B24" s="53">
        <v>2007</v>
      </c>
      <c r="C24" s="58">
        <v>0.16500000000000001</v>
      </c>
      <c r="D24" s="39">
        <v>0.17</v>
      </c>
      <c r="E24" s="59">
        <v>4.0031433486121593E-2</v>
      </c>
      <c r="F24" s="60">
        <v>3.8918503659524317E-2</v>
      </c>
      <c r="G24" s="55">
        <v>-1.1129298265972754E-3</v>
      </c>
      <c r="H24" s="61">
        <v>39263</v>
      </c>
      <c r="I24" s="102">
        <v>-111292.98265972754</v>
      </c>
      <c r="J24" s="62">
        <v>2</v>
      </c>
      <c r="K24" s="103">
        <v>-209899.64789138699</v>
      </c>
      <c r="L24" s="101">
        <v>68150.348639392527</v>
      </c>
      <c r="M24" s="36"/>
      <c r="N24" s="102">
        <v>-43142.634020335012</v>
      </c>
    </row>
    <row r="25" spans="1:15" ht="15.75" thickBot="1" x14ac:dyDescent="0.3">
      <c r="A25" s="52" t="s">
        <v>51</v>
      </c>
      <c r="B25" s="53">
        <v>2007</v>
      </c>
      <c r="C25" s="58">
        <v>0.16600000000000001</v>
      </c>
      <c r="D25" s="39">
        <v>0.17100000000000001</v>
      </c>
      <c r="E25" s="59">
        <v>4.0253591233167851E-2</v>
      </c>
      <c r="F25" s="60">
        <v>3.8918503659524317E-2</v>
      </c>
      <c r="G25" s="55">
        <v>-1.3350875736435341E-3</v>
      </c>
      <c r="H25" s="61">
        <v>39355</v>
      </c>
      <c r="I25" s="102">
        <v>-133508.75736435343</v>
      </c>
      <c r="J25" s="62">
        <v>1</v>
      </c>
      <c r="K25" s="104">
        <v>-128342.51041237509</v>
      </c>
      <c r="L25" s="105">
        <v>81557.137479011901</v>
      </c>
      <c r="M25" s="36"/>
      <c r="N25" s="102">
        <v>-51951.619885341526</v>
      </c>
    </row>
    <row r="26" spans="1:15" ht="15.75" thickBot="1" x14ac:dyDescent="0.3">
      <c r="A26" s="63"/>
      <c r="B26" s="64"/>
      <c r="C26" s="65"/>
      <c r="D26" s="66"/>
      <c r="E26" s="67"/>
      <c r="F26" s="68"/>
      <c r="G26" s="69"/>
      <c r="H26" s="70">
        <v>39447</v>
      </c>
      <c r="I26" s="106">
        <v>-128342.51041237509</v>
      </c>
      <c r="J26" s="71">
        <v>0</v>
      </c>
      <c r="K26" s="72"/>
      <c r="L26" s="84"/>
      <c r="M26" s="73"/>
      <c r="N26" s="91"/>
    </row>
    <row r="27" spans="1:15" x14ac:dyDescent="0.25">
      <c r="I27" s="92">
        <v>-718311.53445744235</v>
      </c>
      <c r="N27" s="92">
        <v>-718311.53445744235</v>
      </c>
    </row>
    <row r="28" spans="1:15" ht="15.75" x14ac:dyDescent="0.25">
      <c r="A28" s="121" t="s">
        <v>102</v>
      </c>
      <c r="I28" s="90"/>
      <c r="N28" s="90"/>
    </row>
    <row r="29" spans="1:15" x14ac:dyDescent="0.25">
      <c r="A29" s="34" t="s">
        <v>52</v>
      </c>
    </row>
    <row r="30" spans="1:15" x14ac:dyDescent="0.25">
      <c r="A30" s="74">
        <v>38807</v>
      </c>
      <c r="B30" s="75" t="s">
        <v>53</v>
      </c>
      <c r="C30" s="75" t="s">
        <v>54</v>
      </c>
      <c r="D30" s="75" t="s">
        <v>55</v>
      </c>
      <c r="F30" s="76"/>
      <c r="G30" s="76"/>
      <c r="I30" s="76"/>
      <c r="J30" s="76"/>
      <c r="L30" s="77"/>
      <c r="N30" s="90"/>
    </row>
    <row r="31" spans="1:15" ht="39" x14ac:dyDescent="0.25">
      <c r="A31" s="78" t="s">
        <v>56</v>
      </c>
      <c r="B31" s="153" t="s">
        <v>71</v>
      </c>
      <c r="C31" s="154" t="s">
        <v>57</v>
      </c>
      <c r="D31" s="135">
        <v>22287.215776417568</v>
      </c>
      <c r="F31" s="36"/>
      <c r="G31" s="36"/>
      <c r="H31" s="36"/>
      <c r="I31" s="36"/>
      <c r="K31" s="36"/>
      <c r="L31" s="36"/>
      <c r="M31" s="36"/>
      <c r="N31" s="36"/>
      <c r="O31" s="36"/>
    </row>
    <row r="32" spans="1:15" ht="64.5" x14ac:dyDescent="0.25">
      <c r="A32" s="78" t="s">
        <v>58</v>
      </c>
      <c r="B32" s="154" t="s">
        <v>5</v>
      </c>
      <c r="C32" s="153" t="s">
        <v>71</v>
      </c>
      <c r="D32" s="135">
        <v>156481.79088457584</v>
      </c>
      <c r="F32" s="98" t="s">
        <v>57</v>
      </c>
      <c r="G32" s="98"/>
      <c r="H32" s="99"/>
      <c r="I32" s="167" t="s">
        <v>71</v>
      </c>
      <c r="J32" s="167"/>
      <c r="K32" s="99" t="s">
        <v>76</v>
      </c>
      <c r="L32" s="36"/>
      <c r="M32" s="36"/>
      <c r="N32" s="167" t="s">
        <v>5</v>
      </c>
      <c r="O32" s="167"/>
    </row>
    <row r="33" spans="1:17" x14ac:dyDescent="0.25">
      <c r="A33" s="79">
        <v>38898</v>
      </c>
      <c r="B33" s="154"/>
      <c r="C33" s="154"/>
      <c r="D33" s="155"/>
      <c r="F33" s="155"/>
      <c r="G33" s="156">
        <v>22287.215776417568</v>
      </c>
      <c r="H33" s="155"/>
      <c r="I33" s="155">
        <v>22287.215776417568</v>
      </c>
      <c r="J33" s="156">
        <v>156481.79088457584</v>
      </c>
      <c r="K33" s="157">
        <v>134194.57510815826</v>
      </c>
      <c r="L33" s="155"/>
      <c r="M33" s="155"/>
      <c r="N33" s="155">
        <v>156481.79088457584</v>
      </c>
      <c r="O33" s="156"/>
    </row>
    <row r="34" spans="1:17" ht="39" x14ac:dyDescent="0.25">
      <c r="A34" s="78" t="s">
        <v>56</v>
      </c>
      <c r="B34" s="153" t="s">
        <v>71</v>
      </c>
      <c r="C34" s="154" t="s">
        <v>57</v>
      </c>
      <c r="D34" s="135">
        <v>66818.675571167492</v>
      </c>
      <c r="F34" s="155"/>
      <c r="G34" s="158">
        <v>66818.675571167492</v>
      </c>
      <c r="H34" s="155"/>
      <c r="I34" s="155">
        <v>66818.675571167492</v>
      </c>
      <c r="J34" s="158">
        <v>283368.53537423164</v>
      </c>
      <c r="K34" s="157">
        <v>350744.43491122237</v>
      </c>
      <c r="L34" s="155"/>
      <c r="M34" s="155"/>
      <c r="N34" s="155">
        <v>283368.53537423164</v>
      </c>
      <c r="O34" s="158"/>
    </row>
    <row r="35" spans="1:17" ht="64.5" x14ac:dyDescent="0.25">
      <c r="A35" s="78" t="s">
        <v>58</v>
      </c>
      <c r="B35" s="154" t="s">
        <v>5</v>
      </c>
      <c r="C35" s="153" t="s">
        <v>71</v>
      </c>
      <c r="D35" s="135">
        <v>283368.53537423164</v>
      </c>
      <c r="F35" s="155"/>
      <c r="G35" s="158">
        <v>89062.96250610346</v>
      </c>
      <c r="H35" s="155"/>
      <c r="I35" s="155">
        <v>89062.96250610346</v>
      </c>
      <c r="J35" s="158">
        <v>135023.69836805965</v>
      </c>
      <c r="K35" s="157">
        <v>396705.17077317869</v>
      </c>
      <c r="L35" s="155"/>
      <c r="M35" s="155"/>
      <c r="N35" s="155">
        <v>-135023.69836805965</v>
      </c>
      <c r="O35" s="158"/>
    </row>
    <row r="36" spans="1:17" x14ac:dyDescent="0.25">
      <c r="F36" s="107"/>
      <c r="G36" s="107" t="s">
        <v>72</v>
      </c>
      <c r="H36" s="107"/>
      <c r="I36" s="108"/>
      <c r="J36" s="108" t="s">
        <v>72</v>
      </c>
      <c r="K36" s="107">
        <v>0</v>
      </c>
      <c r="L36" s="107"/>
      <c r="M36" s="107"/>
      <c r="N36" s="107" t="s">
        <v>72</v>
      </c>
      <c r="O36" s="107"/>
    </row>
    <row r="37" spans="1:17" ht="29.25" customHeight="1" x14ac:dyDescent="0.25">
      <c r="A37" s="118" t="s">
        <v>59</v>
      </c>
      <c r="E37" s="118"/>
      <c r="F37" s="120"/>
      <c r="G37" s="125">
        <v>-718311.53445744235</v>
      </c>
      <c r="H37" s="108"/>
      <c r="I37" s="108">
        <v>-718311.53445744235</v>
      </c>
      <c r="J37" s="108">
        <v>-718311.53445744235</v>
      </c>
      <c r="K37" s="108"/>
      <c r="L37" s="108"/>
      <c r="M37" s="108"/>
      <c r="N37" s="124">
        <v>-718311.53445744235</v>
      </c>
      <c r="O37" s="108"/>
      <c r="P37" s="126"/>
      <c r="Q37" s="82"/>
    </row>
    <row r="38" spans="1:17" x14ac:dyDescent="0.25">
      <c r="F38" s="108"/>
      <c r="G38" s="108"/>
      <c r="H38" s="108"/>
      <c r="I38" s="108"/>
      <c r="J38" s="108">
        <v>0</v>
      </c>
      <c r="K38" s="108"/>
      <c r="L38" s="108"/>
      <c r="M38" s="108"/>
      <c r="N38" s="108"/>
      <c r="O38" s="107"/>
    </row>
    <row r="39" spans="1:17" ht="32.25" customHeight="1" x14ac:dyDescent="0.25">
      <c r="A39" s="6" t="s">
        <v>6</v>
      </c>
      <c r="F39" s="83"/>
      <c r="G39" s="83"/>
      <c r="H39" s="83"/>
      <c r="I39" s="83"/>
      <c r="J39" s="83"/>
      <c r="K39" s="83"/>
      <c r="L39" s="83"/>
      <c r="M39" s="83"/>
      <c r="N39" s="83"/>
      <c r="O39" s="36"/>
    </row>
    <row r="40" spans="1:17" x14ac:dyDescent="0.25">
      <c r="A40" s="118" t="s">
        <v>7</v>
      </c>
      <c r="F40" s="80"/>
      <c r="G40" s="80"/>
      <c r="H40" s="80"/>
      <c r="I40" s="82"/>
      <c r="J40" s="83"/>
      <c r="K40" s="80"/>
      <c r="L40" s="80"/>
      <c r="M40" s="80"/>
      <c r="N40" s="82"/>
    </row>
    <row r="41" spans="1:17" x14ac:dyDescent="0.25">
      <c r="A41" s="8"/>
      <c r="F41" s="37"/>
      <c r="G41" s="37"/>
      <c r="H41" s="37"/>
      <c r="I41" s="37"/>
      <c r="M41" s="37"/>
    </row>
    <row r="42" spans="1:17" ht="30.75" customHeight="1" x14ac:dyDescent="0.25">
      <c r="A42" s="6" t="s">
        <v>8</v>
      </c>
      <c r="F42" s="168"/>
      <c r="G42" s="168"/>
      <c r="H42" s="37"/>
      <c r="I42" s="80"/>
      <c r="J42" s="83"/>
    </row>
    <row r="43" spans="1:17" ht="21" customHeight="1" x14ac:dyDescent="0.25">
      <c r="A43" s="118" t="s">
        <v>65</v>
      </c>
      <c r="F43" s="80"/>
      <c r="G43" s="80"/>
      <c r="H43" s="37"/>
      <c r="I43" s="88"/>
      <c r="J43" s="88"/>
    </row>
    <row r="44" spans="1:17" ht="15" customHeight="1" x14ac:dyDescent="0.25">
      <c r="A44" s="118" t="s">
        <v>64</v>
      </c>
      <c r="F44" s="80"/>
      <c r="G44" s="80"/>
      <c r="H44" s="37"/>
      <c r="I44" s="80"/>
      <c r="J44" s="83"/>
    </row>
    <row r="45" spans="1:17" x14ac:dyDescent="0.25">
      <c r="A45" s="118"/>
      <c r="F45" s="80"/>
      <c r="G45" s="80"/>
      <c r="H45" s="37"/>
      <c r="I45" s="80"/>
      <c r="J45" s="83"/>
    </row>
    <row r="46" spans="1:17" x14ac:dyDescent="0.25">
      <c r="F46" s="37"/>
      <c r="G46" s="37"/>
      <c r="H46" s="37"/>
      <c r="I46" s="80"/>
      <c r="J46" s="83"/>
      <c r="M46" s="37"/>
    </row>
    <row r="47" spans="1:17" x14ac:dyDescent="0.25">
      <c r="F47" s="37"/>
      <c r="G47" s="37"/>
      <c r="H47" s="37"/>
      <c r="I47" s="37"/>
      <c r="M47" s="37"/>
    </row>
    <row r="48" spans="1:17" x14ac:dyDescent="0.25">
      <c r="F48" s="37"/>
      <c r="G48" s="37"/>
      <c r="H48" s="37"/>
      <c r="M48" s="37"/>
    </row>
    <row r="49" spans="6:13" ht="34.5" customHeight="1" x14ac:dyDescent="0.25">
      <c r="F49" s="37"/>
      <c r="G49" s="37"/>
      <c r="H49" s="37"/>
      <c r="M49" s="37"/>
    </row>
    <row r="50" spans="6:13" ht="15" customHeight="1" x14ac:dyDescent="0.25">
      <c r="F50" s="37"/>
      <c r="G50" s="37"/>
      <c r="H50" s="37"/>
      <c r="M50" s="37"/>
    </row>
    <row r="51" spans="6:13" x14ac:dyDescent="0.25">
      <c r="F51" s="37"/>
      <c r="G51" s="37"/>
      <c r="H51" s="37"/>
      <c r="M51" s="37"/>
    </row>
  </sheetData>
  <mergeCells count="5">
    <mergeCell ref="E14:G14"/>
    <mergeCell ref="H14:J14"/>
    <mergeCell ref="I32:J32"/>
    <mergeCell ref="N32:O32"/>
    <mergeCell ref="F42:G42"/>
  </mergeCells>
  <pageMargins left="0.27" right="0.16" top="0.21" bottom="0.26" header="0.16" footer="0.17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Plano Contas</vt:lpstr>
      <vt:lpstr>1. Ex. US$ Futuro</vt:lpstr>
      <vt:lpstr>2. Ex. Opção</vt:lpstr>
      <vt:lpstr>3.SWAP-Contabilização</vt:lpstr>
      <vt:lpstr>2. Ex. Opção (2)</vt:lpstr>
      <vt:lpstr>3.SWAP-Contabilização (2)</vt:lpstr>
      <vt:lpstr>'3.SWAP-Contabilização'!Area_de_impressao</vt:lpstr>
      <vt:lpstr>'3.SWAP-Contabilização (2)'!Area_de_impressao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</dc:creator>
  <cp:lastModifiedBy>Joanilia  Lenovo 2014</cp:lastModifiedBy>
  <cp:lastPrinted>2014-10-21T22:39:09Z</cp:lastPrinted>
  <dcterms:created xsi:type="dcterms:W3CDTF">2014-04-14T20:18:49Z</dcterms:created>
  <dcterms:modified xsi:type="dcterms:W3CDTF">2014-11-15T10:40:10Z</dcterms:modified>
</cp:coreProperties>
</file>