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3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" l="1"/>
  <c r="E120" i="1"/>
  <c r="K143" i="1"/>
  <c r="K142" i="1"/>
  <c r="K141" i="1"/>
  <c r="K139" i="1"/>
  <c r="K138" i="1"/>
  <c r="E144" i="1"/>
  <c r="G144" i="1"/>
  <c r="G143" i="1"/>
  <c r="F143" i="1"/>
  <c r="E143" i="1"/>
  <c r="G142" i="1"/>
  <c r="F142" i="1"/>
  <c r="E142" i="1"/>
  <c r="F134" i="1"/>
  <c r="G141" i="1"/>
  <c r="F141" i="1"/>
  <c r="E141" i="1"/>
  <c r="G140" i="1"/>
  <c r="F140" i="1"/>
  <c r="E140" i="1"/>
  <c r="G139" i="1"/>
  <c r="E139" i="1"/>
  <c r="F139" i="1"/>
  <c r="G138" i="1"/>
  <c r="E138" i="1"/>
  <c r="F131" i="1"/>
  <c r="E131" i="1"/>
  <c r="F138" i="1"/>
  <c r="D128" i="1"/>
  <c r="D127" i="1"/>
  <c r="D126" i="1"/>
  <c r="A116" i="1"/>
  <c r="A115" i="1"/>
  <c r="A114" i="1"/>
  <c r="C106" i="1"/>
  <c r="E104" i="1"/>
  <c r="D98" i="1"/>
  <c r="C99" i="1"/>
  <c r="C98" i="1"/>
  <c r="D91" i="1"/>
  <c r="C92" i="1"/>
  <c r="C91" i="1"/>
  <c r="C88" i="1"/>
  <c r="D82" i="1"/>
  <c r="C83" i="1"/>
  <c r="C82" i="1"/>
  <c r="E80" i="1"/>
  <c r="D73" i="1"/>
  <c r="C74" i="1"/>
  <c r="C73" i="1"/>
  <c r="D70" i="1"/>
  <c r="C71" i="1"/>
  <c r="C70" i="1"/>
  <c r="C68" i="1"/>
  <c r="C65" i="1"/>
  <c r="C63" i="1"/>
  <c r="H55" i="1"/>
  <c r="H54" i="1"/>
  <c r="H52" i="1"/>
  <c r="D53" i="1"/>
  <c r="F51" i="1"/>
  <c r="F53" i="1" s="1"/>
  <c r="H50" i="1"/>
  <c r="H49" i="1"/>
  <c r="H48" i="1"/>
  <c r="H47" i="1"/>
  <c r="G38" i="1"/>
  <c r="G25" i="1"/>
  <c r="G21" i="1"/>
  <c r="G13" i="1"/>
  <c r="G12" i="1"/>
  <c r="G9" i="1"/>
  <c r="G11" i="1" s="1"/>
  <c r="G29" i="1" s="1"/>
  <c r="G7" i="1"/>
  <c r="G5" i="1"/>
  <c r="G32" i="1" s="1"/>
  <c r="D51" i="1"/>
  <c r="F38" i="1"/>
  <c r="D38" i="1"/>
  <c r="H33" i="1"/>
  <c r="F25" i="1"/>
  <c r="E25" i="1"/>
  <c r="D25" i="1"/>
  <c r="F21" i="1"/>
  <c r="E21" i="1"/>
  <c r="D21" i="1"/>
  <c r="H21" i="1" s="1"/>
  <c r="D13" i="1"/>
  <c r="F9" i="1"/>
  <c r="F11" i="1" s="1"/>
  <c r="F5" i="1"/>
  <c r="F32" i="1" s="1"/>
  <c r="E9" i="1"/>
  <c r="E32" i="1" s="1"/>
  <c r="D9" i="1"/>
  <c r="D11" i="1" s="1"/>
  <c r="E7" i="1"/>
  <c r="E5" i="1"/>
  <c r="D5" i="1"/>
  <c r="D12" i="1" s="1"/>
  <c r="H53" i="1" l="1"/>
  <c r="H56" i="1" s="1"/>
  <c r="D29" i="1"/>
  <c r="D14" i="1"/>
  <c r="H11" i="1"/>
  <c r="H12" i="1"/>
  <c r="F29" i="1"/>
  <c r="E22" i="1"/>
  <c r="E23" i="1" s="1"/>
  <c r="E24" i="1" s="1"/>
  <c r="E26" i="1" s="1"/>
  <c r="E30" i="1" s="1"/>
  <c r="F22" i="1"/>
  <c r="F23" i="1" s="1"/>
  <c r="F24" i="1" s="1"/>
  <c r="E12" i="1"/>
  <c r="E38" i="1"/>
  <c r="H51" i="1"/>
  <c r="D22" i="1"/>
  <c r="D23" i="1" s="1"/>
  <c r="D24" i="1" s="1"/>
  <c r="D26" i="1" s="1"/>
  <c r="D30" i="1" s="1"/>
  <c r="F13" i="1"/>
  <c r="F14" i="1" s="1"/>
  <c r="G14" i="1"/>
  <c r="E13" i="1"/>
  <c r="H13" i="1" s="1"/>
  <c r="D7" i="1"/>
  <c r="E11" i="1"/>
  <c r="D32" i="1"/>
  <c r="H32" i="1" s="1"/>
  <c r="F12" i="1"/>
  <c r="F7" i="1"/>
  <c r="G26" i="1"/>
  <c r="G30" i="1" s="1"/>
  <c r="G31" i="1" s="1"/>
  <c r="E39" i="1"/>
  <c r="F26" i="1"/>
  <c r="F30" i="1" s="1"/>
  <c r="F31" i="1" s="1"/>
  <c r="F39" i="1"/>
  <c r="F40" i="1" s="1"/>
  <c r="G22" i="1"/>
  <c r="G23" i="1" s="1"/>
  <c r="G24" i="1" s="1"/>
  <c r="G39" i="1" s="1"/>
  <c r="G40" i="1" s="1"/>
  <c r="H30" i="1" l="1"/>
  <c r="D39" i="1"/>
  <c r="D40" i="1" s="1"/>
  <c r="E14" i="1"/>
  <c r="H14" i="1" s="1"/>
  <c r="H17" i="1" s="1"/>
  <c r="E29" i="1"/>
  <c r="E31" i="1" s="1"/>
  <c r="H29" i="1"/>
  <c r="E40" i="1"/>
  <c r="D31" i="1"/>
  <c r="H40" i="1" l="1"/>
  <c r="H34" i="1"/>
  <c r="H37" i="1" s="1"/>
  <c r="H31" i="1"/>
</calcChain>
</file>

<file path=xl/sharedStrings.xml><?xml version="1.0" encoding="utf-8"?>
<sst xmlns="http://schemas.openxmlformats.org/spreadsheetml/2006/main" count="107" uniqueCount="87">
  <si>
    <t>cv</t>
  </si>
  <si>
    <t>mc</t>
  </si>
  <si>
    <t>dv</t>
  </si>
  <si>
    <t>produção</t>
  </si>
  <si>
    <t>mc total</t>
  </si>
  <si>
    <t>vendas</t>
  </si>
  <si>
    <t>A</t>
  </si>
  <si>
    <t>B</t>
  </si>
  <si>
    <t>C</t>
  </si>
  <si>
    <t>Receita</t>
  </si>
  <si>
    <t>CF</t>
  </si>
  <si>
    <t>DF</t>
  </si>
  <si>
    <t>Resultado</t>
  </si>
  <si>
    <t>rateio criterio</t>
  </si>
  <si>
    <t>custo fixo</t>
  </si>
  <si>
    <t>cuto fixo unitario</t>
  </si>
  <si>
    <t>Custo variavel</t>
  </si>
  <si>
    <t>Custo total</t>
  </si>
  <si>
    <t>Margem bruta</t>
  </si>
  <si>
    <t>resultado</t>
  </si>
  <si>
    <t>Despesa fixa</t>
  </si>
  <si>
    <t>despesa de vendas</t>
  </si>
  <si>
    <t>diferença</t>
  </si>
  <si>
    <t>unidaes em estoque</t>
  </si>
  <si>
    <t>custo ffixos unid</t>
  </si>
  <si>
    <t>custo fixo em estoque</t>
  </si>
  <si>
    <t>D</t>
  </si>
  <si>
    <t>Os 4 mil abertos indicam que R$1.000 são alocados ao setor X que que pelo qual só passam os produtos A e B e R$1.200 estão alocados no setor x pelo qual só passam os produtos C e D</t>
  </si>
  <si>
    <t>CF identificado</t>
  </si>
  <si>
    <t>2 margem contrib</t>
  </si>
  <si>
    <t>Custo fix não ident</t>
  </si>
  <si>
    <t>Desp fixa</t>
  </si>
  <si>
    <t>CUSTEIO VARIÁVEL</t>
  </si>
  <si>
    <t>CUSTEIO POR ABSORÇÃO</t>
  </si>
  <si>
    <t>DIFERENÇA ENTRE VARIÁVEL E ABSORÇÃO</t>
  </si>
  <si>
    <t>SEGUNDA MARGEM DE CONTRIBUIÇÃO</t>
  </si>
  <si>
    <t>Preço de venda</t>
  </si>
  <si>
    <t>Comisão (15%)</t>
  </si>
  <si>
    <t>Custo variável</t>
  </si>
  <si>
    <t>mc unit</t>
  </si>
  <si>
    <t>Custos fixos</t>
  </si>
  <si>
    <t>Não finan (20%)</t>
  </si>
  <si>
    <t>PEC</t>
  </si>
  <si>
    <t>PEF</t>
  </si>
  <si>
    <t>PEE 1</t>
  </si>
  <si>
    <t>Investimento feito de R$120.000 retorno esperado de 1,5% no período</t>
  </si>
  <si>
    <t>PEE1</t>
  </si>
  <si>
    <t>PEE2</t>
  </si>
  <si>
    <t>Investidor espera um retorno de R$1,20 por unidade</t>
  </si>
  <si>
    <t>(8,20 - 1,20)</t>
  </si>
  <si>
    <t>PEE3</t>
  </si>
  <si>
    <t>investidor quer retorno fixo e variável</t>
  </si>
  <si>
    <t>Sabendo o PEC , imagine que a empresa não consegue atingir a meta necessária, mas sim 200 unidades a menos, qual deveria ser o CF total para que o PEC se iguale a zero (0)</t>
  </si>
  <si>
    <t>volume esperado de vendas = 2196-200</t>
  </si>
  <si>
    <t>1996 = x / 8,20</t>
  </si>
  <si>
    <t>Imagine que a partir do PEE1 encontrado a empreda não consiga alcançar o mesmo, só conseguiria 100 unidades a menos de venda, qual seria o retorno máximo do investimento</t>
  </si>
  <si>
    <t>2315 = (18000 + 120000 x X%) / 8,20</t>
  </si>
  <si>
    <t>= (18000 + 120000 x X%)</t>
  </si>
  <si>
    <t>= 120000 x X%</t>
  </si>
  <si>
    <t>retorno máximo</t>
  </si>
  <si>
    <t>Utlizando como base o PEC suponha que o volume de vendas atuais seja de 3000 unidades, qual a MSq, MS$ e MS%</t>
  </si>
  <si>
    <t>MSq</t>
  </si>
  <si>
    <t>=3000 - 2196</t>
  </si>
  <si>
    <t>MS$</t>
  </si>
  <si>
    <t>=804*r$15</t>
  </si>
  <si>
    <t>MS%</t>
  </si>
  <si>
    <t>=804/3000</t>
  </si>
  <si>
    <t>Base</t>
  </si>
  <si>
    <t>base</t>
  </si>
  <si>
    <t>+ 20%</t>
  </si>
  <si>
    <t>- 20%</t>
  </si>
  <si>
    <t>Volume de vendas</t>
  </si>
  <si>
    <t>Custo varáivel unit</t>
  </si>
  <si>
    <t>Custo var</t>
  </si>
  <si>
    <t>Lucro operacional</t>
  </si>
  <si>
    <t>Juros</t>
  </si>
  <si>
    <t>Variação das vendas</t>
  </si>
  <si>
    <t>Variação lucro operacional</t>
  </si>
  <si>
    <t>LAIR - lucro liquido</t>
  </si>
  <si>
    <t>Variação lucro liquido</t>
  </si>
  <si>
    <t>GAO</t>
  </si>
  <si>
    <t>GAF</t>
  </si>
  <si>
    <t>GAC</t>
  </si>
  <si>
    <t>dv - comissao 10%</t>
  </si>
  <si>
    <t>Ponto de equilibrio economico financeiro</t>
  </si>
  <si>
    <t>PEEF</t>
  </si>
  <si>
    <t>18.000 - 3.600 + 1.800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</si>
</sst>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-* #,##0_-;\-* #,##0_-;_-* &quot;-&quot;??_-;_-@_-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2" applyFont="1"/>
    <xf numFmtId="44" fontId="0" fillId="0" borderId="0" xfId="0" applyNumberFormat="1"/>
    <xf numFmtId="9" fontId="0" fillId="0" borderId="0" xfId="0" applyNumberFormat="1"/>
    <xf numFmtId="43" fontId="0" fillId="0" borderId="0" xfId="1" applyFont="1"/>
    <xf numFmtId="165" fontId="0" fillId="0" borderId="0" xfId="1" applyNumberFormat="1" applyFont="1"/>
    <xf numFmtId="166" fontId="0" fillId="0" borderId="0" xfId="3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quotePrefix="1"/>
    <xf numFmtId="10" fontId="0" fillId="0" borderId="0" xfId="3" applyNumberFormat="1" applyFont="1"/>
    <xf numFmtId="8" fontId="0" fillId="0" borderId="0" xfId="0" applyNumberFormat="1"/>
    <xf numFmtId="166" fontId="0" fillId="0" borderId="0" xfId="0" applyNumberFormat="1"/>
    <xf numFmtId="0" fontId="2" fillId="0" borderId="1" xfId="0" applyFont="1" applyBorder="1"/>
    <xf numFmtId="0" fontId="0" fillId="0" borderId="1" xfId="0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0" xfId="2" applyFont="1" applyAlignment="1">
      <alignment horizontal="center"/>
    </xf>
    <xf numFmtId="0" fontId="0" fillId="0" borderId="2" xfId="0" quotePrefix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44"/>
  <sheetViews>
    <sheetView tabSelected="1" workbookViewId="0">
      <selection activeCell="L3" sqref="L3:Q10"/>
    </sheetView>
  </sheetViews>
  <sheetFormatPr defaultRowHeight="15" x14ac:dyDescent="0.25"/>
  <cols>
    <col min="3" max="4" width="13.28515625" bestFit="1" customWidth="1"/>
    <col min="5" max="5" width="12.28515625" bestFit="1" customWidth="1"/>
    <col min="6" max="6" width="12.140625" bestFit="1" customWidth="1"/>
    <col min="7" max="7" width="12.140625" customWidth="1"/>
    <col min="8" max="8" width="13.28515625" bestFit="1" customWidth="1"/>
    <col min="10" max="10" width="24.85546875" customWidth="1"/>
    <col min="12" max="12" width="14.7109375" bestFit="1" customWidth="1"/>
    <col min="13" max="16" width="9.5703125" bestFit="1" customWidth="1"/>
  </cols>
  <sheetData>
    <row r="3" spans="2:16" x14ac:dyDescent="0.25">
      <c r="D3" t="s">
        <v>6</v>
      </c>
      <c r="E3" t="s">
        <v>7</v>
      </c>
      <c r="F3" t="s">
        <v>8</v>
      </c>
      <c r="G3" t="s">
        <v>26</v>
      </c>
      <c r="L3" s="15"/>
      <c r="M3" s="16"/>
      <c r="N3" s="16"/>
      <c r="O3" s="16"/>
      <c r="P3" s="16"/>
    </row>
    <row r="4" spans="2:16" x14ac:dyDescent="0.25">
      <c r="C4" t="s">
        <v>36</v>
      </c>
      <c r="D4" s="1">
        <v>10</v>
      </c>
      <c r="E4" s="1">
        <v>15</v>
      </c>
      <c r="F4" s="1">
        <v>22</v>
      </c>
      <c r="G4" s="1">
        <v>18</v>
      </c>
      <c r="L4" s="15"/>
      <c r="M4" s="17"/>
      <c r="N4" s="17"/>
      <c r="O4" s="17"/>
      <c r="P4" s="17"/>
    </row>
    <row r="5" spans="2:16" x14ac:dyDescent="0.25">
      <c r="C5" t="s">
        <v>83</v>
      </c>
      <c r="D5" s="2">
        <f>D4*0.1</f>
        <v>1</v>
      </c>
      <c r="E5" s="2">
        <f>E4*0.1</f>
        <v>1.5</v>
      </c>
      <c r="F5" s="2">
        <f>F4*0.1</f>
        <v>2.2000000000000002</v>
      </c>
      <c r="G5" s="2">
        <f>G4*0.1</f>
        <v>1.8</v>
      </c>
      <c r="L5" s="15"/>
      <c r="M5" s="17"/>
      <c r="N5" s="17"/>
      <c r="O5" s="17"/>
      <c r="P5" s="17"/>
    </row>
    <row r="6" spans="2:16" x14ac:dyDescent="0.25">
      <c r="C6" t="s">
        <v>0</v>
      </c>
      <c r="D6" s="1">
        <v>5</v>
      </c>
      <c r="E6" s="1">
        <v>7</v>
      </c>
      <c r="F6" s="1">
        <v>12</v>
      </c>
      <c r="G6" s="1">
        <v>10</v>
      </c>
      <c r="L6" s="15"/>
      <c r="M6" s="16"/>
      <c r="N6" s="16"/>
      <c r="O6" s="16"/>
      <c r="P6" s="16"/>
    </row>
    <row r="7" spans="2:16" x14ac:dyDescent="0.25">
      <c r="C7" t="s">
        <v>1</v>
      </c>
      <c r="D7" s="2">
        <f>D4-D5-D6</f>
        <v>4</v>
      </c>
      <c r="E7" s="2">
        <f>E4-E5-E6</f>
        <v>6.5</v>
      </c>
      <c r="F7" s="2">
        <f>F4-F5-F6</f>
        <v>7.8000000000000007</v>
      </c>
      <c r="G7" s="2">
        <f>G4-G5-G6</f>
        <v>6.1999999999999993</v>
      </c>
    </row>
    <row r="8" spans="2:16" x14ac:dyDescent="0.25">
      <c r="B8" t="s">
        <v>3</v>
      </c>
      <c r="C8" t="s">
        <v>3</v>
      </c>
      <c r="D8">
        <v>600</v>
      </c>
      <c r="E8">
        <v>400</v>
      </c>
      <c r="F8">
        <v>300</v>
      </c>
      <c r="G8">
        <v>350</v>
      </c>
    </row>
    <row r="9" spans="2:16" x14ac:dyDescent="0.25">
      <c r="B9" t="s">
        <v>5</v>
      </c>
      <c r="C9" s="3">
        <v>0.8</v>
      </c>
      <c r="D9" s="5">
        <f>D8*$C$9</f>
        <v>480</v>
      </c>
      <c r="E9" s="5">
        <f>E8*$C$9</f>
        <v>320</v>
      </c>
      <c r="F9" s="5">
        <f>F8*$C$9</f>
        <v>240</v>
      </c>
      <c r="G9" s="5">
        <f>G8*$C$9</f>
        <v>280</v>
      </c>
    </row>
    <row r="11" spans="2:16" x14ac:dyDescent="0.25">
      <c r="B11" t="s">
        <v>9</v>
      </c>
      <c r="D11" s="1">
        <f>D4*D$9</f>
        <v>4800</v>
      </c>
      <c r="E11" s="1">
        <f t="shared" ref="E11:F11" si="0">E4*E$9</f>
        <v>4800</v>
      </c>
      <c r="F11" s="1">
        <f t="shared" si="0"/>
        <v>5280</v>
      </c>
      <c r="G11" s="1">
        <f t="shared" ref="G11" si="1">G4*G$9</f>
        <v>5040</v>
      </c>
      <c r="H11" s="2">
        <f>SUM(D11:G11)</f>
        <v>19920</v>
      </c>
    </row>
    <row r="12" spans="2:16" x14ac:dyDescent="0.25">
      <c r="B12" t="s">
        <v>2</v>
      </c>
      <c r="D12" s="1">
        <f t="shared" ref="D12:F12" si="2">D5*D$9</f>
        <v>480</v>
      </c>
      <c r="E12" s="1">
        <f t="shared" si="2"/>
        <v>480</v>
      </c>
      <c r="F12" s="1">
        <f t="shared" si="2"/>
        <v>528</v>
      </c>
      <c r="G12" s="1">
        <f t="shared" ref="G12" si="3">G5*G$9</f>
        <v>504</v>
      </c>
      <c r="H12" s="2">
        <f t="shared" ref="H12:H14" si="4">SUM(D12:G12)</f>
        <v>1992</v>
      </c>
    </row>
    <row r="13" spans="2:16" x14ac:dyDescent="0.25">
      <c r="B13" t="s">
        <v>0</v>
      </c>
      <c r="D13" s="1">
        <f t="shared" ref="D13:F13" si="5">D6*D$9</f>
        <v>2400</v>
      </c>
      <c r="E13" s="1">
        <f t="shared" si="5"/>
        <v>2240</v>
      </c>
      <c r="F13" s="1">
        <f t="shared" si="5"/>
        <v>2880</v>
      </c>
      <c r="G13" s="1">
        <f t="shared" ref="G13" si="6">G6*G$9</f>
        <v>2800</v>
      </c>
      <c r="H13" s="2">
        <f t="shared" si="4"/>
        <v>10320</v>
      </c>
      <c r="J13" t="s">
        <v>32</v>
      </c>
    </row>
    <row r="14" spans="2:16" x14ac:dyDescent="0.25">
      <c r="B14" t="s">
        <v>4</v>
      </c>
      <c r="D14" s="2">
        <f>D11-D12-D13</f>
        <v>1920</v>
      </c>
      <c r="E14" s="2">
        <f t="shared" ref="E14:G14" si="7">E11-E12-E13</f>
        <v>2080</v>
      </c>
      <c r="F14" s="2">
        <f t="shared" si="7"/>
        <v>1872</v>
      </c>
      <c r="G14" s="2">
        <f t="shared" si="7"/>
        <v>1736</v>
      </c>
      <c r="H14" s="2">
        <f t="shared" si="4"/>
        <v>7608</v>
      </c>
    </row>
    <row r="15" spans="2:16" x14ac:dyDescent="0.25">
      <c r="B15" t="s">
        <v>10</v>
      </c>
      <c r="H15" s="1">
        <v>4000</v>
      </c>
    </row>
    <row r="16" spans="2:16" x14ac:dyDescent="0.25">
      <c r="B16" t="s">
        <v>11</v>
      </c>
      <c r="H16" s="1">
        <v>1200</v>
      </c>
    </row>
    <row r="17" spans="2:10" x14ac:dyDescent="0.25">
      <c r="B17" t="s">
        <v>12</v>
      </c>
      <c r="H17" s="2">
        <f>H14-H15-H16</f>
        <v>2408</v>
      </c>
    </row>
    <row r="21" spans="2:10" x14ac:dyDescent="0.25">
      <c r="B21" t="s">
        <v>13</v>
      </c>
      <c r="D21" s="2">
        <f>D6*D8</f>
        <v>3000</v>
      </c>
      <c r="E21" s="2">
        <f t="shared" ref="E21:F21" si="8">E6*E8</f>
        <v>2800</v>
      </c>
      <c r="F21" s="2">
        <f t="shared" si="8"/>
        <v>3600</v>
      </c>
      <c r="G21" s="2">
        <f t="shared" ref="G21" si="9">G6*G8</f>
        <v>3500</v>
      </c>
      <c r="H21" s="2">
        <f>SUM(D21:G21)</f>
        <v>12900</v>
      </c>
    </row>
    <row r="22" spans="2:10" x14ac:dyDescent="0.25">
      <c r="D22" s="6">
        <f>D21/$H$21</f>
        <v>0.23255813953488372</v>
      </c>
      <c r="E22" s="6">
        <f t="shared" ref="E22:G22" si="10">E21/$H$21</f>
        <v>0.21705426356589147</v>
      </c>
      <c r="F22" s="6">
        <f t="shared" si="10"/>
        <v>0.27906976744186046</v>
      </c>
      <c r="G22" s="6">
        <f t="shared" si="10"/>
        <v>0.27131782945736432</v>
      </c>
    </row>
    <row r="23" spans="2:10" x14ac:dyDescent="0.25">
      <c r="B23" t="s">
        <v>14</v>
      </c>
      <c r="D23" s="2">
        <f>D22*$H$23</f>
        <v>930.23255813953483</v>
      </c>
      <c r="E23" s="2">
        <f t="shared" ref="E23:G23" si="11">E22*$H$23</f>
        <v>868.21705426356584</v>
      </c>
      <c r="F23" s="2">
        <f t="shared" si="11"/>
        <v>1116.2790697674418</v>
      </c>
      <c r="G23" s="2">
        <f t="shared" si="11"/>
        <v>1085.2713178294573</v>
      </c>
      <c r="H23" s="1">
        <v>4000</v>
      </c>
    </row>
    <row r="24" spans="2:10" x14ac:dyDescent="0.25">
      <c r="B24" t="s">
        <v>15</v>
      </c>
      <c r="D24" s="2">
        <f>D23/D8</f>
        <v>1.5503875968992247</v>
      </c>
      <c r="E24" s="2">
        <f t="shared" ref="E24:G24" si="12">E23/E8</f>
        <v>2.1705426356589146</v>
      </c>
      <c r="F24" s="2">
        <f t="shared" si="12"/>
        <v>3.7209302325581395</v>
      </c>
      <c r="G24" s="2">
        <f t="shared" si="12"/>
        <v>3.1007751937984493</v>
      </c>
    </row>
    <row r="25" spans="2:10" x14ac:dyDescent="0.25">
      <c r="B25" t="s">
        <v>16</v>
      </c>
      <c r="D25" s="2">
        <f>D6</f>
        <v>5</v>
      </c>
      <c r="E25" s="2">
        <f t="shared" ref="E25:F25" si="13">E6</f>
        <v>7</v>
      </c>
      <c r="F25" s="2">
        <f t="shared" si="13"/>
        <v>12</v>
      </c>
      <c r="G25" s="2">
        <f t="shared" ref="G25" si="14">G6</f>
        <v>10</v>
      </c>
    </row>
    <row r="26" spans="2:10" x14ac:dyDescent="0.25">
      <c r="B26" t="s">
        <v>17</v>
      </c>
      <c r="D26" s="2">
        <f>D25+D24</f>
        <v>6.5503875968992249</v>
      </c>
      <c r="E26" s="2">
        <f t="shared" ref="E26:G26" si="15">E25+E24</f>
        <v>9.170542635658915</v>
      </c>
      <c r="F26" s="2">
        <f t="shared" si="15"/>
        <v>15.720930232558139</v>
      </c>
      <c r="G26" s="2">
        <f t="shared" si="15"/>
        <v>13.10077519379845</v>
      </c>
    </row>
    <row r="29" spans="2:10" x14ac:dyDescent="0.25">
      <c r="B29" t="s">
        <v>9</v>
      </c>
      <c r="D29" s="2">
        <f>D11</f>
        <v>4800</v>
      </c>
      <c r="E29" s="2">
        <f t="shared" ref="E29:F29" si="16">E11</f>
        <v>4800</v>
      </c>
      <c r="F29" s="2">
        <f t="shared" si="16"/>
        <v>5280</v>
      </c>
      <c r="G29" s="2">
        <f t="shared" ref="G29" si="17">G11</f>
        <v>5040</v>
      </c>
      <c r="H29" s="2">
        <f t="shared" ref="H29:H32" si="18">SUM(D29:G29)</f>
        <v>19920</v>
      </c>
    </row>
    <row r="30" spans="2:10" x14ac:dyDescent="0.25">
      <c r="B30" t="s">
        <v>17</v>
      </c>
      <c r="D30" s="1">
        <f>D26*D9</f>
        <v>3144.1860465116279</v>
      </c>
      <c r="E30" s="1">
        <f>E26*E9</f>
        <v>2934.573643410853</v>
      </c>
      <c r="F30" s="1">
        <f>F26*F9</f>
        <v>3773.0232558139533</v>
      </c>
      <c r="G30" s="1">
        <f>G26*G9</f>
        <v>3668.2170542635658</v>
      </c>
      <c r="H30" s="2">
        <f t="shared" si="18"/>
        <v>13520</v>
      </c>
    </row>
    <row r="31" spans="2:10" x14ac:dyDescent="0.25">
      <c r="B31" t="s">
        <v>18</v>
      </c>
      <c r="D31" s="2">
        <f>D29-D30</f>
        <v>1655.8139534883721</v>
      </c>
      <c r="E31" s="2">
        <f t="shared" ref="E31:G31" si="19">E29-E30</f>
        <v>1865.426356589147</v>
      </c>
      <c r="F31" s="2">
        <f t="shared" si="19"/>
        <v>1506.9767441860467</v>
      </c>
      <c r="G31" s="2">
        <f t="shared" si="19"/>
        <v>1371.7829457364342</v>
      </c>
      <c r="H31" s="2">
        <f t="shared" si="18"/>
        <v>6400</v>
      </c>
    </row>
    <row r="32" spans="2:10" x14ac:dyDescent="0.25">
      <c r="B32" t="s">
        <v>21</v>
      </c>
      <c r="D32" s="1">
        <f>D5*D9</f>
        <v>480</v>
      </c>
      <c r="E32" s="1">
        <f t="shared" ref="E32:F32" si="20">E5*E9</f>
        <v>480</v>
      </c>
      <c r="F32" s="1">
        <f t="shared" si="20"/>
        <v>528</v>
      </c>
      <c r="G32" s="1">
        <f t="shared" ref="G32" si="21">G5*G9</f>
        <v>504</v>
      </c>
      <c r="H32" s="2">
        <f t="shared" si="18"/>
        <v>1992</v>
      </c>
      <c r="J32" t="s">
        <v>33</v>
      </c>
    </row>
    <row r="33" spans="2:10" x14ac:dyDescent="0.25">
      <c r="B33" t="s">
        <v>20</v>
      </c>
      <c r="H33" s="2">
        <f>H16</f>
        <v>1200</v>
      </c>
    </row>
    <row r="34" spans="2:10" x14ac:dyDescent="0.25">
      <c r="B34" t="s">
        <v>19</v>
      </c>
      <c r="H34" s="2">
        <f>H31-H32-H33</f>
        <v>3208</v>
      </c>
    </row>
    <row r="37" spans="2:10" x14ac:dyDescent="0.25">
      <c r="B37" t="s">
        <v>22</v>
      </c>
      <c r="H37" s="2">
        <f>H34-H17</f>
        <v>800</v>
      </c>
    </row>
    <row r="38" spans="2:10" x14ac:dyDescent="0.25">
      <c r="B38" t="s">
        <v>23</v>
      </c>
      <c r="D38" s="7">
        <f>D8-D9</f>
        <v>120</v>
      </c>
      <c r="E38" s="7">
        <f t="shared" ref="E38:F38" si="22">E8-E9</f>
        <v>80</v>
      </c>
      <c r="F38" s="7">
        <f t="shared" si="22"/>
        <v>60</v>
      </c>
      <c r="G38" s="7">
        <f t="shared" ref="G38" si="23">G8-G9</f>
        <v>70</v>
      </c>
    </row>
    <row r="39" spans="2:10" x14ac:dyDescent="0.25">
      <c r="B39" t="s">
        <v>24</v>
      </c>
      <c r="D39" s="2">
        <f>D24</f>
        <v>1.5503875968992247</v>
      </c>
      <c r="E39" s="2">
        <f t="shared" ref="E39:F39" si="24">E24</f>
        <v>2.1705426356589146</v>
      </c>
      <c r="F39" s="2">
        <f t="shared" si="24"/>
        <v>3.7209302325581395</v>
      </c>
      <c r="G39" s="2">
        <f t="shared" ref="G39" si="25">G24</f>
        <v>3.1007751937984493</v>
      </c>
      <c r="J39" t="s">
        <v>34</v>
      </c>
    </row>
    <row r="40" spans="2:10" x14ac:dyDescent="0.25">
      <c r="B40" t="s">
        <v>25</v>
      </c>
      <c r="D40" s="1">
        <f>D39*D38</f>
        <v>186.04651162790697</v>
      </c>
      <c r="E40" s="1">
        <f t="shared" ref="E40:G40" si="26">E39*E38</f>
        <v>173.64341085271317</v>
      </c>
      <c r="F40" s="1">
        <f t="shared" si="26"/>
        <v>223.25581395348837</v>
      </c>
      <c r="G40" s="1">
        <f t="shared" si="26"/>
        <v>217.05426356589146</v>
      </c>
      <c r="H40" s="2">
        <f>SUM(D40:G40)</f>
        <v>800</v>
      </c>
    </row>
    <row r="43" spans="2:10" x14ac:dyDescent="0.25">
      <c r="B43" t="s">
        <v>27</v>
      </c>
    </row>
    <row r="46" spans="2:10" x14ac:dyDescent="0.25">
      <c r="D46" t="s">
        <v>6</v>
      </c>
      <c r="E46" t="s">
        <v>7</v>
      </c>
      <c r="F46" t="s">
        <v>8</v>
      </c>
      <c r="G46" t="s">
        <v>26</v>
      </c>
    </row>
    <row r="47" spans="2:10" x14ac:dyDescent="0.25">
      <c r="B47" t="s">
        <v>9</v>
      </c>
      <c r="D47" s="1">
        <v>4800</v>
      </c>
      <c r="E47" s="1">
        <v>4800</v>
      </c>
      <c r="F47" s="1">
        <v>5280</v>
      </c>
      <c r="G47" s="1">
        <v>5040</v>
      </c>
      <c r="H47" s="2">
        <f t="shared" ref="H47:H50" si="27">SUM(D47:G47)</f>
        <v>19920</v>
      </c>
    </row>
    <row r="48" spans="2:10" x14ac:dyDescent="0.25">
      <c r="B48" t="s">
        <v>2</v>
      </c>
      <c r="D48" s="1">
        <v>480</v>
      </c>
      <c r="E48" s="1">
        <v>480</v>
      </c>
      <c r="F48" s="1">
        <v>528</v>
      </c>
      <c r="G48" s="1">
        <v>504</v>
      </c>
      <c r="H48" s="2">
        <f t="shared" si="27"/>
        <v>1992</v>
      </c>
    </row>
    <row r="49" spans="1:10" x14ac:dyDescent="0.25">
      <c r="B49" t="s">
        <v>0</v>
      </c>
      <c r="D49" s="1">
        <v>2400</v>
      </c>
      <c r="E49" s="1">
        <v>2240</v>
      </c>
      <c r="F49" s="1">
        <v>2880</v>
      </c>
      <c r="G49" s="1">
        <v>2800</v>
      </c>
      <c r="H49" s="2">
        <f t="shared" si="27"/>
        <v>10320</v>
      </c>
    </row>
    <row r="50" spans="1:10" x14ac:dyDescent="0.25">
      <c r="B50" t="s">
        <v>4</v>
      </c>
      <c r="D50" s="2">
        <v>1920</v>
      </c>
      <c r="E50" s="2">
        <v>2080</v>
      </c>
      <c r="F50" s="2">
        <v>1872</v>
      </c>
      <c r="G50" s="2">
        <v>1736</v>
      </c>
      <c r="H50" s="2">
        <f t="shared" si="27"/>
        <v>7608</v>
      </c>
      <c r="J50" t="s">
        <v>35</v>
      </c>
    </row>
    <row r="51" spans="1:10" x14ac:dyDescent="0.25">
      <c r="D51" s="9">
        <f>D50+E50</f>
        <v>4000</v>
      </c>
      <c r="E51" s="8"/>
      <c r="F51" s="9">
        <f>F50+G50</f>
        <v>3608</v>
      </c>
      <c r="G51" s="9"/>
      <c r="H51" s="2">
        <f>D51+F51</f>
        <v>7608</v>
      </c>
    </row>
    <row r="52" spans="1:10" x14ac:dyDescent="0.25">
      <c r="B52" t="s">
        <v>28</v>
      </c>
      <c r="D52" s="9">
        <v>1000</v>
      </c>
      <c r="E52" s="8"/>
      <c r="F52" s="9">
        <v>1200</v>
      </c>
      <c r="G52" s="9"/>
      <c r="H52" s="2">
        <f t="shared" ref="H52:H53" si="28">D52+F52</f>
        <v>2200</v>
      </c>
    </row>
    <row r="53" spans="1:10" x14ac:dyDescent="0.25">
      <c r="B53" t="s">
        <v>29</v>
      </c>
      <c r="D53" s="9">
        <f>D51-D52</f>
        <v>3000</v>
      </c>
      <c r="E53" s="8"/>
      <c r="F53" s="9">
        <f>F51-F52</f>
        <v>2408</v>
      </c>
      <c r="G53" s="8"/>
      <c r="H53" s="2">
        <f t="shared" si="28"/>
        <v>5408</v>
      </c>
    </row>
    <row r="54" spans="1:10" x14ac:dyDescent="0.25">
      <c r="B54" t="s">
        <v>30</v>
      </c>
      <c r="H54" s="2">
        <f>H23-D52-F52</f>
        <v>1800</v>
      </c>
    </row>
    <row r="55" spans="1:10" x14ac:dyDescent="0.25">
      <c r="B55" t="s">
        <v>31</v>
      </c>
      <c r="H55" s="2">
        <f>H16</f>
        <v>1200</v>
      </c>
    </row>
    <row r="56" spans="1:10" x14ac:dyDescent="0.25">
      <c r="B56" t="s">
        <v>19</v>
      </c>
      <c r="H56" s="2">
        <f>H53-H54-H55</f>
        <v>2408</v>
      </c>
    </row>
    <row r="62" spans="1:10" x14ac:dyDescent="0.25">
      <c r="A62" t="s">
        <v>36</v>
      </c>
      <c r="C62" s="1">
        <v>15</v>
      </c>
    </row>
    <row r="63" spans="1:10" x14ac:dyDescent="0.25">
      <c r="A63" t="s">
        <v>37</v>
      </c>
      <c r="C63" s="2">
        <f>C62*0.15</f>
        <v>2.25</v>
      </c>
    </row>
    <row r="64" spans="1:10" x14ac:dyDescent="0.25">
      <c r="A64" t="s">
        <v>38</v>
      </c>
      <c r="C64" s="1">
        <v>4.55</v>
      </c>
    </row>
    <row r="65" spans="1:5" x14ac:dyDescent="0.25">
      <c r="A65" t="s">
        <v>39</v>
      </c>
      <c r="C65" s="2">
        <f>C62-C63-C64</f>
        <v>8.1999999999999993</v>
      </c>
    </row>
    <row r="67" spans="1:5" x14ac:dyDescent="0.25">
      <c r="A67" t="s">
        <v>40</v>
      </c>
      <c r="C67" s="1">
        <v>18000</v>
      </c>
    </row>
    <row r="68" spans="1:5" x14ac:dyDescent="0.25">
      <c r="A68" t="s">
        <v>41</v>
      </c>
      <c r="C68" s="2">
        <f>C67*0.2</f>
        <v>3600</v>
      </c>
    </row>
    <row r="70" spans="1:5" x14ac:dyDescent="0.25">
      <c r="A70" t="s">
        <v>42</v>
      </c>
      <c r="C70" s="2">
        <f>C67</f>
        <v>18000</v>
      </c>
      <c r="D70">
        <f>ROUNDUP(C70/C71,0)</f>
        <v>2196</v>
      </c>
    </row>
    <row r="71" spans="1:5" x14ac:dyDescent="0.25">
      <c r="C71" s="2">
        <f>C65</f>
        <v>8.1999999999999993</v>
      </c>
    </row>
    <row r="73" spans="1:5" x14ac:dyDescent="0.25">
      <c r="A73" t="s">
        <v>43</v>
      </c>
      <c r="C73" s="2">
        <f>C67-C68</f>
        <v>14400</v>
      </c>
      <c r="D73">
        <f>ROUNDUP(C73/C74,0)</f>
        <v>1757</v>
      </c>
    </row>
    <row r="74" spans="1:5" x14ac:dyDescent="0.25">
      <c r="C74" s="2">
        <f>C71</f>
        <v>8.1999999999999993</v>
      </c>
    </row>
    <row r="77" spans="1:5" x14ac:dyDescent="0.25">
      <c r="A77" t="s">
        <v>44</v>
      </c>
    </row>
    <row r="78" spans="1:5" x14ac:dyDescent="0.25">
      <c r="A78" t="s">
        <v>45</v>
      </c>
    </row>
    <row r="80" spans="1:5" x14ac:dyDescent="0.25">
      <c r="C80">
        <v>120000</v>
      </c>
      <c r="D80" s="10">
        <v>1.4999999999999999E-2</v>
      </c>
      <c r="E80">
        <f>D80*C80</f>
        <v>1800</v>
      </c>
    </row>
    <row r="82" spans="1:4" x14ac:dyDescent="0.25">
      <c r="A82" t="s">
        <v>46</v>
      </c>
      <c r="C82" s="2">
        <f>C70+E80</f>
        <v>19800</v>
      </c>
      <c r="D82">
        <f>ROUNDUP(C82/C83,0)</f>
        <v>2415</v>
      </c>
    </row>
    <row r="83" spans="1:4" x14ac:dyDescent="0.25">
      <c r="C83" s="2">
        <f>C74</f>
        <v>8.1999999999999993</v>
      </c>
    </row>
    <row r="85" spans="1:4" x14ac:dyDescent="0.25">
      <c r="A85" t="s">
        <v>47</v>
      </c>
    </row>
    <row r="86" spans="1:4" x14ac:dyDescent="0.25">
      <c r="A86" t="s">
        <v>48</v>
      </c>
    </row>
    <row r="88" spans="1:4" x14ac:dyDescent="0.25">
      <c r="A88" t="s">
        <v>47</v>
      </c>
      <c r="C88" s="2">
        <f>C70</f>
        <v>18000</v>
      </c>
    </row>
    <row r="89" spans="1:4" x14ac:dyDescent="0.25">
      <c r="C89" s="11" t="s">
        <v>49</v>
      </c>
    </row>
    <row r="91" spans="1:4" x14ac:dyDescent="0.25">
      <c r="C91" s="2">
        <f>C88</f>
        <v>18000</v>
      </c>
      <c r="D91">
        <f>ROUNDUP(C91/C92,0)</f>
        <v>2572</v>
      </c>
    </row>
    <row r="92" spans="1:4" x14ac:dyDescent="0.25">
      <c r="C92" s="2">
        <f>C83-1.2</f>
        <v>6.9999999999999991</v>
      </c>
    </row>
    <row r="95" spans="1:4" x14ac:dyDescent="0.25">
      <c r="A95" t="s">
        <v>50</v>
      </c>
    </row>
    <row r="96" spans="1:4" x14ac:dyDescent="0.25">
      <c r="A96" t="s">
        <v>51</v>
      </c>
    </row>
    <row r="98" spans="1:5" x14ac:dyDescent="0.25">
      <c r="C98" s="2">
        <f>C82</f>
        <v>19800</v>
      </c>
      <c r="D98">
        <f>ROUNDUP(C98/C99,0)</f>
        <v>2829</v>
      </c>
    </row>
    <row r="99" spans="1:5" x14ac:dyDescent="0.25">
      <c r="C99" s="2">
        <f>C92</f>
        <v>6.9999999999999991</v>
      </c>
    </row>
    <row r="102" spans="1:5" x14ac:dyDescent="0.25">
      <c r="A102" t="s">
        <v>52</v>
      </c>
    </row>
    <row r="104" spans="1:5" x14ac:dyDescent="0.25">
      <c r="A104" t="s">
        <v>53</v>
      </c>
      <c r="E104">
        <f>2196-200</f>
        <v>1996</v>
      </c>
    </row>
    <row r="106" spans="1:5" x14ac:dyDescent="0.25">
      <c r="A106" t="s">
        <v>54</v>
      </c>
      <c r="C106" s="1">
        <f>1996*8.2</f>
        <v>16367.199999999999</v>
      </c>
    </row>
    <row r="109" spans="1:5" x14ac:dyDescent="0.25">
      <c r="A109" t="s">
        <v>55</v>
      </c>
    </row>
    <row r="112" spans="1:5" x14ac:dyDescent="0.25">
      <c r="A112" t="s">
        <v>56</v>
      </c>
    </row>
    <row r="114" spans="1:6" x14ac:dyDescent="0.25">
      <c r="A114">
        <f>2315*8.2</f>
        <v>18983</v>
      </c>
      <c r="B114" s="11" t="s">
        <v>57</v>
      </c>
    </row>
    <row r="115" spans="1:6" x14ac:dyDescent="0.25">
      <c r="A115">
        <f>A114-18000</f>
        <v>983</v>
      </c>
      <c r="B115" s="11" t="s">
        <v>58</v>
      </c>
    </row>
    <row r="116" spans="1:6" x14ac:dyDescent="0.25">
      <c r="A116" s="12">
        <f>983/120000</f>
        <v>8.1916666666666665E-3</v>
      </c>
      <c r="B116" t="s">
        <v>59</v>
      </c>
    </row>
    <row r="118" spans="1:6" x14ac:dyDescent="0.25">
      <c r="A118" t="s">
        <v>84</v>
      </c>
    </row>
    <row r="120" spans="1:6" x14ac:dyDescent="0.25">
      <c r="A120" t="s">
        <v>85</v>
      </c>
      <c r="B120" s="19" t="s">
        <v>86</v>
      </c>
      <c r="C120" s="19"/>
      <c r="E120">
        <f>18000-3600+1800</f>
        <v>16200</v>
      </c>
      <c r="F120">
        <f>ROUNDUP(E120/E121,0)</f>
        <v>1976</v>
      </c>
    </row>
    <row r="121" spans="1:6" x14ac:dyDescent="0.25">
      <c r="B121" s="18">
        <v>8.1999999999999993</v>
      </c>
      <c r="C121" s="18"/>
      <c r="E121">
        <v>8.1999999999999993</v>
      </c>
    </row>
    <row r="124" spans="1:6" x14ac:dyDescent="0.25">
      <c r="A124" t="s">
        <v>60</v>
      </c>
    </row>
    <row r="126" spans="1:6" x14ac:dyDescent="0.25">
      <c r="A126" t="s">
        <v>61</v>
      </c>
      <c r="B126" s="11" t="s">
        <v>62</v>
      </c>
      <c r="D126">
        <f>3000-2196</f>
        <v>804</v>
      </c>
    </row>
    <row r="127" spans="1:6" x14ac:dyDescent="0.25">
      <c r="A127" t="s">
        <v>63</v>
      </c>
      <c r="B127" s="11" t="s">
        <v>64</v>
      </c>
      <c r="D127" s="1">
        <f>D126*15</f>
        <v>12060</v>
      </c>
    </row>
    <row r="128" spans="1:6" x14ac:dyDescent="0.25">
      <c r="A128" t="s">
        <v>65</v>
      </c>
      <c r="B128" s="11" t="s">
        <v>66</v>
      </c>
      <c r="D128" s="6">
        <f>804/3000</f>
        <v>0.26800000000000002</v>
      </c>
    </row>
    <row r="130" spans="3:11" x14ac:dyDescent="0.25">
      <c r="C130" t="s">
        <v>36</v>
      </c>
      <c r="D130" s="13">
        <v>80</v>
      </c>
    </row>
    <row r="131" spans="3:11" x14ac:dyDescent="0.25">
      <c r="C131" t="s">
        <v>71</v>
      </c>
      <c r="D131">
        <v>550</v>
      </c>
      <c r="E131">
        <f>D131*0.8</f>
        <v>440</v>
      </c>
      <c r="F131">
        <f>D131*1.2</f>
        <v>660</v>
      </c>
    </row>
    <row r="132" spans="3:11" x14ac:dyDescent="0.25">
      <c r="C132" t="s">
        <v>72</v>
      </c>
      <c r="D132" s="13">
        <v>35</v>
      </c>
    </row>
    <row r="133" spans="3:11" x14ac:dyDescent="0.25">
      <c r="C133" t="s">
        <v>40</v>
      </c>
      <c r="D133" s="13">
        <v>10000</v>
      </c>
    </row>
    <row r="134" spans="3:11" x14ac:dyDescent="0.25">
      <c r="C134" t="s">
        <v>75</v>
      </c>
      <c r="D134" s="13">
        <v>30000</v>
      </c>
      <c r="E134" s="3">
        <v>0.05</v>
      </c>
      <c r="F134" s="13">
        <f>E134*D134</f>
        <v>1500</v>
      </c>
    </row>
    <row r="137" spans="3:11" x14ac:dyDescent="0.25">
      <c r="C137" t="s">
        <v>67</v>
      </c>
      <c r="E137" s="11" t="s">
        <v>70</v>
      </c>
      <c r="F137" t="s">
        <v>68</v>
      </c>
      <c r="G137" s="11" t="s">
        <v>69</v>
      </c>
      <c r="J137" t="s">
        <v>76</v>
      </c>
      <c r="K137" s="3">
        <v>0.2</v>
      </c>
    </row>
    <row r="138" spans="3:11" x14ac:dyDescent="0.25">
      <c r="D138" t="s">
        <v>9</v>
      </c>
      <c r="E138" s="13">
        <f>E131*D130</f>
        <v>35200</v>
      </c>
      <c r="F138" s="13">
        <f>D130*D131</f>
        <v>44000</v>
      </c>
      <c r="G138" s="13">
        <f>F131*D130</f>
        <v>52800</v>
      </c>
      <c r="J138" t="s">
        <v>77</v>
      </c>
      <c r="K138" s="6">
        <f>G141/F141-1</f>
        <v>0.33559322033898309</v>
      </c>
    </row>
    <row r="139" spans="3:11" x14ac:dyDescent="0.25">
      <c r="D139" t="s">
        <v>73</v>
      </c>
      <c r="E139" s="13">
        <f>E131*D132</f>
        <v>15400</v>
      </c>
      <c r="F139" s="13">
        <f>D132*D131</f>
        <v>19250</v>
      </c>
      <c r="G139" s="13">
        <f>F131*D132</f>
        <v>23100</v>
      </c>
      <c r="J139" t="s">
        <v>79</v>
      </c>
      <c r="K139" s="14">
        <f>G144</f>
        <v>0.37358490566037728</v>
      </c>
    </row>
    <row r="140" spans="3:11" x14ac:dyDescent="0.25">
      <c r="D140" t="s">
        <v>14</v>
      </c>
      <c r="E140" s="13">
        <f>D133</f>
        <v>10000</v>
      </c>
      <c r="F140" s="13">
        <f>D133</f>
        <v>10000</v>
      </c>
      <c r="G140" s="13">
        <f>D133</f>
        <v>10000</v>
      </c>
    </row>
    <row r="141" spans="3:11" x14ac:dyDescent="0.25">
      <c r="D141" t="s">
        <v>74</v>
      </c>
      <c r="E141" s="13">
        <f>E138-E139-E140</f>
        <v>9800</v>
      </c>
      <c r="F141" s="13">
        <f t="shared" ref="F141:G141" si="29">F138-F139-F140</f>
        <v>14750</v>
      </c>
      <c r="G141" s="13">
        <f t="shared" si="29"/>
        <v>19700</v>
      </c>
      <c r="J141" t="s">
        <v>80</v>
      </c>
      <c r="K141" s="4">
        <f>K138/K137</f>
        <v>1.6779661016949154</v>
      </c>
    </row>
    <row r="142" spans="3:11" x14ac:dyDescent="0.25">
      <c r="D142" t="s">
        <v>75</v>
      </c>
      <c r="E142" s="13">
        <f>$F$134</f>
        <v>1500</v>
      </c>
      <c r="F142" s="13">
        <f t="shared" ref="F142:G142" si="30">$F$134</f>
        <v>1500</v>
      </c>
      <c r="G142" s="13">
        <f t="shared" si="30"/>
        <v>1500</v>
      </c>
      <c r="J142" t="s">
        <v>81</v>
      </c>
      <c r="K142" s="4">
        <f>K139/K138</f>
        <v>1.1132075471698109</v>
      </c>
    </row>
    <row r="143" spans="3:11" x14ac:dyDescent="0.25">
      <c r="D143" t="s">
        <v>78</v>
      </c>
      <c r="E143" s="13">
        <f>E141-E142</f>
        <v>8300</v>
      </c>
      <c r="F143" s="13">
        <f t="shared" ref="F143:G143" si="31">F141-F142</f>
        <v>13250</v>
      </c>
      <c r="G143" s="13">
        <f t="shared" si="31"/>
        <v>18200</v>
      </c>
      <c r="J143" t="s">
        <v>82</v>
      </c>
      <c r="K143" s="4">
        <f>K139/K137</f>
        <v>1.8679245283018864</v>
      </c>
    </row>
    <row r="144" spans="3:11" x14ac:dyDescent="0.25">
      <c r="E144" s="6">
        <f>E143/F143-1</f>
        <v>-0.37358490566037739</v>
      </c>
      <c r="F144" s="6"/>
      <c r="G144" s="6">
        <f>G143/F143-1</f>
        <v>0.37358490566037728</v>
      </c>
    </row>
  </sheetData>
  <mergeCells count="8">
    <mergeCell ref="B120:C120"/>
    <mergeCell ref="B121:C121"/>
    <mergeCell ref="D51:E51"/>
    <mergeCell ref="F51:G51"/>
    <mergeCell ref="D52:E52"/>
    <mergeCell ref="F52:G52"/>
    <mergeCell ref="D53:E53"/>
    <mergeCell ref="F53:G5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2016-11-13T15:59:10Z</dcterms:created>
  <dcterms:modified xsi:type="dcterms:W3CDTF">2016-11-14T02:48:25Z</dcterms:modified>
</cp:coreProperties>
</file>