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0730" windowHeight="10035"/>
  </bookViews>
  <sheets>
    <sheet name="Q2" sheetId="1" r:id="rId1"/>
    <sheet name="Q3" sheetId="4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48" i="4"/>
  <c r="G49" s="1"/>
  <c r="G46"/>
  <c r="G47" s="1"/>
  <c r="G32"/>
  <c r="G30"/>
  <c r="G29"/>
  <c r="G23" s="1"/>
  <c r="G13"/>
  <c r="G18" s="1"/>
  <c r="G12"/>
  <c r="G28" s="1"/>
  <c r="G37" s="1"/>
  <c r="C45"/>
  <c r="C23"/>
  <c r="C54"/>
  <c r="C53"/>
  <c r="C52"/>
  <c r="C50"/>
  <c r="C48"/>
  <c r="C49" s="1"/>
  <c r="C47"/>
  <c r="C46"/>
  <c r="I41" i="1"/>
  <c r="C41"/>
  <c r="I28"/>
  <c r="I15"/>
  <c r="I73"/>
  <c r="I67"/>
  <c r="I63"/>
  <c r="I62"/>
  <c r="I61"/>
  <c r="I59"/>
  <c r="I45"/>
  <c r="I58" s="1"/>
  <c r="I36"/>
  <c r="I69" s="1"/>
  <c r="I31"/>
  <c r="I30"/>
  <c r="I60" s="1"/>
  <c r="I32"/>
  <c r="I16"/>
  <c r="I49" s="1"/>
  <c r="I11"/>
  <c r="C40" i="4"/>
  <c r="C37"/>
  <c r="C32"/>
  <c r="C24"/>
  <c r="C30"/>
  <c r="C29"/>
  <c r="C13"/>
  <c r="C28"/>
  <c r="C18"/>
  <c r="C12"/>
  <c r="C73" i="1"/>
  <c r="C67"/>
  <c r="C63"/>
  <c r="C62"/>
  <c r="C61"/>
  <c r="C59"/>
  <c r="C28"/>
  <c r="C74" s="1"/>
  <c r="C75" s="1"/>
  <c r="C45"/>
  <c r="C58" s="1"/>
  <c r="C31"/>
  <c r="C36"/>
  <c r="C69" s="1"/>
  <c r="C30"/>
  <c r="C60" s="1"/>
  <c r="C16"/>
  <c r="C17" s="1"/>
  <c r="C11"/>
  <c r="H18" i="4" l="1"/>
  <c r="G50"/>
  <c r="G24"/>
  <c r="G25" s="1"/>
  <c r="G52"/>
  <c r="G53" s="1"/>
  <c r="G40"/>
  <c r="I74" i="1"/>
  <c r="I75" s="1"/>
  <c r="I17"/>
  <c r="J17" s="1"/>
  <c r="I51"/>
  <c r="I42"/>
  <c r="I43" s="1"/>
  <c r="I46" s="1"/>
  <c r="C25" i="4"/>
  <c r="D25" s="1"/>
  <c r="C51" i="1"/>
  <c r="C49"/>
  <c r="C42"/>
  <c r="C32"/>
  <c r="G54" i="4" l="1"/>
  <c r="H25"/>
  <c r="I37" i="1"/>
  <c r="I70" s="1"/>
  <c r="I71" s="1"/>
  <c r="I38"/>
  <c r="J38" s="1"/>
  <c r="I57"/>
  <c r="I64" s="1"/>
  <c r="I50"/>
  <c r="I53" s="1"/>
  <c r="J53" s="1"/>
  <c r="C33" i="4"/>
  <c r="C36" s="1"/>
  <c r="C38" s="1"/>
  <c r="C34"/>
  <c r="C39" s="1"/>
  <c r="C43" s="1"/>
  <c r="C26"/>
  <c r="D41" s="1"/>
  <c r="C43" i="1"/>
  <c r="G26" i="4" l="1"/>
  <c r="H41" s="1"/>
  <c r="G33"/>
  <c r="G36" s="1"/>
  <c r="G38" s="1"/>
  <c r="G34"/>
  <c r="G39" s="1"/>
  <c r="G43" s="1"/>
  <c r="I72" i="1"/>
  <c r="C41" i="4"/>
  <c r="C44" s="1"/>
  <c r="C46" i="1"/>
  <c r="C50" s="1"/>
  <c r="C53" s="1"/>
  <c r="G41" i="4" l="1"/>
  <c r="G44" s="1"/>
  <c r="G45" s="1"/>
  <c r="C37" i="1"/>
  <c r="D53" s="1"/>
  <c r="C57"/>
  <c r="C64" s="1"/>
  <c r="C38" l="1"/>
  <c r="D38" s="1"/>
  <c r="C70"/>
  <c r="C71" s="1"/>
  <c r="C72" s="1"/>
</calcChain>
</file>

<file path=xl/sharedStrings.xml><?xml version="1.0" encoding="utf-8"?>
<sst xmlns="http://schemas.openxmlformats.org/spreadsheetml/2006/main" count="238" uniqueCount="94">
  <si>
    <t>BALANÇO EM 31/12/X1</t>
  </si>
  <si>
    <t>Disponibilidades</t>
  </si>
  <si>
    <t>Contas a receber</t>
  </si>
  <si>
    <t>Estoques</t>
  </si>
  <si>
    <t>Imobilizado líquido</t>
  </si>
  <si>
    <t>TOTAL</t>
  </si>
  <si>
    <t>Fornecedores a pagar</t>
  </si>
  <si>
    <t>Empréstimos a pagar</t>
  </si>
  <si>
    <t>Adiantamento de clientes</t>
  </si>
  <si>
    <t>Contas a pagar</t>
  </si>
  <si>
    <t>Capital</t>
  </si>
  <si>
    <t>Reservas</t>
  </si>
  <si>
    <t>EVENTOS</t>
  </si>
  <si>
    <t>BALANÇO EM 31/12/X2</t>
  </si>
  <si>
    <t xml:space="preserve">1 - Entrega de 1/4 dos estoques iniciais aos clientes que fizeram adiantamentos no passado, liquidando toda a obrigação </t>
  </si>
  <si>
    <t>DRE - ANO X2</t>
  </si>
  <si>
    <t>Receita de venda</t>
  </si>
  <si>
    <t>(-) CMV</t>
  </si>
  <si>
    <t>(=) Lucro bruto</t>
  </si>
  <si>
    <t>2 - Despesas operacionais do período - $700,0 sendo todas a pagar</t>
  </si>
  <si>
    <t>(-) Despesas operacionais</t>
  </si>
  <si>
    <t>(=) LUCRO LÍQUIDO</t>
  </si>
  <si>
    <t>3 - Aporte de capital em dinheiro - $3.000</t>
  </si>
  <si>
    <t>(-) Despesas de depreciação</t>
  </si>
  <si>
    <t>4 - Depreciação do imobilizado - 5% ao ano</t>
  </si>
  <si>
    <t>5 - Recebimento dos saldos iniciais de contas a receber e pagamento dos saldos iniciais de fornecedores e contas a pagar;</t>
  </si>
  <si>
    <t>6 - Distribuição de lucros aos sócios, em dinheiro - $320,0</t>
  </si>
  <si>
    <t>DFX - ANO X2</t>
  </si>
  <si>
    <t>Das operacões</t>
  </si>
  <si>
    <t>Lucro líquido</t>
  </si>
  <si>
    <t>(+) Depreciação</t>
  </si>
  <si>
    <t>(+) Redução em contas a receber</t>
  </si>
  <si>
    <t>(+) Redução em estoques</t>
  </si>
  <si>
    <t>(-) Redução em fornecedores</t>
  </si>
  <si>
    <t>(-) Redução em contas a pagar</t>
  </si>
  <si>
    <t>(-) Redução em adiantamentos</t>
  </si>
  <si>
    <t>(=) TOTAL DAS OPERAÇÕES</t>
  </si>
  <si>
    <t>De investimentos</t>
  </si>
  <si>
    <t>(=) TOTAL DE INVESTIMENTOS</t>
  </si>
  <si>
    <t>De financiamentos</t>
  </si>
  <si>
    <t>Aporte de capital</t>
  </si>
  <si>
    <t>(-) Distribuição de lucros</t>
  </si>
  <si>
    <t>(=) FLUXO DE CAIXA</t>
  </si>
  <si>
    <t>Saldo inicial de caixa</t>
  </si>
  <si>
    <t>Saldo final de caixa</t>
  </si>
  <si>
    <t>FLUXO DE CAIXA</t>
  </si>
  <si>
    <t>DMPL - ANO X2</t>
  </si>
  <si>
    <t>Saldo inicial do PL</t>
  </si>
  <si>
    <t>(+) Lucro do período</t>
  </si>
  <si>
    <t>(+) Aporte de capital</t>
  </si>
  <si>
    <t>Saldo final do PL</t>
  </si>
  <si>
    <t>MÉDIA DOS SALDOS DAS CONTAS DO BALANÇO PATRIMONIAL NO ANO X13</t>
  </si>
  <si>
    <t>Imobilizado</t>
  </si>
  <si>
    <t>Fornecedores</t>
  </si>
  <si>
    <t>contas a pagar</t>
  </si>
  <si>
    <t>impostos a pagar</t>
  </si>
  <si>
    <t>PL</t>
  </si>
  <si>
    <t>capital investido</t>
  </si>
  <si>
    <t>Passivos onerosos</t>
  </si>
  <si>
    <t>DRE - ANO X13</t>
  </si>
  <si>
    <t>Receitas líquidas de vendas</t>
  </si>
  <si>
    <t>(-) Custos e despesas operacionais</t>
  </si>
  <si>
    <t>(-) Despesas financeiras</t>
  </si>
  <si>
    <t>(=) LAIR</t>
  </si>
  <si>
    <t>(-) IR/CSSLL</t>
  </si>
  <si>
    <t>EBIT</t>
  </si>
  <si>
    <t>NOPAT</t>
  </si>
  <si>
    <t>Despesas financeiras líquidas</t>
  </si>
  <si>
    <t>Margem operacional</t>
  </si>
  <si>
    <t>Giro dos investimentos</t>
  </si>
  <si>
    <t>ROI</t>
  </si>
  <si>
    <t>Ki</t>
  </si>
  <si>
    <t>P/PL</t>
  </si>
  <si>
    <t>ROE</t>
  </si>
  <si>
    <t>Ke</t>
  </si>
  <si>
    <t>EVA®</t>
  </si>
  <si>
    <t>PROVA A</t>
  </si>
  <si>
    <t>PROVA B</t>
  </si>
  <si>
    <t>6 - Distribuição de lucros aos sócios, em dinheiro - $230,0</t>
  </si>
  <si>
    <t>2 - Despesas operacionais do período - $690,0 sendo todas a pagar</t>
  </si>
  <si>
    <t>Giro dos estoques</t>
  </si>
  <si>
    <t>Prazo médio de estocagem</t>
  </si>
  <si>
    <t>vezes no ano</t>
  </si>
  <si>
    <t>dias</t>
  </si>
  <si>
    <t>Giro de contas a receber</t>
  </si>
  <si>
    <t>CICLO OPERACIONAL</t>
  </si>
  <si>
    <t>Prazo médio de cobrança</t>
  </si>
  <si>
    <t>Compras do ano</t>
  </si>
  <si>
    <t>Giro de fornecedores</t>
  </si>
  <si>
    <t>Prazo médio de pagamento</t>
  </si>
  <si>
    <t>CICLO FINANCEIRO</t>
  </si>
  <si>
    <t>no ano</t>
  </si>
  <si>
    <t>MVA®</t>
  </si>
  <si>
    <t>wacc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</si>
</sst>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3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9" fontId="3" fillId="2" borderId="0" xfId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5" fontId="3" fillId="2" borderId="0" xfId="1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0" fontId="3" fillId="2" borderId="0" xfId="1" applyNumberFormat="1" applyFont="1" applyFill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0" fontId="2" fillId="2" borderId="0" xfId="1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horizontal="left" vertical="center" wrapText="1"/>
    </xf>
    <xf numFmtId="3" fontId="3" fillId="3" borderId="0" xfId="0" applyNumberFormat="1" applyFont="1" applyFill="1" applyAlignment="1">
      <alignment horizontal="center" vertical="center" wrapText="1"/>
    </xf>
    <xf numFmtId="166" fontId="3" fillId="2" borderId="0" xfId="1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horizontal="left" vertical="center" wrapText="1"/>
    </xf>
    <xf numFmtId="3" fontId="6" fillId="4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5"/>
  <sheetViews>
    <sheetView tabSelected="1" topLeftCell="A34" zoomScale="140" zoomScaleNormal="140" workbookViewId="0">
      <selection activeCell="I53" sqref="I53"/>
    </sheetView>
  </sheetViews>
  <sheetFormatPr defaultRowHeight="11.25"/>
  <cols>
    <col min="1" max="1" width="2.85546875" style="1" customWidth="1"/>
    <col min="2" max="2" width="23.140625" style="1" customWidth="1"/>
    <col min="3" max="7" width="9.140625" style="1"/>
    <col min="8" max="8" width="23.140625" style="1" customWidth="1"/>
    <col min="9" max="12" width="9.140625" style="1"/>
    <col min="13" max="13" width="30.5703125" style="1" customWidth="1"/>
    <col min="14" max="16384" width="9.140625" style="1"/>
  </cols>
  <sheetData>
    <row r="2" spans="2:12" ht="28.5">
      <c r="B2" s="45" t="s">
        <v>76</v>
      </c>
      <c r="C2" s="45"/>
      <c r="D2" s="45"/>
      <c r="E2" s="45"/>
      <c r="F2" s="45"/>
      <c r="H2" s="45" t="s">
        <v>77</v>
      </c>
      <c r="I2" s="45"/>
      <c r="J2" s="45"/>
      <c r="K2" s="45"/>
      <c r="L2" s="45"/>
    </row>
    <row r="6" spans="2:12">
      <c r="B6" s="41" t="s">
        <v>0</v>
      </c>
      <c r="C6" s="42"/>
      <c r="H6" s="41" t="s">
        <v>0</v>
      </c>
      <c r="I6" s="42"/>
    </row>
    <row r="7" spans="2:12">
      <c r="B7" s="2" t="s">
        <v>1</v>
      </c>
      <c r="C7" s="3">
        <v>400</v>
      </c>
      <c r="H7" s="2" t="s">
        <v>1</v>
      </c>
      <c r="I7" s="3">
        <v>400</v>
      </c>
    </row>
    <row r="8" spans="2:12">
      <c r="B8" s="2" t="s">
        <v>2</v>
      </c>
      <c r="C8" s="3">
        <v>1200</v>
      </c>
      <c r="H8" s="2" t="s">
        <v>2</v>
      </c>
      <c r="I8" s="34">
        <v>1230</v>
      </c>
    </row>
    <row r="9" spans="2:12">
      <c r="B9" s="2" t="s">
        <v>3</v>
      </c>
      <c r="C9" s="3">
        <v>3200</v>
      </c>
      <c r="H9" s="2" t="s">
        <v>3</v>
      </c>
      <c r="I9" s="34">
        <v>2300</v>
      </c>
    </row>
    <row r="10" spans="2:12">
      <c r="B10" s="2" t="s">
        <v>4</v>
      </c>
      <c r="C10" s="3">
        <v>6700</v>
      </c>
      <c r="H10" s="2" t="s">
        <v>4</v>
      </c>
      <c r="I10" s="34">
        <v>7600</v>
      </c>
    </row>
    <row r="11" spans="2:12">
      <c r="B11" s="4" t="s">
        <v>5</v>
      </c>
      <c r="C11" s="5">
        <f>SUM(C7:C10)</f>
        <v>11500</v>
      </c>
      <c r="H11" s="4" t="s">
        <v>5</v>
      </c>
      <c r="I11" s="5">
        <f>SUM(I7:I10)</f>
        <v>11530</v>
      </c>
    </row>
    <row r="12" spans="2:12">
      <c r="B12" s="2" t="s">
        <v>6</v>
      </c>
      <c r="C12" s="3">
        <v>1320</v>
      </c>
      <c r="H12" s="2" t="s">
        <v>6</v>
      </c>
      <c r="I12" s="34">
        <v>1230</v>
      </c>
    </row>
    <row r="13" spans="2:12">
      <c r="B13" s="2" t="s">
        <v>9</v>
      </c>
      <c r="C13" s="3">
        <v>1280</v>
      </c>
      <c r="H13" s="2" t="s">
        <v>9</v>
      </c>
      <c r="I13" s="34">
        <v>1820</v>
      </c>
    </row>
    <row r="14" spans="2:12">
      <c r="B14" s="2" t="s">
        <v>8</v>
      </c>
      <c r="C14" s="3">
        <v>2000</v>
      </c>
      <c r="H14" s="2" t="s">
        <v>8</v>
      </c>
      <c r="I14" s="3">
        <v>2000</v>
      </c>
    </row>
    <row r="15" spans="2:12">
      <c r="B15" s="2" t="s">
        <v>10</v>
      </c>
      <c r="C15" s="3">
        <v>6340</v>
      </c>
      <c r="H15" s="2" t="s">
        <v>10</v>
      </c>
      <c r="I15" s="34">
        <f>6340+120-540</f>
        <v>5920</v>
      </c>
    </row>
    <row r="16" spans="2:12">
      <c r="B16" s="2" t="s">
        <v>11</v>
      </c>
      <c r="C16" s="3">
        <f>11500-10940</f>
        <v>560</v>
      </c>
      <c r="H16" s="2" t="s">
        <v>11</v>
      </c>
      <c r="I16" s="3">
        <f>11500-10940</f>
        <v>560</v>
      </c>
    </row>
    <row r="17" spans="2:12">
      <c r="B17" s="4" t="s">
        <v>5</v>
      </c>
      <c r="C17" s="5">
        <f>SUM(C12:C16)</f>
        <v>11500</v>
      </c>
      <c r="H17" s="4" t="s">
        <v>5</v>
      </c>
      <c r="I17" s="5">
        <f>SUM(I12:I16)</f>
        <v>11530</v>
      </c>
      <c r="J17" s="1">
        <f>I17-I11</f>
        <v>0</v>
      </c>
    </row>
    <row r="19" spans="2:12">
      <c r="B19" s="6" t="s">
        <v>12</v>
      </c>
      <c r="H19" s="6" t="s">
        <v>12</v>
      </c>
    </row>
    <row r="20" spans="2:12">
      <c r="B20" s="40" t="s">
        <v>14</v>
      </c>
      <c r="C20" s="40"/>
      <c r="D20" s="40"/>
      <c r="E20" s="40"/>
      <c r="F20" s="40"/>
      <c r="H20" s="40" t="s">
        <v>14</v>
      </c>
      <c r="I20" s="40"/>
      <c r="J20" s="40"/>
      <c r="K20" s="40"/>
      <c r="L20" s="40"/>
    </row>
    <row r="21" spans="2:12">
      <c r="B21" s="40" t="s">
        <v>19</v>
      </c>
      <c r="C21" s="40"/>
      <c r="D21" s="40"/>
      <c r="E21" s="40"/>
      <c r="F21" s="40"/>
      <c r="H21" s="46" t="s">
        <v>79</v>
      </c>
      <c r="I21" s="46"/>
      <c r="J21" s="46"/>
      <c r="K21" s="46"/>
      <c r="L21" s="46"/>
    </row>
    <row r="22" spans="2:12">
      <c r="B22" s="40" t="s">
        <v>22</v>
      </c>
      <c r="C22" s="40"/>
      <c r="D22" s="40"/>
      <c r="E22" s="40"/>
      <c r="F22" s="40"/>
      <c r="H22" s="40" t="s">
        <v>22</v>
      </c>
      <c r="I22" s="40"/>
      <c r="J22" s="40"/>
      <c r="K22" s="40"/>
      <c r="L22" s="40"/>
    </row>
    <row r="23" spans="2:12">
      <c r="B23" s="40" t="s">
        <v>24</v>
      </c>
      <c r="C23" s="40"/>
      <c r="D23" s="40"/>
      <c r="E23" s="40"/>
      <c r="F23" s="40"/>
      <c r="H23" s="40" t="s">
        <v>24</v>
      </c>
      <c r="I23" s="40"/>
      <c r="J23" s="40"/>
      <c r="K23" s="40"/>
      <c r="L23" s="40"/>
    </row>
    <row r="24" spans="2:12">
      <c r="B24" s="40" t="s">
        <v>25</v>
      </c>
      <c r="C24" s="40"/>
      <c r="D24" s="40"/>
      <c r="E24" s="40"/>
      <c r="F24" s="40"/>
      <c r="H24" s="40" t="s">
        <v>25</v>
      </c>
      <c r="I24" s="40"/>
      <c r="J24" s="40"/>
      <c r="K24" s="40"/>
      <c r="L24" s="40"/>
    </row>
    <row r="25" spans="2:12">
      <c r="B25" s="40" t="s">
        <v>26</v>
      </c>
      <c r="C25" s="40"/>
      <c r="D25" s="40"/>
      <c r="E25" s="40"/>
      <c r="F25" s="40"/>
      <c r="H25" s="46" t="s">
        <v>78</v>
      </c>
      <c r="I25" s="46"/>
      <c r="J25" s="46"/>
      <c r="K25" s="46"/>
      <c r="L25" s="46"/>
    </row>
    <row r="27" spans="2:12">
      <c r="B27" s="41" t="s">
        <v>13</v>
      </c>
      <c r="C27" s="42"/>
      <c r="H27" s="41" t="s">
        <v>13</v>
      </c>
      <c r="I27" s="42"/>
    </row>
    <row r="28" spans="2:12">
      <c r="B28" s="2" t="s">
        <v>1</v>
      </c>
      <c r="C28" s="3">
        <f>C7+3000+C8-C12-C13-320</f>
        <v>1680</v>
      </c>
      <c r="H28" s="2" t="s">
        <v>1</v>
      </c>
      <c r="I28" s="3">
        <f>I7+3000+I8-I12-I13-230</f>
        <v>1350</v>
      </c>
    </row>
    <row r="29" spans="2:12">
      <c r="B29" s="2" t="s">
        <v>2</v>
      </c>
      <c r="C29" s="3">
        <v>0</v>
      </c>
      <c r="H29" s="2" t="s">
        <v>2</v>
      </c>
      <c r="I29" s="3">
        <v>0</v>
      </c>
    </row>
    <row r="30" spans="2:12">
      <c r="B30" s="2" t="s">
        <v>3</v>
      </c>
      <c r="C30" s="3">
        <f>C9*(1-1/4)</f>
        <v>2400</v>
      </c>
      <c r="H30" s="2" t="s">
        <v>3</v>
      </c>
      <c r="I30" s="3">
        <f>I9*(1-1/4)</f>
        <v>1725</v>
      </c>
    </row>
    <row r="31" spans="2:12">
      <c r="B31" s="2" t="s">
        <v>4</v>
      </c>
      <c r="C31" s="3">
        <f>C10*(1-5%)</f>
        <v>6365</v>
      </c>
      <c r="H31" s="2" t="s">
        <v>4</v>
      </c>
      <c r="I31" s="3">
        <f>I10*(1-5%)</f>
        <v>7220</v>
      </c>
    </row>
    <row r="32" spans="2:12">
      <c r="B32" s="4" t="s">
        <v>5</v>
      </c>
      <c r="C32" s="5">
        <f>SUM(C28:C31)</f>
        <v>10445</v>
      </c>
      <c r="H32" s="4" t="s">
        <v>5</v>
      </c>
      <c r="I32" s="5">
        <f>SUM(I28:I31)</f>
        <v>10295</v>
      </c>
    </row>
    <row r="33" spans="2:10">
      <c r="B33" s="2" t="s">
        <v>6</v>
      </c>
      <c r="C33" s="3">
        <v>0</v>
      </c>
      <c r="H33" s="2" t="s">
        <v>6</v>
      </c>
      <c r="I33" s="3">
        <v>0</v>
      </c>
    </row>
    <row r="34" spans="2:10">
      <c r="B34" s="2" t="s">
        <v>9</v>
      </c>
      <c r="C34" s="3">
        <v>700</v>
      </c>
      <c r="H34" s="2" t="s">
        <v>9</v>
      </c>
      <c r="I34" s="3">
        <v>690</v>
      </c>
    </row>
    <row r="35" spans="2:10">
      <c r="B35" s="2" t="s">
        <v>8</v>
      </c>
      <c r="C35" s="3">
        <v>0</v>
      </c>
      <c r="H35" s="2" t="s">
        <v>8</v>
      </c>
      <c r="I35" s="3">
        <v>0</v>
      </c>
    </row>
    <row r="36" spans="2:10">
      <c r="B36" s="2" t="s">
        <v>10</v>
      </c>
      <c r="C36" s="3">
        <f>C15+3000</f>
        <v>9340</v>
      </c>
      <c r="H36" s="2" t="s">
        <v>10</v>
      </c>
      <c r="I36" s="3">
        <f>I15+3000</f>
        <v>8920</v>
      </c>
    </row>
    <row r="37" spans="2:10">
      <c r="B37" s="2" t="s">
        <v>11</v>
      </c>
      <c r="C37" s="3">
        <f>C16+C46-320</f>
        <v>405</v>
      </c>
      <c r="H37" s="2" t="s">
        <v>11</v>
      </c>
      <c r="I37" s="3">
        <f>I16+I46-230</f>
        <v>685</v>
      </c>
    </row>
    <row r="38" spans="2:10">
      <c r="B38" s="4" t="s">
        <v>5</v>
      </c>
      <c r="C38" s="5">
        <f>SUM(C33:C37)</f>
        <v>10445</v>
      </c>
      <c r="D38" s="1">
        <f>C38-C32</f>
        <v>0</v>
      </c>
      <c r="H38" s="4" t="s">
        <v>5</v>
      </c>
      <c r="I38" s="5">
        <f>SUM(I33:I37)</f>
        <v>10295</v>
      </c>
      <c r="J38" s="1">
        <f>I38-I32</f>
        <v>0</v>
      </c>
    </row>
    <row r="40" spans="2:10">
      <c r="B40" s="41" t="s">
        <v>15</v>
      </c>
      <c r="C40" s="42"/>
      <c r="H40" s="41" t="s">
        <v>15</v>
      </c>
      <c r="I40" s="42"/>
    </row>
    <row r="41" spans="2:10">
      <c r="B41" s="4" t="s">
        <v>16</v>
      </c>
      <c r="C41" s="10">
        <f>C14</f>
        <v>2000</v>
      </c>
      <c r="H41" s="4" t="s">
        <v>16</v>
      </c>
      <c r="I41" s="10">
        <f>I14</f>
        <v>2000</v>
      </c>
    </row>
    <row r="42" spans="2:10">
      <c r="B42" s="2" t="s">
        <v>17</v>
      </c>
      <c r="C42" s="11">
        <f>C30-C9</f>
        <v>-800</v>
      </c>
      <c r="H42" s="2" t="s">
        <v>17</v>
      </c>
      <c r="I42" s="11">
        <f>I30-I9</f>
        <v>-575</v>
      </c>
    </row>
    <row r="43" spans="2:10">
      <c r="B43" s="4" t="s">
        <v>18</v>
      </c>
      <c r="C43" s="10">
        <f>SUM(C41:C42)</f>
        <v>1200</v>
      </c>
      <c r="H43" s="4" t="s">
        <v>18</v>
      </c>
      <c r="I43" s="10">
        <f>SUM(I41:I42)</f>
        <v>1425</v>
      </c>
    </row>
    <row r="44" spans="2:10">
      <c r="B44" s="2" t="s">
        <v>20</v>
      </c>
      <c r="C44" s="11">
        <v>-700</v>
      </c>
      <c r="H44" s="2" t="s">
        <v>20</v>
      </c>
      <c r="I44" s="11">
        <v>-690</v>
      </c>
    </row>
    <row r="45" spans="2:10">
      <c r="B45" s="2" t="s">
        <v>23</v>
      </c>
      <c r="C45" s="11">
        <f>-C10*5%</f>
        <v>-335</v>
      </c>
      <c r="H45" s="2" t="s">
        <v>23</v>
      </c>
      <c r="I45" s="11">
        <f>-I10*5%</f>
        <v>-380</v>
      </c>
    </row>
    <row r="46" spans="2:10">
      <c r="B46" s="4" t="s">
        <v>21</v>
      </c>
      <c r="C46" s="10">
        <f>SUM(C43:C45)</f>
        <v>165</v>
      </c>
      <c r="H46" s="4" t="s">
        <v>21</v>
      </c>
      <c r="I46" s="10">
        <f>SUM(I43:I45)</f>
        <v>355</v>
      </c>
    </row>
    <row r="47" spans="2:10">
      <c r="B47" s="8"/>
      <c r="C47" s="9"/>
      <c r="H47" s="8"/>
      <c r="I47" s="9"/>
    </row>
    <row r="48" spans="2:10">
      <c r="B48" s="41" t="s">
        <v>46</v>
      </c>
      <c r="C48" s="42"/>
      <c r="H48" s="41" t="s">
        <v>46</v>
      </c>
      <c r="I48" s="42"/>
    </row>
    <row r="49" spans="2:10">
      <c r="B49" s="4" t="s">
        <v>47</v>
      </c>
      <c r="C49" s="10">
        <f>SUM(C15:C16)</f>
        <v>6900</v>
      </c>
      <c r="H49" s="4" t="s">
        <v>47</v>
      </c>
      <c r="I49" s="10">
        <f>SUM(I15:I16)</f>
        <v>6480</v>
      </c>
    </row>
    <row r="50" spans="2:10">
      <c r="B50" s="2" t="s">
        <v>48</v>
      </c>
      <c r="C50" s="11">
        <f>C46</f>
        <v>165</v>
      </c>
      <c r="H50" s="2" t="s">
        <v>48</v>
      </c>
      <c r="I50" s="11">
        <f>I46</f>
        <v>355</v>
      </c>
    </row>
    <row r="51" spans="2:10">
      <c r="B51" s="2" t="s">
        <v>49</v>
      </c>
      <c r="C51" s="11">
        <f>C36-C15</f>
        <v>3000</v>
      </c>
      <c r="H51" s="2" t="s">
        <v>49</v>
      </c>
      <c r="I51" s="11">
        <f>I36-I15</f>
        <v>3000</v>
      </c>
    </row>
    <row r="52" spans="2:10">
      <c r="B52" s="2" t="s">
        <v>41</v>
      </c>
      <c r="C52" s="11">
        <v>-320</v>
      </c>
      <c r="H52" s="2" t="s">
        <v>41</v>
      </c>
      <c r="I52" s="11">
        <v>-230</v>
      </c>
    </row>
    <row r="53" spans="2:10">
      <c r="B53" s="4" t="s">
        <v>50</v>
      </c>
      <c r="C53" s="10">
        <f>SUM(C49:C52)</f>
        <v>9745</v>
      </c>
      <c r="D53" s="1">
        <f>C53-SUM(C36:C37)</f>
        <v>0</v>
      </c>
      <c r="H53" s="4" t="s">
        <v>50</v>
      </c>
      <c r="I53" s="10">
        <f>SUM(I49:I52)</f>
        <v>9605</v>
      </c>
      <c r="J53" s="1">
        <f>I53-SUM(I36:I37)</f>
        <v>0</v>
      </c>
    </row>
    <row r="54" spans="2:10">
      <c r="B54" s="8"/>
      <c r="C54" s="9"/>
      <c r="H54" s="8"/>
      <c r="I54" s="9"/>
    </row>
    <row r="55" spans="2:10">
      <c r="B55" s="43" t="s">
        <v>27</v>
      </c>
      <c r="C55" s="44"/>
      <c r="H55" s="43" t="s">
        <v>27</v>
      </c>
      <c r="I55" s="44"/>
    </row>
    <row r="56" spans="2:10">
      <c r="B56" s="12" t="s">
        <v>28</v>
      </c>
      <c r="C56" s="13"/>
      <c r="H56" s="12" t="s">
        <v>28</v>
      </c>
      <c r="I56" s="13"/>
    </row>
    <row r="57" spans="2:10">
      <c r="B57" s="14" t="s">
        <v>29</v>
      </c>
      <c r="C57" s="15">
        <f>C46</f>
        <v>165</v>
      </c>
      <c r="H57" s="14" t="s">
        <v>29</v>
      </c>
      <c r="I57" s="15">
        <f>I46</f>
        <v>355</v>
      </c>
    </row>
    <row r="58" spans="2:10">
      <c r="B58" s="14" t="s">
        <v>30</v>
      </c>
      <c r="C58" s="15">
        <f>-C45</f>
        <v>335</v>
      </c>
      <c r="H58" s="14" t="s">
        <v>30</v>
      </c>
      <c r="I58" s="15">
        <f>-I45</f>
        <v>380</v>
      </c>
    </row>
    <row r="59" spans="2:10">
      <c r="B59" s="14" t="s">
        <v>31</v>
      </c>
      <c r="C59" s="15">
        <f>C8-C29</f>
        <v>1200</v>
      </c>
      <c r="H59" s="14" t="s">
        <v>31</v>
      </c>
      <c r="I59" s="15">
        <f>I8-I29</f>
        <v>1230</v>
      </c>
    </row>
    <row r="60" spans="2:10">
      <c r="B60" s="14" t="s">
        <v>32</v>
      </c>
      <c r="C60" s="15">
        <f>C9-C30</f>
        <v>800</v>
      </c>
      <c r="H60" s="14" t="s">
        <v>32</v>
      </c>
      <c r="I60" s="15">
        <f>I9-I30</f>
        <v>575</v>
      </c>
    </row>
    <row r="61" spans="2:10">
      <c r="B61" s="14" t="s">
        <v>33</v>
      </c>
      <c r="C61" s="15">
        <f>C33-C12</f>
        <v>-1320</v>
      </c>
      <c r="H61" s="14" t="s">
        <v>33</v>
      </c>
      <c r="I61" s="15">
        <f>I33-I12</f>
        <v>-1230</v>
      </c>
    </row>
    <row r="62" spans="2:10">
      <c r="B62" s="14" t="s">
        <v>34</v>
      </c>
      <c r="C62" s="15">
        <f t="shared" ref="C62:C63" si="0">C34-C13</f>
        <v>-580</v>
      </c>
      <c r="H62" s="14" t="s">
        <v>34</v>
      </c>
      <c r="I62" s="15">
        <f t="shared" ref="I62:I63" si="1">I34-I13</f>
        <v>-1130</v>
      </c>
    </row>
    <row r="63" spans="2:10">
      <c r="B63" s="14" t="s">
        <v>35</v>
      </c>
      <c r="C63" s="15">
        <f t="shared" si="0"/>
        <v>-2000</v>
      </c>
      <c r="H63" s="14" t="s">
        <v>35</v>
      </c>
      <c r="I63" s="15">
        <f t="shared" si="1"/>
        <v>-2000</v>
      </c>
    </row>
    <row r="64" spans="2:10">
      <c r="B64" s="18" t="s">
        <v>36</v>
      </c>
      <c r="C64" s="19">
        <f>SUM(C57:C63)</f>
        <v>-1400</v>
      </c>
      <c r="H64" s="18" t="s">
        <v>36</v>
      </c>
      <c r="I64" s="19">
        <f>SUM(I57:I63)</f>
        <v>-1820</v>
      </c>
    </row>
    <row r="65" spans="2:9">
      <c r="B65" s="12" t="s">
        <v>37</v>
      </c>
      <c r="C65" s="13"/>
      <c r="H65" s="12" t="s">
        <v>37</v>
      </c>
      <c r="I65" s="13"/>
    </row>
    <row r="66" spans="2:9">
      <c r="B66" s="14"/>
      <c r="C66" s="15"/>
      <c r="H66" s="14"/>
      <c r="I66" s="15"/>
    </row>
    <row r="67" spans="2:9">
      <c r="B67" s="18" t="s">
        <v>38</v>
      </c>
      <c r="C67" s="19">
        <f>SUM(C66:C66)</f>
        <v>0</v>
      </c>
      <c r="H67" s="18" t="s">
        <v>38</v>
      </c>
      <c r="I67" s="19">
        <f>SUM(I66:I66)</f>
        <v>0</v>
      </c>
    </row>
    <row r="68" spans="2:9">
      <c r="B68" s="12" t="s">
        <v>39</v>
      </c>
      <c r="C68" s="13"/>
      <c r="H68" s="12" t="s">
        <v>39</v>
      </c>
      <c r="I68" s="13"/>
    </row>
    <row r="69" spans="2:9">
      <c r="B69" s="14" t="s">
        <v>40</v>
      </c>
      <c r="C69" s="15">
        <f>C36-C15</f>
        <v>3000</v>
      </c>
      <c r="H69" s="14" t="s">
        <v>40</v>
      </c>
      <c r="I69" s="15">
        <f>I36-I15</f>
        <v>3000</v>
      </c>
    </row>
    <row r="70" spans="2:9">
      <c r="B70" s="14" t="s">
        <v>41</v>
      </c>
      <c r="C70" s="15">
        <f>C37-C16-C46</f>
        <v>-320</v>
      </c>
      <c r="H70" s="14" t="s">
        <v>41</v>
      </c>
      <c r="I70" s="15">
        <f>I37-I16-I46</f>
        <v>-230</v>
      </c>
    </row>
    <row r="71" spans="2:9">
      <c r="B71" s="18" t="s">
        <v>36</v>
      </c>
      <c r="C71" s="19">
        <f>SUM(C69:C70)</f>
        <v>2680</v>
      </c>
      <c r="H71" s="18" t="s">
        <v>36</v>
      </c>
      <c r="I71" s="19">
        <f>SUM(I69:I70)</f>
        <v>2770</v>
      </c>
    </row>
    <row r="72" spans="2:9">
      <c r="B72" s="21" t="s">
        <v>42</v>
      </c>
      <c r="C72" s="20">
        <f>SUM(C71,C67,C64)</f>
        <v>1280</v>
      </c>
      <c r="H72" s="21" t="s">
        <v>42</v>
      </c>
      <c r="I72" s="20">
        <f>SUM(I71,I67,I64)</f>
        <v>950</v>
      </c>
    </row>
    <row r="73" spans="2:9">
      <c r="B73" s="23" t="s">
        <v>43</v>
      </c>
      <c r="C73" s="24">
        <f>C7</f>
        <v>400</v>
      </c>
      <c r="H73" s="23" t="s">
        <v>43</v>
      </c>
      <c r="I73" s="24">
        <f>I7</f>
        <v>400</v>
      </c>
    </row>
    <row r="74" spans="2:9">
      <c r="B74" s="14" t="s">
        <v>44</v>
      </c>
      <c r="C74" s="25">
        <f>C28</f>
        <v>1680</v>
      </c>
      <c r="H74" s="14" t="s">
        <v>44</v>
      </c>
      <c r="I74" s="25">
        <f>I28</f>
        <v>1350</v>
      </c>
    </row>
    <row r="75" spans="2:9">
      <c r="B75" s="18" t="s">
        <v>45</v>
      </c>
      <c r="C75" s="26">
        <f>C74-C73</f>
        <v>1280</v>
      </c>
      <c r="H75" s="18" t="s">
        <v>45</v>
      </c>
      <c r="I75" s="26">
        <f>I74-I73</f>
        <v>950</v>
      </c>
    </row>
  </sheetData>
  <sortState ref="M3:N11">
    <sortCondition ref="M3:M11"/>
  </sortState>
  <mergeCells count="24">
    <mergeCell ref="H40:I40"/>
    <mergeCell ref="H48:I48"/>
    <mergeCell ref="H55:I55"/>
    <mergeCell ref="B2:F2"/>
    <mergeCell ref="H2:L2"/>
    <mergeCell ref="B55:C55"/>
    <mergeCell ref="B48:C48"/>
    <mergeCell ref="H6:I6"/>
    <mergeCell ref="H20:L20"/>
    <mergeCell ref="H21:L21"/>
    <mergeCell ref="H22:L22"/>
    <mergeCell ref="H23:L23"/>
    <mergeCell ref="H24:L24"/>
    <mergeCell ref="H25:L25"/>
    <mergeCell ref="H27:I27"/>
    <mergeCell ref="B6:C6"/>
    <mergeCell ref="B20:F20"/>
    <mergeCell ref="B27:C27"/>
    <mergeCell ref="B40:C40"/>
    <mergeCell ref="B21:F21"/>
    <mergeCell ref="B22:F22"/>
    <mergeCell ref="B23:F23"/>
    <mergeCell ref="B24:F24"/>
    <mergeCell ref="B25:F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54"/>
  <sheetViews>
    <sheetView topLeftCell="A31" zoomScale="140" zoomScaleNormal="140" workbookViewId="0">
      <selection activeCell="B56" sqref="B56"/>
    </sheetView>
  </sheetViews>
  <sheetFormatPr defaultRowHeight="11.25"/>
  <cols>
    <col min="1" max="1" width="2.85546875" style="1" customWidth="1"/>
    <col min="2" max="2" width="24.5703125" style="1" bestFit="1" customWidth="1"/>
    <col min="3" max="3" width="7.42578125" style="1" bestFit="1" customWidth="1"/>
    <col min="4" max="4" width="9.5703125" style="1" bestFit="1" customWidth="1"/>
    <col min="5" max="5" width="9.140625" style="1"/>
    <col min="6" max="6" width="24.5703125" style="1" bestFit="1" customWidth="1"/>
    <col min="7" max="7" width="7.42578125" style="1" bestFit="1" customWidth="1"/>
    <col min="8" max="8" width="9.5703125" style="1" bestFit="1" customWidth="1"/>
    <col min="9" max="16384" width="9.140625" style="1"/>
  </cols>
  <sheetData>
    <row r="3" spans="2:8" ht="23.25">
      <c r="B3" s="47" t="s">
        <v>76</v>
      </c>
      <c r="C3" s="47"/>
      <c r="D3" s="47"/>
      <c r="F3" s="47" t="s">
        <v>77</v>
      </c>
      <c r="G3" s="47"/>
      <c r="H3" s="47"/>
    </row>
    <row r="7" spans="2:8">
      <c r="B7" s="48" t="s">
        <v>51</v>
      </c>
      <c r="C7" s="48"/>
      <c r="F7" s="48" t="s">
        <v>51</v>
      </c>
      <c r="G7" s="48"/>
    </row>
    <row r="8" spans="2:8">
      <c r="B8" s="2" t="s">
        <v>1</v>
      </c>
      <c r="C8" s="3">
        <v>100</v>
      </c>
      <c r="F8" s="2" t="s">
        <v>1</v>
      </c>
      <c r="G8" s="3">
        <v>100</v>
      </c>
    </row>
    <row r="9" spans="2:8">
      <c r="B9" s="2" t="s">
        <v>2</v>
      </c>
      <c r="C9" s="3">
        <v>1230</v>
      </c>
      <c r="F9" s="2" t="s">
        <v>2</v>
      </c>
      <c r="G9" s="3">
        <v>1320</v>
      </c>
    </row>
    <row r="10" spans="2:8">
      <c r="B10" s="2" t="s">
        <v>3</v>
      </c>
      <c r="C10" s="3">
        <v>1430</v>
      </c>
      <c r="F10" s="2" t="s">
        <v>3</v>
      </c>
      <c r="G10" s="3">
        <v>1340</v>
      </c>
    </row>
    <row r="11" spans="2:8">
      <c r="B11" s="2" t="s">
        <v>52</v>
      </c>
      <c r="C11" s="3">
        <v>2540</v>
      </c>
      <c r="F11" s="2" t="s">
        <v>52</v>
      </c>
      <c r="G11" s="3">
        <v>2540</v>
      </c>
    </row>
    <row r="12" spans="2:8">
      <c r="B12" s="4" t="s">
        <v>5</v>
      </c>
      <c r="C12" s="5">
        <f>SUM(C8:C11)</f>
        <v>5300</v>
      </c>
      <c r="F12" s="4" t="s">
        <v>5</v>
      </c>
      <c r="G12" s="5">
        <f>SUM(G8:G11)</f>
        <v>5300</v>
      </c>
    </row>
    <row r="13" spans="2:8">
      <c r="B13" s="2" t="s">
        <v>53</v>
      </c>
      <c r="C13" s="3">
        <f>340-90</f>
        <v>250</v>
      </c>
      <c r="F13" s="2" t="s">
        <v>53</v>
      </c>
      <c r="G13" s="3">
        <f>340-90</f>
        <v>250</v>
      </c>
    </row>
    <row r="14" spans="2:8">
      <c r="B14" s="2" t="s">
        <v>54</v>
      </c>
      <c r="C14" s="3">
        <v>20</v>
      </c>
      <c r="F14" s="2" t="s">
        <v>54</v>
      </c>
      <c r="G14" s="3">
        <v>20</v>
      </c>
    </row>
    <row r="15" spans="2:8">
      <c r="B15" s="2" t="s">
        <v>55</v>
      </c>
      <c r="C15" s="3">
        <v>30</v>
      </c>
      <c r="F15" s="2" t="s">
        <v>55</v>
      </c>
      <c r="G15" s="3">
        <v>30</v>
      </c>
    </row>
    <row r="16" spans="2:8">
      <c r="B16" s="2" t="s">
        <v>7</v>
      </c>
      <c r="C16" s="3">
        <v>3000</v>
      </c>
      <c r="F16" s="2" t="s">
        <v>7</v>
      </c>
      <c r="G16" s="3">
        <v>2000</v>
      </c>
    </row>
    <row r="17" spans="2:8">
      <c r="B17" s="2" t="s">
        <v>56</v>
      </c>
      <c r="C17" s="3">
        <v>2000</v>
      </c>
      <c r="F17" s="2" t="s">
        <v>56</v>
      </c>
      <c r="G17" s="3">
        <v>3000</v>
      </c>
    </row>
    <row r="18" spans="2:8">
      <c r="B18" s="4" t="s">
        <v>5</v>
      </c>
      <c r="C18" s="5">
        <f>SUM(C13:C17)</f>
        <v>5300</v>
      </c>
      <c r="F18" s="4" t="s">
        <v>5</v>
      </c>
      <c r="G18" s="5">
        <f>SUM(G13:G17)</f>
        <v>5300</v>
      </c>
      <c r="H18" s="1">
        <f>G18-G12</f>
        <v>0</v>
      </c>
    </row>
    <row r="19" spans="2:8">
      <c r="B19" s="7"/>
      <c r="F19" s="7"/>
    </row>
    <row r="20" spans="2:8">
      <c r="B20" s="48" t="s">
        <v>59</v>
      </c>
      <c r="C20" s="48"/>
      <c r="F20" s="48" t="s">
        <v>59</v>
      </c>
      <c r="G20" s="48"/>
    </row>
    <row r="21" spans="2:8">
      <c r="B21" s="4" t="s">
        <v>60</v>
      </c>
      <c r="C21" s="10">
        <v>15000</v>
      </c>
      <c r="F21" s="4" t="s">
        <v>60</v>
      </c>
      <c r="G21" s="10">
        <v>14500</v>
      </c>
    </row>
    <row r="22" spans="2:8">
      <c r="B22" s="2" t="s">
        <v>61</v>
      </c>
      <c r="C22" s="11">
        <v>-14300</v>
      </c>
      <c r="F22" s="2" t="s">
        <v>61</v>
      </c>
      <c r="G22" s="11">
        <v>-13400</v>
      </c>
    </row>
    <row r="23" spans="2:8">
      <c r="B23" s="2" t="s">
        <v>62</v>
      </c>
      <c r="C23" s="11">
        <f>-C29*10%</f>
        <v>-300</v>
      </c>
      <c r="F23" s="2" t="s">
        <v>62</v>
      </c>
      <c r="G23" s="11">
        <f>-G29*12%</f>
        <v>-240</v>
      </c>
    </row>
    <row r="24" spans="2:8">
      <c r="B24" s="4" t="s">
        <v>63</v>
      </c>
      <c r="C24" s="10">
        <f>SUM(C21:C23)</f>
        <v>400</v>
      </c>
      <c r="F24" s="4" t="s">
        <v>63</v>
      </c>
      <c r="G24" s="10">
        <f>SUM(G21:G23)</f>
        <v>860</v>
      </c>
    </row>
    <row r="25" spans="2:8">
      <c r="B25" s="2" t="s">
        <v>64</v>
      </c>
      <c r="C25" s="11">
        <f>-C24*0.2</f>
        <v>-80</v>
      </c>
      <c r="D25" s="28">
        <f>-C25/C24</f>
        <v>0.2</v>
      </c>
      <c r="F25" s="2" t="s">
        <v>64</v>
      </c>
      <c r="G25" s="11">
        <f>-G24*0.3</f>
        <v>-258</v>
      </c>
      <c r="H25" s="28">
        <f>-G25/G24</f>
        <v>0.3</v>
      </c>
    </row>
    <row r="26" spans="2:8">
      <c r="B26" s="4" t="s">
        <v>21</v>
      </c>
      <c r="C26" s="10">
        <f>SUM(C24:C25)</f>
        <v>320</v>
      </c>
      <c r="F26" s="4" t="s">
        <v>21</v>
      </c>
      <c r="G26" s="10">
        <f>SUM(G24:G25)</f>
        <v>602</v>
      </c>
    </row>
    <row r="27" spans="2:8">
      <c r="B27" s="7"/>
      <c r="F27" s="7"/>
    </row>
    <row r="28" spans="2:8">
      <c r="B28" s="23" t="s">
        <v>57</v>
      </c>
      <c r="C28" s="24">
        <f>C12-SUM(C13:C15)</f>
        <v>5000</v>
      </c>
      <c r="F28" s="23" t="s">
        <v>57</v>
      </c>
      <c r="G28" s="24">
        <f>G12-SUM(G13:G15)</f>
        <v>5000</v>
      </c>
    </row>
    <row r="29" spans="2:8">
      <c r="B29" s="14" t="s">
        <v>58</v>
      </c>
      <c r="C29" s="25">
        <f>C16</f>
        <v>3000</v>
      </c>
      <c r="F29" s="14" t="s">
        <v>58</v>
      </c>
      <c r="G29" s="25">
        <f>G16</f>
        <v>2000</v>
      </c>
    </row>
    <row r="30" spans="2:8">
      <c r="B30" s="16" t="s">
        <v>56</v>
      </c>
      <c r="C30" s="27">
        <f>C17</f>
        <v>2000</v>
      </c>
      <c r="F30" s="16" t="s">
        <v>56</v>
      </c>
      <c r="G30" s="27">
        <f>G17</f>
        <v>3000</v>
      </c>
    </row>
    <row r="31" spans="2:8">
      <c r="B31" s="7"/>
      <c r="F31" s="7"/>
    </row>
    <row r="32" spans="2:8">
      <c r="B32" s="23" t="s">
        <v>65</v>
      </c>
      <c r="C32" s="32">
        <f>SUM(C21:C22)</f>
        <v>700</v>
      </c>
      <c r="F32" s="23" t="s">
        <v>65</v>
      </c>
      <c r="G32" s="32">
        <f>SUM(G21:G22)</f>
        <v>1100</v>
      </c>
    </row>
    <row r="33" spans="2:8">
      <c r="B33" s="14" t="s">
        <v>66</v>
      </c>
      <c r="C33" s="15">
        <f>C32*(1-D25)</f>
        <v>560</v>
      </c>
      <c r="F33" s="14" t="s">
        <v>66</v>
      </c>
      <c r="G33" s="15">
        <f>G32*(1-H25)</f>
        <v>770</v>
      </c>
    </row>
    <row r="34" spans="2:8">
      <c r="B34" s="16" t="s">
        <v>67</v>
      </c>
      <c r="C34" s="17">
        <f>-C23*(1-D25)</f>
        <v>240</v>
      </c>
      <c r="F34" s="16" t="s">
        <v>67</v>
      </c>
      <c r="G34" s="17">
        <f>-G23*(1-H25)</f>
        <v>168</v>
      </c>
    </row>
    <row r="35" spans="2:8">
      <c r="B35" s="7"/>
      <c r="F35" s="7"/>
    </row>
    <row r="36" spans="2:8">
      <c r="B36" s="22" t="s">
        <v>68</v>
      </c>
      <c r="C36" s="35">
        <f>C33/C21</f>
        <v>3.7333333333333336E-2</v>
      </c>
      <c r="F36" s="22" t="s">
        <v>68</v>
      </c>
      <c r="G36" s="35">
        <f>G33/G21</f>
        <v>5.3103448275862067E-2</v>
      </c>
    </row>
    <row r="37" spans="2:8">
      <c r="B37" s="22" t="s">
        <v>69</v>
      </c>
      <c r="C37" s="36">
        <f>C21/C28</f>
        <v>3</v>
      </c>
      <c r="F37" s="22" t="s">
        <v>69</v>
      </c>
      <c r="G37" s="36">
        <f>G21/G28</f>
        <v>2.9</v>
      </c>
    </row>
    <row r="38" spans="2:8">
      <c r="B38" s="22" t="s">
        <v>70</v>
      </c>
      <c r="C38" s="35">
        <f>C36*C37</f>
        <v>0.11200000000000002</v>
      </c>
      <c r="F38" s="22" t="s">
        <v>70</v>
      </c>
      <c r="G38" s="35">
        <f>G36*G37</f>
        <v>0.154</v>
      </c>
    </row>
    <row r="39" spans="2:8">
      <c r="B39" s="7" t="s">
        <v>71</v>
      </c>
      <c r="C39" s="33">
        <f>C34/C29</f>
        <v>0.08</v>
      </c>
      <c r="F39" s="7" t="s">
        <v>71</v>
      </c>
      <c r="G39" s="33">
        <f>G34/G29</f>
        <v>8.4000000000000005E-2</v>
      </c>
    </row>
    <row r="40" spans="2:8">
      <c r="B40" s="7" t="s">
        <v>72</v>
      </c>
      <c r="C40" s="31">
        <f>C29/C30</f>
        <v>1.5</v>
      </c>
      <c r="F40" s="7" t="s">
        <v>72</v>
      </c>
      <c r="G40" s="31">
        <f>G29/G30</f>
        <v>0.66666666666666663</v>
      </c>
    </row>
    <row r="41" spans="2:8">
      <c r="B41" s="7" t="s">
        <v>73</v>
      </c>
      <c r="C41" s="33">
        <f>C38+(C38-C39)*C40</f>
        <v>0.16000000000000003</v>
      </c>
      <c r="D41" s="30">
        <f>C26/C30</f>
        <v>0.16</v>
      </c>
      <c r="F41" s="7" t="s">
        <v>73</v>
      </c>
      <c r="G41" s="33">
        <f>G38+(G38-G39)*G40</f>
        <v>0.20066666666666666</v>
      </c>
      <c r="H41" s="39">
        <f>G26/G30</f>
        <v>0.20066666666666666</v>
      </c>
    </row>
    <row r="42" spans="2:8">
      <c r="B42" s="7" t="s">
        <v>74</v>
      </c>
      <c r="C42" s="33">
        <v>0.15</v>
      </c>
      <c r="F42" s="7" t="s">
        <v>74</v>
      </c>
      <c r="G42" s="33">
        <v>0.15</v>
      </c>
    </row>
    <row r="43" spans="2:8">
      <c r="B43" s="7" t="s">
        <v>93</v>
      </c>
      <c r="C43" s="33">
        <f>C29/C28*C39+C42*C30/C28</f>
        <v>0.108</v>
      </c>
      <c r="F43" s="7" t="s">
        <v>93</v>
      </c>
      <c r="G43" s="33">
        <f>G29/G28*G39+G42*G30/G28</f>
        <v>0.1236</v>
      </c>
    </row>
    <row r="44" spans="2:8">
      <c r="B44" s="7" t="s">
        <v>75</v>
      </c>
      <c r="C44" s="29">
        <f>(C41-C42)*C30</f>
        <v>20.000000000000075</v>
      </c>
      <c r="F44" s="7" t="s">
        <v>75</v>
      </c>
      <c r="G44" s="29">
        <f>(G41-G42)*G30</f>
        <v>152</v>
      </c>
    </row>
    <row r="45" spans="2:8">
      <c r="B45" s="7" t="s">
        <v>92</v>
      </c>
      <c r="C45" s="29">
        <f>C44/C43</f>
        <v>185.18518518518587</v>
      </c>
      <c r="F45" s="7" t="s">
        <v>92</v>
      </c>
      <c r="G45" s="29">
        <f>G44/G43</f>
        <v>1229.7734627831715</v>
      </c>
    </row>
    <row r="46" spans="2:8">
      <c r="B46" s="7" t="s">
        <v>80</v>
      </c>
      <c r="C46" s="1">
        <f>-(C22-300)/C10</f>
        <v>10.20979020979021</v>
      </c>
      <c r="D46" s="7" t="s">
        <v>82</v>
      </c>
      <c r="F46" s="7" t="s">
        <v>80</v>
      </c>
      <c r="G46" s="1">
        <f>-(G22-300)/G10</f>
        <v>10.223880597014926</v>
      </c>
      <c r="H46" s="7" t="s">
        <v>82</v>
      </c>
    </row>
    <row r="47" spans="2:8">
      <c r="B47" s="22" t="s">
        <v>81</v>
      </c>
      <c r="C47" s="6">
        <f>360/C46</f>
        <v>35.260273972602739</v>
      </c>
      <c r="D47" s="22" t="s">
        <v>83</v>
      </c>
      <c r="F47" s="22" t="s">
        <v>81</v>
      </c>
      <c r="G47" s="6">
        <f>360/G46</f>
        <v>35.211678832116789</v>
      </c>
      <c r="H47" s="22" t="s">
        <v>83</v>
      </c>
    </row>
    <row r="48" spans="2:8">
      <c r="B48" s="7" t="s">
        <v>84</v>
      </c>
      <c r="C48" s="1">
        <f>C21/C9</f>
        <v>12.195121951219512</v>
      </c>
      <c r="D48" s="7" t="s">
        <v>82</v>
      </c>
      <c r="F48" s="7" t="s">
        <v>84</v>
      </c>
      <c r="G48" s="1">
        <f>G21/G9</f>
        <v>10.984848484848484</v>
      </c>
      <c r="H48" s="7" t="s">
        <v>82</v>
      </c>
    </row>
    <row r="49" spans="2:8">
      <c r="B49" s="22" t="s">
        <v>86</v>
      </c>
      <c r="C49" s="6">
        <f>360/C48</f>
        <v>29.52</v>
      </c>
      <c r="D49" s="22" t="s">
        <v>83</v>
      </c>
      <c r="F49" s="22" t="s">
        <v>86</v>
      </c>
      <c r="G49" s="6">
        <f>360/G48</f>
        <v>32.772413793103446</v>
      </c>
      <c r="H49" s="22" t="s">
        <v>83</v>
      </c>
    </row>
    <row r="50" spans="2:8">
      <c r="B50" s="22" t="s">
        <v>85</v>
      </c>
      <c r="C50" s="6">
        <f>C47+C49</f>
        <v>64.780273972602743</v>
      </c>
      <c r="D50" s="22" t="s">
        <v>83</v>
      </c>
      <c r="F50" s="22" t="s">
        <v>85</v>
      </c>
      <c r="G50" s="6">
        <f>G47+G49</f>
        <v>67.984092625220228</v>
      </c>
      <c r="H50" s="22" t="s">
        <v>83</v>
      </c>
    </row>
    <row r="51" spans="2:8">
      <c r="B51" s="37" t="s">
        <v>87</v>
      </c>
      <c r="C51" s="38">
        <v>1000</v>
      </c>
      <c r="D51" s="37" t="s">
        <v>91</v>
      </c>
      <c r="F51" s="37" t="s">
        <v>87</v>
      </c>
      <c r="G51" s="38">
        <v>1000</v>
      </c>
      <c r="H51" s="37" t="s">
        <v>91</v>
      </c>
    </row>
    <row r="52" spans="2:8">
      <c r="B52" s="7" t="s">
        <v>88</v>
      </c>
      <c r="C52" s="1">
        <f>C51/C13</f>
        <v>4</v>
      </c>
      <c r="D52" s="7" t="s">
        <v>82</v>
      </c>
      <c r="F52" s="7" t="s">
        <v>88</v>
      </c>
      <c r="G52" s="1">
        <f>G51/G13</f>
        <v>4</v>
      </c>
      <c r="H52" s="7" t="s">
        <v>82</v>
      </c>
    </row>
    <row r="53" spans="2:8">
      <c r="B53" s="22" t="s">
        <v>89</v>
      </c>
      <c r="C53" s="6">
        <f>360/C52</f>
        <v>90</v>
      </c>
      <c r="D53" s="22" t="s">
        <v>83</v>
      </c>
      <c r="F53" s="22" t="s">
        <v>89</v>
      </c>
      <c r="G53" s="6">
        <f>360/G52</f>
        <v>90</v>
      </c>
      <c r="H53" s="22" t="s">
        <v>83</v>
      </c>
    </row>
    <row r="54" spans="2:8">
      <c r="B54" s="22" t="s">
        <v>90</v>
      </c>
      <c r="C54" s="6">
        <f>C50-C53</f>
        <v>-25.219726027397257</v>
      </c>
      <c r="D54" s="22" t="s">
        <v>83</v>
      </c>
      <c r="F54" s="22" t="s">
        <v>90</v>
      </c>
      <c r="G54" s="6">
        <f>G50-G53</f>
        <v>-22.015907374779772</v>
      </c>
      <c r="H54" s="22" t="s">
        <v>83</v>
      </c>
    </row>
  </sheetData>
  <mergeCells count="6">
    <mergeCell ref="B3:D3"/>
    <mergeCell ref="F3:H3"/>
    <mergeCell ref="F7:G7"/>
    <mergeCell ref="F20:G20"/>
    <mergeCell ref="B20:C20"/>
    <mergeCell ref="B7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Q2</vt:lpstr>
      <vt:lpstr>Q3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</dc:creator>
  <cp:lastModifiedBy>user</cp:lastModifiedBy>
  <dcterms:created xsi:type="dcterms:W3CDTF">2014-06-18T18:04:16Z</dcterms:created>
  <dcterms:modified xsi:type="dcterms:W3CDTF">2014-06-30T14:29:43Z</dcterms:modified>
</cp:coreProperties>
</file>