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15195" windowHeight="8010" firstSheet="5" activeTab="6"/>
  </bookViews>
  <sheets>
    <sheet name="Exemplo lucro x caixa" sheetId="1" r:id="rId1"/>
    <sheet name="Exercício inicial - lançamentos" sheetId="4" r:id="rId2"/>
    <sheet name="Exercício inicial - Demonstr" sheetId="5" r:id="rId3"/>
    <sheet name="PEPS, UEPS e Média" sheetId="6" r:id="rId4"/>
    <sheet name="CIa exemplar - lançamen" sheetId="8" r:id="rId5"/>
    <sheet name="Cia Exemp - 1ºs - demonstr" sheetId="7" r:id="rId6"/>
    <sheet name="Exemplo análise econômica" sheetId="2" r:id="rId7"/>
    <sheet name="Plan3" sheetId="3" r:id="rId8"/>
  </sheets>
  <calcPr calcId="124519"/>
  <fileRecoveryPr repairLoad="1"/>
</workbook>
</file>

<file path=xl/calcChain.xml><?xml version="1.0" encoding="utf-8"?>
<calcChain xmlns="http://schemas.openxmlformats.org/spreadsheetml/2006/main">
  <c r="C101" i="2"/>
  <c r="C100"/>
  <c r="C103" s="1"/>
  <c r="C109" l="1"/>
  <c r="C104"/>
  <c r="C105" s="1"/>
  <c r="C89"/>
  <c r="C91" s="1"/>
  <c r="C92" s="1"/>
  <c r="C86"/>
  <c r="C87" s="1"/>
  <c r="C83"/>
  <c r="C84" s="1"/>
  <c r="C115" l="1"/>
  <c r="C94"/>
  <c r="C95" s="1"/>
  <c r="F67" i="7"/>
  <c r="F53"/>
  <c r="F52"/>
  <c r="F36"/>
  <c r="F80" s="1"/>
  <c r="F99" s="1"/>
  <c r="F34"/>
  <c r="F79" s="1"/>
  <c r="F32"/>
  <c r="F31"/>
  <c r="F29"/>
  <c r="F28"/>
  <c r="F21"/>
  <c r="F20"/>
  <c r="F18"/>
  <c r="F15"/>
  <c r="F86" s="1"/>
  <c r="F14"/>
  <c r="F10"/>
  <c r="F9"/>
  <c r="F8"/>
  <c r="F6"/>
  <c r="F5"/>
  <c r="F4"/>
  <c r="O64" i="8"/>
  <c r="H64" s="1"/>
  <c r="E66" i="7" l="1"/>
  <c r="E67"/>
  <c r="E53"/>
  <c r="E52"/>
  <c r="E36"/>
  <c r="E80" s="1"/>
  <c r="E99" s="1"/>
  <c r="E34"/>
  <c r="E79" s="1"/>
  <c r="E29"/>
  <c r="E28"/>
  <c r="K43" i="8"/>
  <c r="D67" i="7"/>
  <c r="D59"/>
  <c r="D53"/>
  <c r="D52"/>
  <c r="D36"/>
  <c r="D80" s="1"/>
  <c r="D99" s="1"/>
  <c r="D28"/>
  <c r="F15" i="8"/>
  <c r="D16"/>
  <c r="D25" s="1"/>
  <c r="D5" i="7" s="1"/>
  <c r="D82" s="1"/>
  <c r="H30"/>
  <c r="H35" s="1"/>
  <c r="H38" s="1"/>
  <c r="G30"/>
  <c r="G35" s="1"/>
  <c r="G38" s="1"/>
  <c r="F30"/>
  <c r="F35" s="1"/>
  <c r="F38" s="1"/>
  <c r="C35"/>
  <c r="C38" s="1"/>
  <c r="C30"/>
  <c r="C66"/>
  <c r="C65"/>
  <c r="C59"/>
  <c r="C53"/>
  <c r="C45"/>
  <c r="C48" s="1"/>
  <c r="D44" s="1"/>
  <c r="E30" l="1"/>
  <c r="E35" s="1"/>
  <c r="E38" s="1"/>
  <c r="D35" i="8"/>
  <c r="B47" i="2" l="1"/>
  <c r="C45"/>
  <c r="B45"/>
  <c r="C41"/>
  <c r="F41" s="1"/>
  <c r="C40"/>
  <c r="F40" s="1"/>
  <c r="C38"/>
  <c r="F38" s="1"/>
  <c r="C37"/>
  <c r="B41"/>
  <c r="B40"/>
  <c r="B39"/>
  <c r="B38"/>
  <c r="B37"/>
  <c r="C35"/>
  <c r="C34"/>
  <c r="C32"/>
  <c r="C31"/>
  <c r="C27"/>
  <c r="C28" s="1"/>
  <c r="C22"/>
  <c r="P10" i="8"/>
  <c r="N16" s="1"/>
  <c r="O10"/>
  <c r="M16" s="1"/>
  <c r="N10"/>
  <c r="M10"/>
  <c r="L10"/>
  <c r="K10"/>
  <c r="J16" s="1"/>
  <c r="J25" s="1"/>
  <c r="J10"/>
  <c r="I10"/>
  <c r="H16" s="1"/>
  <c r="H25" s="1"/>
  <c r="H10"/>
  <c r="G16" s="1"/>
  <c r="G25" s="1"/>
  <c r="G10"/>
  <c r="F10"/>
  <c r="D10"/>
  <c r="R129"/>
  <c r="O129"/>
  <c r="C129" s="1"/>
  <c r="S115"/>
  <c r="C113"/>
  <c r="L97"/>
  <c r="L107" s="1"/>
  <c r="L131" s="1"/>
  <c r="H97"/>
  <c r="H107" s="1"/>
  <c r="H131" s="1"/>
  <c r="G97"/>
  <c r="G107" s="1"/>
  <c r="G131" s="1"/>
  <c r="F97"/>
  <c r="F107" s="1"/>
  <c r="F131" s="1"/>
  <c r="S95"/>
  <c r="O95" s="1"/>
  <c r="O97" s="1"/>
  <c r="O107" s="1"/>
  <c r="S94"/>
  <c r="S96" s="1"/>
  <c r="R96" s="1"/>
  <c r="I73"/>
  <c r="O67"/>
  <c r="M67" s="1"/>
  <c r="D46"/>
  <c r="F95" i="7"/>
  <c r="F91"/>
  <c r="F96" s="1"/>
  <c r="E91"/>
  <c r="E96" s="1"/>
  <c r="D91"/>
  <c r="D96" s="1"/>
  <c r="C91"/>
  <c r="C96" s="1"/>
  <c r="C69"/>
  <c r="G69"/>
  <c r="H69"/>
  <c r="F69"/>
  <c r="E69"/>
  <c r="D69"/>
  <c r="C63"/>
  <c r="H63"/>
  <c r="G63"/>
  <c r="F63"/>
  <c r="E63"/>
  <c r="D63"/>
  <c r="F58"/>
  <c r="F64" s="1"/>
  <c r="E58"/>
  <c r="E64" s="1"/>
  <c r="D58"/>
  <c r="D64" s="1"/>
  <c r="C58"/>
  <c r="C64" s="1"/>
  <c r="D57"/>
  <c r="C57"/>
  <c r="H57"/>
  <c r="G57"/>
  <c r="F57"/>
  <c r="E57"/>
  <c r="H43"/>
  <c r="H51" s="1"/>
  <c r="E43"/>
  <c r="D43"/>
  <c r="C43"/>
  <c r="G95"/>
  <c r="G101"/>
  <c r="C40"/>
  <c r="C78" s="1"/>
  <c r="H40"/>
  <c r="G40"/>
  <c r="F40"/>
  <c r="E40"/>
  <c r="E27"/>
  <c r="D27"/>
  <c r="C27"/>
  <c r="H101"/>
  <c r="D101"/>
  <c r="H13"/>
  <c r="G13"/>
  <c r="F13"/>
  <c r="E13"/>
  <c r="D13"/>
  <c r="C13"/>
  <c r="E95"/>
  <c r="H73"/>
  <c r="G73"/>
  <c r="F73"/>
  <c r="H78" l="1"/>
  <c r="H46"/>
  <c r="H48" s="1"/>
  <c r="G78"/>
  <c r="G46"/>
  <c r="G48" s="1"/>
  <c r="C46" i="2"/>
  <c r="C55" s="1"/>
  <c r="C33"/>
  <c r="F31"/>
  <c r="D31"/>
  <c r="F32"/>
  <c r="D32"/>
  <c r="E32" s="1"/>
  <c r="F37"/>
  <c r="E37"/>
  <c r="D37"/>
  <c r="D34"/>
  <c r="D45" s="1"/>
  <c r="D46" s="1"/>
  <c r="C59"/>
  <c r="D35"/>
  <c r="D38"/>
  <c r="C39"/>
  <c r="C42" s="1"/>
  <c r="E38"/>
  <c r="D40"/>
  <c r="E40"/>
  <c r="D41"/>
  <c r="E41"/>
  <c r="F70" i="7"/>
  <c r="F78"/>
  <c r="F46"/>
  <c r="D56" i="8"/>
  <c r="E5" i="7"/>
  <c r="E46"/>
  <c r="E78"/>
  <c r="J35" i="8"/>
  <c r="J46" s="1"/>
  <c r="J56" s="1"/>
  <c r="J68" s="1"/>
  <c r="K78" s="1"/>
  <c r="K97" s="1"/>
  <c r="K107" s="1"/>
  <c r="K131" s="1"/>
  <c r="D9" i="7"/>
  <c r="D92" s="1"/>
  <c r="D95" s="1"/>
  <c r="G35" i="8"/>
  <c r="G46" s="1"/>
  <c r="H35"/>
  <c r="H46" s="1"/>
  <c r="H56" s="1"/>
  <c r="H70" i="7"/>
  <c r="C85"/>
  <c r="C14"/>
  <c r="I16" i="8"/>
  <c r="I25" s="1"/>
  <c r="I35" s="1"/>
  <c r="K16"/>
  <c r="K25" s="1"/>
  <c r="K35" s="1"/>
  <c r="C97" i="7"/>
  <c r="C18"/>
  <c r="C16" i="8"/>
  <c r="C25" s="1"/>
  <c r="C4" i="7"/>
  <c r="C73" s="1"/>
  <c r="D72" s="1"/>
  <c r="C20"/>
  <c r="L16" i="8"/>
  <c r="L25" s="1"/>
  <c r="L35" s="1"/>
  <c r="C98" i="7"/>
  <c r="E16" i="8"/>
  <c r="C6" i="7"/>
  <c r="C92"/>
  <c r="C95" s="1"/>
  <c r="F16" i="8"/>
  <c r="F25" s="1"/>
  <c r="C8" i="7"/>
  <c r="O131" i="8"/>
  <c r="D68"/>
  <c r="D78" s="1"/>
  <c r="D97" s="1"/>
  <c r="D107" s="1"/>
  <c r="D131" s="1"/>
  <c r="E70" i="7"/>
  <c r="G70"/>
  <c r="C70"/>
  <c r="M94" i="8"/>
  <c r="M97" s="1"/>
  <c r="M107" s="1"/>
  <c r="H12" i="7"/>
  <c r="H72"/>
  <c r="H74" s="1"/>
  <c r="H95"/>
  <c r="G12"/>
  <c r="G24"/>
  <c r="D70"/>
  <c r="G72"/>
  <c r="G74" s="1"/>
  <c r="F12"/>
  <c r="F101"/>
  <c r="F24"/>
  <c r="H24"/>
  <c r="H77"/>
  <c r="H91" s="1"/>
  <c r="H96" s="1"/>
  <c r="H58"/>
  <c r="H64" s="1"/>
  <c r="H68" i="5"/>
  <c r="H100" s="1"/>
  <c r="H59"/>
  <c r="H66"/>
  <c r="H67"/>
  <c r="H54"/>
  <c r="H52"/>
  <c r="H53"/>
  <c r="H55"/>
  <c r="H47"/>
  <c r="H39"/>
  <c r="H36"/>
  <c r="H80" s="1"/>
  <c r="H99" s="1"/>
  <c r="H34"/>
  <c r="H79" s="1"/>
  <c r="H33"/>
  <c r="H32"/>
  <c r="H31"/>
  <c r="H29"/>
  <c r="H28"/>
  <c r="H21"/>
  <c r="H20"/>
  <c r="H19"/>
  <c r="H17"/>
  <c r="H16"/>
  <c r="H15"/>
  <c r="H14"/>
  <c r="H13"/>
  <c r="H10"/>
  <c r="H9"/>
  <c r="H7"/>
  <c r="H6"/>
  <c r="H5"/>
  <c r="H4"/>
  <c r="R125" i="4"/>
  <c r="O125" s="1"/>
  <c r="C125" s="1"/>
  <c r="E82" i="7" l="1"/>
  <c r="F82"/>
  <c r="F35" i="2"/>
  <c r="D39"/>
  <c r="F33"/>
  <c r="F51" s="1"/>
  <c r="F78"/>
  <c r="D51"/>
  <c r="C51"/>
  <c r="C53"/>
  <c r="E39"/>
  <c r="D33"/>
  <c r="D53" s="1"/>
  <c r="E31"/>
  <c r="E33" s="1"/>
  <c r="E34" s="1"/>
  <c r="D55"/>
  <c r="D59"/>
  <c r="F34"/>
  <c r="F39"/>
  <c r="F42" s="1"/>
  <c r="F43" s="1"/>
  <c r="F44" s="1"/>
  <c r="C54"/>
  <c r="D42"/>
  <c r="E42"/>
  <c r="E43" s="1"/>
  <c r="E44" s="1"/>
  <c r="D43"/>
  <c r="D44" s="1"/>
  <c r="E9" i="7"/>
  <c r="G56" i="8"/>
  <c r="G68" s="1"/>
  <c r="H68"/>
  <c r="I78" s="1"/>
  <c r="I97" s="1"/>
  <c r="I107" s="1"/>
  <c r="I131" s="1"/>
  <c r="E10" i="7"/>
  <c r="D8"/>
  <c r="F35" i="8"/>
  <c r="F46" s="1"/>
  <c r="I46"/>
  <c r="D14" i="7"/>
  <c r="L46" i="8"/>
  <c r="D20" i="7"/>
  <c r="C35" i="8"/>
  <c r="C46" s="1"/>
  <c r="D4" i="7"/>
  <c r="C83"/>
  <c r="C90" s="1"/>
  <c r="K46" i="8"/>
  <c r="D18" i="7"/>
  <c r="C101"/>
  <c r="C74"/>
  <c r="E18" i="8"/>
  <c r="N18" s="1"/>
  <c r="C12" i="7"/>
  <c r="C24"/>
  <c r="C43" i="2"/>
  <c r="C44" s="1"/>
  <c r="C50" s="1"/>
  <c r="G90" i="7"/>
  <c r="G102" s="1"/>
  <c r="H90"/>
  <c r="H102" s="1"/>
  <c r="S111" i="4"/>
  <c r="C109"/>
  <c r="D54" i="2" l="1"/>
  <c r="E51"/>
  <c r="C57"/>
  <c r="C111" s="1"/>
  <c r="C113" s="1"/>
  <c r="C117" s="1"/>
  <c r="F53"/>
  <c r="F59"/>
  <c r="F45"/>
  <c r="F46" s="1"/>
  <c r="F50"/>
  <c r="F52" s="1"/>
  <c r="F49"/>
  <c r="D57"/>
  <c r="E53"/>
  <c r="E45"/>
  <c r="E46" s="1"/>
  <c r="E35"/>
  <c r="E59" s="1"/>
  <c r="C52"/>
  <c r="C58" s="1"/>
  <c r="C60" s="1"/>
  <c r="C61" s="1"/>
  <c r="C63" s="1"/>
  <c r="F54"/>
  <c r="E50"/>
  <c r="E49"/>
  <c r="D47"/>
  <c r="D50"/>
  <c r="D52" s="1"/>
  <c r="D49"/>
  <c r="E8" i="7"/>
  <c r="F56" i="8"/>
  <c r="F68" s="1"/>
  <c r="I56"/>
  <c r="I68" s="1"/>
  <c r="J78" s="1"/>
  <c r="J97" s="1"/>
  <c r="J107" s="1"/>
  <c r="J131" s="1"/>
  <c r="E14" i="7"/>
  <c r="F85" s="1"/>
  <c r="K56" i="8"/>
  <c r="K68" s="1"/>
  <c r="N78" s="1"/>
  <c r="N97" s="1"/>
  <c r="N107" s="1"/>
  <c r="N131" s="1"/>
  <c r="E18" i="7"/>
  <c r="E97" s="1"/>
  <c r="E101" s="1"/>
  <c r="C56" i="8"/>
  <c r="C68" s="1"/>
  <c r="C78" s="1"/>
  <c r="C97" s="1"/>
  <c r="C107" s="1"/>
  <c r="C131" s="1"/>
  <c r="E4" i="7"/>
  <c r="L56" i="8"/>
  <c r="L68" s="1"/>
  <c r="P78" s="1"/>
  <c r="P97" s="1"/>
  <c r="P107" s="1"/>
  <c r="P131" s="1"/>
  <c r="E20" i="7"/>
  <c r="C102"/>
  <c r="C105" s="1"/>
  <c r="D104" s="1"/>
  <c r="D73"/>
  <c r="N24" i="8"/>
  <c r="M24" s="1"/>
  <c r="M25" s="1"/>
  <c r="M35" s="1"/>
  <c r="D29" i="7"/>
  <c r="D30" s="1"/>
  <c r="D35" s="1"/>
  <c r="D38" s="1"/>
  <c r="D40" s="1"/>
  <c r="D85"/>
  <c r="E25" i="8"/>
  <c r="C47" i="2"/>
  <c r="C49"/>
  <c r="C62" s="1"/>
  <c r="C65" s="1"/>
  <c r="C67" s="1"/>
  <c r="C69" s="1"/>
  <c r="K19" i="5"/>
  <c r="K9"/>
  <c r="K8"/>
  <c r="E52" i="2" l="1"/>
  <c r="F47"/>
  <c r="D62"/>
  <c r="D65" s="1"/>
  <c r="D67" s="1"/>
  <c r="F55"/>
  <c r="F57" s="1"/>
  <c r="F62" s="1"/>
  <c r="F65" s="1"/>
  <c r="F67" s="1"/>
  <c r="E47"/>
  <c r="E54"/>
  <c r="E78"/>
  <c r="E55"/>
  <c r="D58"/>
  <c r="D60" s="1"/>
  <c r="D61" s="1"/>
  <c r="D63" s="1"/>
  <c r="E58"/>
  <c r="E60" s="1"/>
  <c r="E61" s="1"/>
  <c r="E63" s="1"/>
  <c r="D71"/>
  <c r="D69"/>
  <c r="D77" s="1"/>
  <c r="D79" s="1"/>
  <c r="E73" i="7"/>
  <c r="F72" s="1"/>
  <c r="F74" s="1"/>
  <c r="E85"/>
  <c r="C106"/>
  <c r="D6"/>
  <c r="E35" i="8"/>
  <c r="E46" s="1"/>
  <c r="E6" i="7" s="1"/>
  <c r="D46"/>
  <c r="D48" s="1"/>
  <c r="E44" s="1"/>
  <c r="E48" s="1"/>
  <c r="D78"/>
  <c r="D21"/>
  <c r="D24" s="1"/>
  <c r="N25" i="8"/>
  <c r="N35" s="1"/>
  <c r="E72" i="7"/>
  <c r="E74" s="1"/>
  <c r="D74"/>
  <c r="E28" i="8"/>
  <c r="K21" i="5"/>
  <c r="H73"/>
  <c r="H69"/>
  <c r="H63"/>
  <c r="H57"/>
  <c r="H43"/>
  <c r="H51" s="1"/>
  <c r="H30"/>
  <c r="H35" s="1"/>
  <c r="H38" s="1"/>
  <c r="H40" s="1"/>
  <c r="H24"/>
  <c r="H12"/>
  <c r="E12" i="7" l="1"/>
  <c r="F83"/>
  <c r="F90" s="1"/>
  <c r="F102" s="1"/>
  <c r="E57" i="2"/>
  <c r="E62" s="1"/>
  <c r="E65" s="1"/>
  <c r="E67" s="1"/>
  <c r="E71" s="1"/>
  <c r="E74" s="1"/>
  <c r="E69"/>
  <c r="E77" s="1"/>
  <c r="E79" s="1"/>
  <c r="F58"/>
  <c r="F60" s="1"/>
  <c r="F61" s="1"/>
  <c r="F63" s="1"/>
  <c r="F71"/>
  <c r="F74" s="1"/>
  <c r="F69"/>
  <c r="D83" i="7"/>
  <c r="E83"/>
  <c r="E90" s="1"/>
  <c r="E102" s="1"/>
  <c r="D12"/>
  <c r="D90"/>
  <c r="D102" s="1"/>
  <c r="D105" s="1"/>
  <c r="E104" s="1"/>
  <c r="N45" i="8"/>
  <c r="M45" s="1"/>
  <c r="M46" s="1"/>
  <c r="E29"/>
  <c r="E56"/>
  <c r="E68" s="1"/>
  <c r="E49"/>
  <c r="H46" i="5"/>
  <c r="H78"/>
  <c r="H70"/>
  <c r="H77"/>
  <c r="H91" s="1"/>
  <c r="H96" s="1"/>
  <c r="H58"/>
  <c r="H64" s="1"/>
  <c r="G93"/>
  <c r="G59"/>
  <c r="G53"/>
  <c r="G54"/>
  <c r="G67"/>
  <c r="G52"/>
  <c r="G37"/>
  <c r="G33"/>
  <c r="G36"/>
  <c r="G80" s="1"/>
  <c r="G99" s="1"/>
  <c r="G101" s="1"/>
  <c r="G34"/>
  <c r="G79" s="1"/>
  <c r="G32"/>
  <c r="G31"/>
  <c r="G29"/>
  <c r="G28"/>
  <c r="S91" i="4"/>
  <c r="O91" s="1"/>
  <c r="O93" s="1"/>
  <c r="O103" s="1"/>
  <c r="O127" s="1"/>
  <c r="S90"/>
  <c r="M90" s="1"/>
  <c r="M93" s="1"/>
  <c r="M103" s="1"/>
  <c r="F93"/>
  <c r="F103" s="1"/>
  <c r="F127" s="1"/>
  <c r="L93"/>
  <c r="L103" s="1"/>
  <c r="L127" s="1"/>
  <c r="G13" i="5"/>
  <c r="E105" i="7" l="1"/>
  <c r="F104" s="1"/>
  <c r="F105" s="1"/>
  <c r="F106" s="1"/>
  <c r="F77" i="2"/>
  <c r="F79" s="1"/>
  <c r="D106" i="7"/>
  <c r="M56" i="8"/>
  <c r="M68" s="1"/>
  <c r="Q78" s="1"/>
  <c r="Q97" s="1"/>
  <c r="Q107" s="1"/>
  <c r="Q131" s="1"/>
  <c r="E21" i="7"/>
  <c r="N68" i="8"/>
  <c r="N46"/>
  <c r="O56" s="1"/>
  <c r="O68" s="1"/>
  <c r="S78" s="1"/>
  <c r="S97" s="1"/>
  <c r="S107" s="1"/>
  <c r="E78"/>
  <c r="E97" s="1"/>
  <c r="E71"/>
  <c r="G104" i="7"/>
  <c r="G105" s="1"/>
  <c r="G17" i="5"/>
  <c r="G7"/>
  <c r="G19"/>
  <c r="G16"/>
  <c r="G47"/>
  <c r="G39"/>
  <c r="G81"/>
  <c r="G92" s="1"/>
  <c r="F32" i="6"/>
  <c r="F31"/>
  <c r="F33" s="1"/>
  <c r="F26"/>
  <c r="F25"/>
  <c r="F27" s="1"/>
  <c r="F21"/>
  <c r="F20"/>
  <c r="F19"/>
  <c r="E33"/>
  <c r="E32"/>
  <c r="E31"/>
  <c r="L42"/>
  <c r="M42" s="1"/>
  <c r="K42"/>
  <c r="K43" s="1"/>
  <c r="L39"/>
  <c r="L41" s="1"/>
  <c r="L44" s="1"/>
  <c r="K39"/>
  <c r="M39" s="1"/>
  <c r="M45"/>
  <c r="M40"/>
  <c r="E25"/>
  <c r="E24"/>
  <c r="E30" s="1"/>
  <c r="D24"/>
  <c r="D30" s="1"/>
  <c r="E19"/>
  <c r="M28"/>
  <c r="M27"/>
  <c r="L26"/>
  <c r="K26"/>
  <c r="M24"/>
  <c r="L23"/>
  <c r="L25" s="1"/>
  <c r="K23"/>
  <c r="K25" s="1"/>
  <c r="I23"/>
  <c r="I39" s="1"/>
  <c r="M29"/>
  <c r="M10"/>
  <c r="I17"/>
  <c r="I33" s="1"/>
  <c r="M38"/>
  <c r="M37"/>
  <c r="M36"/>
  <c r="M35"/>
  <c r="M34"/>
  <c r="M22"/>
  <c r="L21"/>
  <c r="M21" s="1"/>
  <c r="L20"/>
  <c r="M20" s="1"/>
  <c r="M18"/>
  <c r="L6"/>
  <c r="K6"/>
  <c r="M5"/>
  <c r="F11"/>
  <c r="D34"/>
  <c r="D32"/>
  <c r="D28"/>
  <c r="D26"/>
  <c r="D31"/>
  <c r="D25"/>
  <c r="D27" s="1"/>
  <c r="D19"/>
  <c r="D6"/>
  <c r="F5"/>
  <c r="F4"/>
  <c r="G84" i="5" l="1"/>
  <c r="H84"/>
  <c r="E106" i="7"/>
  <c r="G87" i="5"/>
  <c r="H87"/>
  <c r="G88"/>
  <c r="H88"/>
  <c r="E24" i="7"/>
  <c r="F44"/>
  <c r="F48" s="1"/>
  <c r="R78" i="8"/>
  <c r="R97" s="1"/>
  <c r="E72"/>
  <c r="E50"/>
  <c r="E107"/>
  <c r="E100"/>
  <c r="H104" i="7"/>
  <c r="H105" s="1"/>
  <c r="H106" s="1"/>
  <c r="G106"/>
  <c r="K41" i="6"/>
  <c r="L43"/>
  <c r="M43" s="1"/>
  <c r="E26"/>
  <c r="E27" s="1"/>
  <c r="M26"/>
  <c r="M25"/>
  <c r="M23"/>
  <c r="F6"/>
  <c r="G6" s="1"/>
  <c r="M6"/>
  <c r="L7" s="1"/>
  <c r="M19"/>
  <c r="K8"/>
  <c r="K9" s="1"/>
  <c r="D33"/>
  <c r="F91" i="5"/>
  <c r="F96" s="1"/>
  <c r="F68"/>
  <c r="F66"/>
  <c r="F67"/>
  <c r="F53"/>
  <c r="F59"/>
  <c r="F58"/>
  <c r="F64" s="1"/>
  <c r="F54"/>
  <c r="F52"/>
  <c r="F47"/>
  <c r="F36"/>
  <c r="F80" s="1"/>
  <c r="F99" s="1"/>
  <c r="F34"/>
  <c r="F79" s="1"/>
  <c r="F32"/>
  <c r="F31"/>
  <c r="F29"/>
  <c r="F28"/>
  <c r="F13"/>
  <c r="H93" i="4"/>
  <c r="G93"/>
  <c r="G103" s="1"/>
  <c r="G127" s="1"/>
  <c r="S92"/>
  <c r="R92" s="1"/>
  <c r="R107" i="8" l="1"/>
  <c r="E101"/>
  <c r="E116"/>
  <c r="S116" s="1"/>
  <c r="H103" i="4"/>
  <c r="H127" s="1"/>
  <c r="G9" i="5"/>
  <c r="H92" s="1"/>
  <c r="H95" s="1"/>
  <c r="K44" i="6"/>
  <c r="M44" s="1"/>
  <c r="M41"/>
  <c r="D20"/>
  <c r="D21" s="1"/>
  <c r="D22"/>
  <c r="K13"/>
  <c r="M13" s="1"/>
  <c r="E22" s="1"/>
  <c r="K11"/>
  <c r="M7"/>
  <c r="L8"/>
  <c r="L9" s="1"/>
  <c r="M9" s="1"/>
  <c r="M11" s="1"/>
  <c r="L11" s="1"/>
  <c r="L12" s="1"/>
  <c r="M12" s="1"/>
  <c r="E20" s="1"/>
  <c r="E21" s="1"/>
  <c r="C54" i="4"/>
  <c r="D48"/>
  <c r="O63"/>
  <c r="N63" s="1"/>
  <c r="B49"/>
  <c r="B51" s="1"/>
  <c r="B55" s="1"/>
  <c r="B56" s="1"/>
  <c r="B58" s="1"/>
  <c r="B60" s="1"/>
  <c r="B61" s="1"/>
  <c r="B62" s="1"/>
  <c r="I69"/>
  <c r="G64"/>
  <c r="F9" i="5" s="1"/>
  <c r="F64" i="4"/>
  <c r="F8" i="5" s="1"/>
  <c r="E131" i="8" l="1"/>
  <c r="E134" s="1"/>
  <c r="S128"/>
  <c r="M128" s="1"/>
  <c r="M131" s="1"/>
  <c r="M8" i="6"/>
  <c r="D80" i="5"/>
  <c r="D79"/>
  <c r="C80"/>
  <c r="C99" s="1"/>
  <c r="C79"/>
  <c r="G95"/>
  <c r="F95"/>
  <c r="E91"/>
  <c r="E96" s="1"/>
  <c r="D91"/>
  <c r="D96" s="1"/>
  <c r="C91"/>
  <c r="C96" s="1"/>
  <c r="E66"/>
  <c r="E59"/>
  <c r="E53"/>
  <c r="E67"/>
  <c r="E58"/>
  <c r="E64" s="1"/>
  <c r="E43" s="1"/>
  <c r="D58"/>
  <c r="D64" s="1"/>
  <c r="D43" s="1"/>
  <c r="C58"/>
  <c r="C64" s="1"/>
  <c r="C43" s="1"/>
  <c r="E54"/>
  <c r="E52"/>
  <c r="E36"/>
  <c r="E34"/>
  <c r="E79" s="1"/>
  <c r="E32"/>
  <c r="E31"/>
  <c r="E29"/>
  <c r="E28"/>
  <c r="E13"/>
  <c r="D13"/>
  <c r="C13"/>
  <c r="K30" i="4"/>
  <c r="D23"/>
  <c r="D37" s="1"/>
  <c r="D47" s="1"/>
  <c r="D64" s="1"/>
  <c r="G37"/>
  <c r="E9" i="5" s="1"/>
  <c r="F37" i="4"/>
  <c r="E8" i="5" s="1"/>
  <c r="S130" i="8" l="1"/>
  <c r="F5" i="5"/>
  <c r="D74" i="4"/>
  <c r="D93" s="1"/>
  <c r="E5" i="5"/>
  <c r="E80"/>
  <c r="E99" s="1"/>
  <c r="E27"/>
  <c r="G30"/>
  <c r="G35" s="1"/>
  <c r="F30"/>
  <c r="F35" s="1"/>
  <c r="E30"/>
  <c r="D30"/>
  <c r="C30"/>
  <c r="D27"/>
  <c r="C27"/>
  <c r="D66"/>
  <c r="D69" s="1"/>
  <c r="D59"/>
  <c r="D63" s="1"/>
  <c r="G69"/>
  <c r="F69"/>
  <c r="E69"/>
  <c r="C69"/>
  <c r="G63"/>
  <c r="F63"/>
  <c r="E63"/>
  <c r="C63"/>
  <c r="G57"/>
  <c r="F57"/>
  <c r="E57"/>
  <c r="D57"/>
  <c r="C57"/>
  <c r="C20"/>
  <c r="C18"/>
  <c r="C97" s="1"/>
  <c r="C15"/>
  <c r="C14"/>
  <c r="C8"/>
  <c r="C6"/>
  <c r="C4"/>
  <c r="J13" i="4"/>
  <c r="O13"/>
  <c r="O23" s="1"/>
  <c r="O36" s="1"/>
  <c r="N36" s="1"/>
  <c r="N13"/>
  <c r="N23" s="1"/>
  <c r="M13"/>
  <c r="M23" s="1"/>
  <c r="M37" s="1"/>
  <c r="M47" s="1"/>
  <c r="M64" s="1"/>
  <c r="Q74" s="1"/>
  <c r="Q93" s="1"/>
  <c r="Q103" s="1"/>
  <c r="Q127" s="1"/>
  <c r="L13"/>
  <c r="K13"/>
  <c r="I13"/>
  <c r="H13"/>
  <c r="H23" s="1"/>
  <c r="H37" s="1"/>
  <c r="G13"/>
  <c r="F13"/>
  <c r="E13"/>
  <c r="C13"/>
  <c r="C23" s="1"/>
  <c r="C37" s="1"/>
  <c r="R130" i="8" l="1"/>
  <c r="R131" s="1"/>
  <c r="S131"/>
  <c r="D103" i="4"/>
  <c r="D127" s="1"/>
  <c r="G5" i="5"/>
  <c r="G38"/>
  <c r="G40" s="1"/>
  <c r="G78" s="1"/>
  <c r="F38"/>
  <c r="F40" s="1"/>
  <c r="F78" s="1"/>
  <c r="E82"/>
  <c r="F82"/>
  <c r="H47" i="4"/>
  <c r="H64" s="1"/>
  <c r="E10" i="5"/>
  <c r="C47" i="4"/>
  <c r="C64" s="1"/>
  <c r="E4" i="5"/>
  <c r="C98"/>
  <c r="C101" s="1"/>
  <c r="C45"/>
  <c r="D35"/>
  <c r="C35"/>
  <c r="E35"/>
  <c r="C83"/>
  <c r="C73"/>
  <c r="C74" s="1"/>
  <c r="D8"/>
  <c r="C92"/>
  <c r="C95" s="1"/>
  <c r="N37" i="4"/>
  <c r="D18" i="5"/>
  <c r="K23" i="4"/>
  <c r="K37" s="1"/>
  <c r="D6" i="5"/>
  <c r="E23" i="4"/>
  <c r="E37" s="1"/>
  <c r="D14" i="5"/>
  <c r="I23" i="4"/>
  <c r="I37" s="1"/>
  <c r="D20" i="5"/>
  <c r="L23" i="4"/>
  <c r="L37" s="1"/>
  <c r="D15" i="5"/>
  <c r="J23" i="4"/>
  <c r="J37" s="1"/>
  <c r="O37"/>
  <c r="O47" s="1"/>
  <c r="O64" s="1"/>
  <c r="S74" s="1"/>
  <c r="S93" s="1"/>
  <c r="S103" s="1"/>
  <c r="C12" i="5"/>
  <c r="D4"/>
  <c r="D70"/>
  <c r="F70"/>
  <c r="E70"/>
  <c r="G70"/>
  <c r="C70"/>
  <c r="C24"/>
  <c r="E17" i="4"/>
  <c r="E16"/>
  <c r="E17" i="1"/>
  <c r="D17"/>
  <c r="C17"/>
  <c r="E24"/>
  <c r="D24"/>
  <c r="C24"/>
  <c r="E27"/>
  <c r="D27"/>
  <c r="E23"/>
  <c r="D23"/>
  <c r="C23"/>
  <c r="E22"/>
  <c r="D22"/>
  <c r="C22"/>
  <c r="E15"/>
  <c r="E14"/>
  <c r="E16" s="1"/>
  <c r="D15"/>
  <c r="D14"/>
  <c r="D16" s="1"/>
  <c r="D18" s="1"/>
  <c r="C15"/>
  <c r="C14"/>
  <c r="E8"/>
  <c r="D8"/>
  <c r="E7"/>
  <c r="E9" s="1"/>
  <c r="D7"/>
  <c r="D9" s="1"/>
  <c r="C8"/>
  <c r="C9" s="1"/>
  <c r="C11" s="1"/>
  <c r="D10" s="1"/>
  <c r="D11" s="1"/>
  <c r="E10" s="1"/>
  <c r="E11" s="1"/>
  <c r="G82" i="5" l="1"/>
  <c r="H82"/>
  <c r="E135" i="8"/>
  <c r="F46" i="5"/>
  <c r="G46"/>
  <c r="C38"/>
  <c r="C40" s="1"/>
  <c r="C46" s="1"/>
  <c r="C48" s="1"/>
  <c r="D44" s="1"/>
  <c r="E38"/>
  <c r="E40" s="1"/>
  <c r="E78" s="1"/>
  <c r="D38"/>
  <c r="D40" s="1"/>
  <c r="D46" s="1"/>
  <c r="D72"/>
  <c r="F10"/>
  <c r="I74" i="4"/>
  <c r="I93" s="1"/>
  <c r="F4" i="5"/>
  <c r="C74" i="4"/>
  <c r="C93" s="1"/>
  <c r="D24" i="5"/>
  <c r="E73"/>
  <c r="F72" s="1"/>
  <c r="J47" i="4"/>
  <c r="J64" s="1"/>
  <c r="E15" i="5"/>
  <c r="E86" s="1"/>
  <c r="L47" i="4"/>
  <c r="L64" s="1"/>
  <c r="E20" i="5"/>
  <c r="E45" s="1"/>
  <c r="E41" i="4"/>
  <c r="I47"/>
  <c r="I64" s="1"/>
  <c r="E14" i="5"/>
  <c r="E85" s="1"/>
  <c r="E40" i="4"/>
  <c r="E47"/>
  <c r="E64" s="1"/>
  <c r="E6" i="5"/>
  <c r="E83" s="1"/>
  <c r="K47" i="4"/>
  <c r="K64" s="1"/>
  <c r="E18" i="5"/>
  <c r="N47" i="4"/>
  <c r="N64" s="1"/>
  <c r="E22" i="5"/>
  <c r="C78"/>
  <c r="C90" s="1"/>
  <c r="C102" s="1"/>
  <c r="C105" s="1"/>
  <c r="C106" s="1"/>
  <c r="D45"/>
  <c r="D78"/>
  <c r="D86"/>
  <c r="D98"/>
  <c r="D85"/>
  <c r="D97"/>
  <c r="D92"/>
  <c r="D95" s="1"/>
  <c r="E92"/>
  <c r="E95" s="1"/>
  <c r="D73"/>
  <c r="E72" s="1"/>
  <c r="D83"/>
  <c r="D12"/>
  <c r="E18" i="1"/>
  <c r="D25"/>
  <c r="C25"/>
  <c r="E25"/>
  <c r="C16"/>
  <c r="C18" s="1"/>
  <c r="C28" s="1"/>
  <c r="E98" i="5" l="1"/>
  <c r="C103" i="4"/>
  <c r="C127" s="1"/>
  <c r="G4" i="5"/>
  <c r="I103" i="4"/>
  <c r="I127" s="1"/>
  <c r="G10" i="5"/>
  <c r="D101"/>
  <c r="E46"/>
  <c r="E74"/>
  <c r="E90"/>
  <c r="D74"/>
  <c r="D104"/>
  <c r="F22"/>
  <c r="R74" i="4"/>
  <c r="R93" s="1"/>
  <c r="N74"/>
  <c r="N93" s="1"/>
  <c r="F18" i="5"/>
  <c r="F97" s="1"/>
  <c r="E67" i="4"/>
  <c r="F6" i="5"/>
  <c r="E74" i="4"/>
  <c r="E93" s="1"/>
  <c r="F20" i="5"/>
  <c r="P74" i="4"/>
  <c r="P93" s="1"/>
  <c r="F14" i="5"/>
  <c r="J74" i="4"/>
  <c r="J93" s="1"/>
  <c r="E97" i="5"/>
  <c r="E101" s="1"/>
  <c r="E12"/>
  <c r="F83"/>
  <c r="F15"/>
  <c r="K74" i="4"/>
  <c r="K93" s="1"/>
  <c r="F73" i="5"/>
  <c r="G72" s="1"/>
  <c r="E24"/>
  <c r="E68" i="4"/>
  <c r="D48" i="5"/>
  <c r="E44" s="1"/>
  <c r="E48" s="1"/>
  <c r="F44" s="1"/>
  <c r="D90"/>
  <c r="D102" s="1"/>
  <c r="C29" i="1"/>
  <c r="D28"/>
  <c r="J103" i="4" l="1"/>
  <c r="J127" s="1"/>
  <c r="G14" i="5"/>
  <c r="H85" s="1"/>
  <c r="K103" i="4"/>
  <c r="K127" s="1"/>
  <c r="G15" i="5"/>
  <c r="H86" s="1"/>
  <c r="G85"/>
  <c r="R103" i="4"/>
  <c r="G21" i="5"/>
  <c r="J8"/>
  <c r="G73"/>
  <c r="H72" s="1"/>
  <c r="H74" s="1"/>
  <c r="P103" i="4"/>
  <c r="P127" s="1"/>
  <c r="G20" i="5"/>
  <c r="H44" s="1"/>
  <c r="H48" s="1"/>
  <c r="E96" i="4"/>
  <c r="E103"/>
  <c r="E112" s="1"/>
  <c r="G6" i="5"/>
  <c r="N103" i="4"/>
  <c r="N127" s="1"/>
  <c r="G18" i="5"/>
  <c r="H97" s="1"/>
  <c r="H101" s="1"/>
  <c r="E102"/>
  <c r="D105"/>
  <c r="E104" s="1"/>
  <c r="F12"/>
  <c r="F86"/>
  <c r="G86"/>
  <c r="F45"/>
  <c r="F48" s="1"/>
  <c r="G44"/>
  <c r="G48" s="1"/>
  <c r="F98"/>
  <c r="F101" s="1"/>
  <c r="E97" i="4"/>
  <c r="F85" i="5"/>
  <c r="F74"/>
  <c r="F24"/>
  <c r="D29" i="1"/>
  <c r="E28"/>
  <c r="E29" s="1"/>
  <c r="G12" i="5" l="1"/>
  <c r="H83"/>
  <c r="H90" s="1"/>
  <c r="H102" s="1"/>
  <c r="G74"/>
  <c r="E127" i="4"/>
  <c r="E130" s="1"/>
  <c r="S112"/>
  <c r="G83" i="5"/>
  <c r="J10"/>
  <c r="J21" s="1"/>
  <c r="G24"/>
  <c r="G90"/>
  <c r="G102" s="1"/>
  <c r="F90"/>
  <c r="F102" s="1"/>
  <c r="E105"/>
  <c r="F104" s="1"/>
  <c r="D106"/>
  <c r="S124" i="4" l="1"/>
  <c r="M124" s="1"/>
  <c r="M127" s="1"/>
  <c r="E106" i="5"/>
  <c r="F105"/>
  <c r="G104" s="1"/>
  <c r="G105" s="1"/>
  <c r="F106" l="1"/>
  <c r="S126" i="4"/>
  <c r="R126" s="1"/>
  <c r="R127" s="1"/>
  <c r="G106" i="5"/>
  <c r="H104"/>
  <c r="H105" s="1"/>
  <c r="H106" s="1"/>
  <c r="S127" i="4" l="1"/>
  <c r="E131" s="1"/>
</calcChain>
</file>

<file path=xl/sharedStrings.xml><?xml version="1.0" encoding="utf-8"?>
<sst xmlns="http://schemas.openxmlformats.org/spreadsheetml/2006/main" count="682" uniqueCount="234">
  <si>
    <t>DADOS</t>
  </si>
  <si>
    <t>MÊS 1</t>
  </si>
  <si>
    <t>MÊS 2</t>
  </si>
  <si>
    <t>MÊS 3</t>
  </si>
  <si>
    <t>Compra livros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</si>
  <si>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</si>
  <si>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</si>
  <si>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</si>
  <si>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</si>
  <si>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</si>
  <si>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</si>
  <si>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RESULTADO</t>
  </si>
  <si>
    <t>FLUXO FINANCEIRO</t>
  </si>
  <si>
    <t>Receita de venda</t>
  </si>
  <si>
    <t>(-) CMV</t>
  </si>
  <si>
    <t>(=) LUCRO BRUTO</t>
  </si>
  <si>
    <t>(=) LUCRO OPERACIONAL</t>
  </si>
  <si>
    <t>FLUXO ECONÔMICO</t>
  </si>
  <si>
    <t>BALANÇOS PATRIMONIAIS - ÚLTIMO DIA DO MÊS</t>
  </si>
  <si>
    <t>ATIVO</t>
  </si>
  <si>
    <t>P+PL</t>
  </si>
  <si>
    <t>Disponibilidades</t>
  </si>
  <si>
    <r>
      <t xml:space="preserve">Venda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</t>
    </r>
  </si>
  <si>
    <t>Contas a receber</t>
  </si>
  <si>
    <t>Capital social</t>
  </si>
  <si>
    <t>Resultados acumulados</t>
  </si>
  <si>
    <t>(-) PCLD</t>
  </si>
  <si>
    <t>EVOLUÇÃO DO PATRIMÔNIO</t>
  </si>
  <si>
    <t>Disponib</t>
  </si>
  <si>
    <t>Estoque</t>
  </si>
  <si>
    <t>Imobiliz</t>
  </si>
  <si>
    <t>Emprést</t>
  </si>
  <si>
    <t>Capital</t>
  </si>
  <si>
    <t>PASSIVO + PL</t>
  </si>
  <si>
    <t>Si</t>
  </si>
  <si>
    <t>Sf</t>
  </si>
  <si>
    <t>Forneced  a pagar</t>
  </si>
  <si>
    <t>Contas a pagar</t>
  </si>
  <si>
    <t>FEVEREIRO</t>
  </si>
  <si>
    <t>BALANÇOS PATRIMONIAIS</t>
  </si>
  <si>
    <t>Disponibilidade</t>
  </si>
  <si>
    <t>TOTAL</t>
  </si>
  <si>
    <t>Fornecedores a pagar</t>
  </si>
  <si>
    <t>Empréstimos a pagar</t>
  </si>
  <si>
    <t>DAS OPERAÇÕES</t>
  </si>
  <si>
    <t>JAN</t>
  </si>
  <si>
    <t>FEV</t>
  </si>
  <si>
    <t>DE INVESTIMENTOS</t>
  </si>
  <si>
    <t>DE FINANCIAMENTOS</t>
  </si>
  <si>
    <t>DEMONSTRAÇÃO DO FLUXO DE CAIXA (método direto)</t>
  </si>
  <si>
    <t>Empréstimos</t>
  </si>
  <si>
    <t>Capital dos sócios</t>
  </si>
  <si>
    <t>Imobilizações</t>
  </si>
  <si>
    <t>Compras de mercadorias</t>
  </si>
  <si>
    <t>DEMONSTRAÇÃO DO RESULTADO DO EXERCÍCIO</t>
  </si>
  <si>
    <t>(=) Lucro bruto</t>
  </si>
  <si>
    <t>(-) Despesas comerciais</t>
  </si>
  <si>
    <t>(-) Despesas administrat</t>
  </si>
  <si>
    <t>(-) Desp. Depreciação</t>
  </si>
  <si>
    <t>(=) LUCRO LÍQUIDO</t>
  </si>
  <si>
    <t>MAR</t>
  </si>
  <si>
    <t>MARÇO</t>
  </si>
  <si>
    <t>Terreno</t>
  </si>
  <si>
    <t>Veículo</t>
  </si>
  <si>
    <t>Veículos</t>
  </si>
  <si>
    <t>RESULT</t>
  </si>
  <si>
    <t>Reserva</t>
  </si>
  <si>
    <t>C. Receb</t>
  </si>
  <si>
    <t>(-) Depr acum</t>
  </si>
  <si>
    <t>(-) Deprec acumul</t>
  </si>
  <si>
    <t>Reservas</t>
  </si>
  <si>
    <t>(-) Desp. Financeiras</t>
  </si>
  <si>
    <t>Prejuízos acumulados</t>
  </si>
  <si>
    <t>Vendas de mercadorias</t>
  </si>
  <si>
    <t>Despesas operacionais</t>
  </si>
  <si>
    <t>Juros</t>
  </si>
  <si>
    <t>DEMONSTRAÇÃO DO FLUXO DE CAIXA (método indireto)</t>
  </si>
  <si>
    <t>Lucro líquido do período</t>
  </si>
  <si>
    <t>(+) Depreciação</t>
  </si>
  <si>
    <t>(+) Desp. Financ</t>
  </si>
  <si>
    <t>(+/-) Variaç estoq</t>
  </si>
  <si>
    <t>(+/-) Variaç imobiliz</t>
  </si>
  <si>
    <t>(+/-) Variaç empréstimos</t>
  </si>
  <si>
    <t>(+) Aportes de capital</t>
  </si>
  <si>
    <t>(+/-) Variaç fornec a pag</t>
  </si>
  <si>
    <t>(+/-) Variaç contas a pag</t>
  </si>
  <si>
    <t>(+/-) Variaç contas a receb</t>
  </si>
  <si>
    <t>DEMONSTRAÇÃO DAS MUTAÇÕES DO PL</t>
  </si>
  <si>
    <t>Saldo inicial do PL</t>
  </si>
  <si>
    <t>(+) Aporte de capital</t>
  </si>
  <si>
    <t>(+/-) Resultado do período</t>
  </si>
  <si>
    <t>(-) Distrib de lucro</t>
  </si>
  <si>
    <t>Saldo final do PL</t>
  </si>
  <si>
    <t>ABRIL</t>
  </si>
  <si>
    <t>DIAS</t>
  </si>
  <si>
    <t>F</t>
  </si>
  <si>
    <t>MAIO</t>
  </si>
  <si>
    <t>ABR</t>
  </si>
  <si>
    <t>Dividendos</t>
  </si>
  <si>
    <t>unidades</t>
  </si>
  <si>
    <t>$/unid</t>
  </si>
  <si>
    <t>$ total</t>
  </si>
  <si>
    <t>Saldo</t>
  </si>
  <si>
    <t>Saldo inicial</t>
  </si>
  <si>
    <t>1 - Compra da mercadoria X</t>
  </si>
  <si>
    <t>2 - Compra da mercadoria X</t>
  </si>
  <si>
    <t>3 - Venda de 400 unidades por $20,0 por unidade</t>
  </si>
  <si>
    <t>Mês 1</t>
  </si>
  <si>
    <t>Média Ponderada Móvel</t>
  </si>
  <si>
    <t>Estoque final</t>
  </si>
  <si>
    <t>PEPS</t>
  </si>
  <si>
    <t>UEPS</t>
  </si>
  <si>
    <t>PERÍODO</t>
  </si>
  <si>
    <t>MÉDIA</t>
  </si>
  <si>
    <t>QUANT</t>
  </si>
  <si>
    <t>$ UNIT</t>
  </si>
  <si>
    <t>$ TOT</t>
  </si>
  <si>
    <t>HISTÓRICO</t>
  </si>
  <si>
    <t>Compra</t>
  </si>
  <si>
    <t>saldo inicial</t>
  </si>
  <si>
    <t>Saldo final</t>
  </si>
  <si>
    <t>Bx por venda</t>
  </si>
  <si>
    <t>3 - Venda de 400 unidades por $25,0 por unidade</t>
  </si>
  <si>
    <t>Mês 2</t>
  </si>
  <si>
    <t>Baixa por venda</t>
  </si>
  <si>
    <t>MAI</t>
  </si>
  <si>
    <t>Ad clientes</t>
  </si>
  <si>
    <t>Desp antecip</t>
  </si>
  <si>
    <t>Impostos a pagar</t>
  </si>
  <si>
    <t>Dividendos a pagar</t>
  </si>
  <si>
    <t>Desp. Antencipadas</t>
  </si>
  <si>
    <t>Adiantam de clientes</t>
  </si>
  <si>
    <t>(-) Desp com seguro</t>
  </si>
  <si>
    <t>(-) Result vda imobiliz</t>
  </si>
  <si>
    <t>(=) L.A.I.R.</t>
  </si>
  <si>
    <t>(-) IR/CSSLL</t>
  </si>
  <si>
    <t xml:space="preserve">(-) Ganho venda imobiliz </t>
  </si>
  <si>
    <t>(+/-) Variaç adiant clientes</t>
  </si>
  <si>
    <t>(+/-) Impostos a pagar</t>
  </si>
  <si>
    <t>(+) Baixa do imobiliz</t>
  </si>
  <si>
    <t>(+/-) Variaç desp antecip</t>
  </si>
  <si>
    <t>(-) Dividendos</t>
  </si>
  <si>
    <t>JUN</t>
  </si>
  <si>
    <t>CX</t>
  </si>
  <si>
    <t>LUCRO</t>
  </si>
  <si>
    <t>si</t>
  </si>
  <si>
    <t>JUNHO</t>
  </si>
  <si>
    <t>Tributos</t>
  </si>
  <si>
    <t>JANEIRO</t>
  </si>
  <si>
    <t>ATIVOS</t>
  </si>
  <si>
    <t>PASSIVOS + PL</t>
  </si>
  <si>
    <t>31/12/X0</t>
  </si>
  <si>
    <t>31/12/X1</t>
  </si>
  <si>
    <t>Clientes a receber</t>
  </si>
  <si>
    <t>Estoques</t>
  </si>
  <si>
    <t>Tributos a pagar</t>
  </si>
  <si>
    <t>Imobilizado líquido</t>
  </si>
  <si>
    <t>PL</t>
  </si>
  <si>
    <t>DRE - ano X1</t>
  </si>
  <si>
    <t>Receita bruta de vendas</t>
  </si>
  <si>
    <t>(-) Deduções</t>
  </si>
  <si>
    <t>(=) Receita líquida</t>
  </si>
  <si>
    <t>(-) CPV</t>
  </si>
  <si>
    <t>(-) Despesas administrativas</t>
  </si>
  <si>
    <t>(-) Despesas financeiras</t>
  </si>
  <si>
    <t>(=) Lucro antes do IR</t>
  </si>
  <si>
    <t>(-) IR/CSLL (40%)</t>
  </si>
  <si>
    <t>(=) Lucro líquido</t>
  </si>
  <si>
    <t>Ke (custo do capit dos sócios)</t>
  </si>
  <si>
    <t>ROE</t>
  </si>
  <si>
    <t>EVA®</t>
  </si>
  <si>
    <t>Ativo total médio</t>
  </si>
  <si>
    <t>(-) Pass operac méd</t>
  </si>
  <si>
    <t>(=) INVESTIMENTO MÉDIO</t>
  </si>
  <si>
    <t>Passivo oneroso médio</t>
  </si>
  <si>
    <t>PL médio</t>
  </si>
  <si>
    <t>(=) EBIT</t>
  </si>
  <si>
    <t>(-) IR/CSSL</t>
  </si>
  <si>
    <t>(=) NOPAT</t>
  </si>
  <si>
    <t>(+) Benefício fiscal da dívida</t>
  </si>
  <si>
    <t>ROI</t>
  </si>
  <si>
    <t>Wi</t>
  </si>
  <si>
    <t>We</t>
  </si>
  <si>
    <t>Ki</t>
  </si>
  <si>
    <t>Ke</t>
  </si>
  <si>
    <t>WACC</t>
  </si>
  <si>
    <t>Margem</t>
  </si>
  <si>
    <t>Giro</t>
  </si>
  <si>
    <t>MVA®</t>
  </si>
  <si>
    <t>VALOR DA EMPRESA</t>
  </si>
  <si>
    <t>VALOR DO PL DA EMPRESA</t>
  </si>
  <si>
    <t>SIT INIC</t>
  </si>
  <si>
    <t>ESTRAT 1</t>
  </si>
  <si>
    <t>variação na riqueza dos sócios</t>
  </si>
  <si>
    <t>Variação do PL</t>
  </si>
  <si>
    <t>Dividendos distribuídos</t>
  </si>
  <si>
    <t>variação no valor da empresa</t>
  </si>
  <si>
    <t>Spread (ROI-Ki)</t>
  </si>
  <si>
    <t>Alavancagem (Po/PL)</t>
  </si>
  <si>
    <t>Spread alavancado</t>
  </si>
  <si>
    <t>ESTRAT 2</t>
  </si>
  <si>
    <t>Desmobilização</t>
  </si>
  <si>
    <t>Variação na riqueza do sócio</t>
  </si>
  <si>
    <t>ESTRAT 3</t>
  </si>
  <si>
    <t>Redução do capital investido</t>
  </si>
  <si>
    <t>ANÁLISE DO CAPITAL DE GIRO</t>
  </si>
  <si>
    <t>Giro dos estoques</t>
  </si>
  <si>
    <t>vezes no ano</t>
  </si>
  <si>
    <t>Prazo médio de estocagem</t>
  </si>
  <si>
    <t>dias</t>
  </si>
  <si>
    <t>Giro de contas a receber</t>
  </si>
  <si>
    <t>Prazo médio de cobrança</t>
  </si>
  <si>
    <t>Compras do período</t>
  </si>
  <si>
    <t>$ no ano</t>
  </si>
  <si>
    <t>Giro de fornecedores</t>
  </si>
  <si>
    <t>Prazo médio de pagamento</t>
  </si>
  <si>
    <t>CICLO OPERACIONAL</t>
  </si>
  <si>
    <t>CICLO FINANCEIRO</t>
  </si>
  <si>
    <t>Vendas do ano</t>
  </si>
  <si>
    <t>Preço médio de venda</t>
  </si>
  <si>
    <t>(-) Impostos s/ venda</t>
  </si>
  <si>
    <t>(-) CDV</t>
  </si>
  <si>
    <t>(=) MC BRUTA</t>
  </si>
  <si>
    <t>(-) ir/cssl</t>
  </si>
  <si>
    <t>(=) MC LÍQUIDA</t>
  </si>
  <si>
    <t>CDF</t>
  </si>
  <si>
    <t>por ano</t>
  </si>
  <si>
    <t>PEC</t>
  </si>
  <si>
    <t>unidades por ano</t>
  </si>
  <si>
    <t>NOPAT MÍNIMO</t>
  </si>
  <si>
    <t>PEE</t>
  </si>
  <si>
    <t xml:space="preserve">NOPAT GERADO </t>
  </si>
  <si>
    <t>$/ano</t>
  </si>
  <si>
    <t>EVA® GERADO</t>
  </si>
</sst>
</file>

<file path=xl/styles.xml><?xml version="1.0" encoding="utf-8"?>
<styleSheet xmlns="http://schemas.openxmlformats.org/spreadsheetml/2006/main">
  <numFmts count="5">
    <numFmt numFmtId="164" formatCode="d/m;@"/>
    <numFmt numFmtId="165" formatCode="#,##0.0"/>
    <numFmt numFmtId="166" formatCode="#,##0.000"/>
    <numFmt numFmtId="167" formatCode="0.0%"/>
    <numFmt numFmtId="168" formatCode="#,##0.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1.2207403790398877E-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1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3" fontId="0" fillId="3" borderId="0" xfId="0" applyNumberForma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left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left" vertical="center" wrapText="1"/>
    </xf>
    <xf numFmtId="3" fontId="1" fillId="4" borderId="9" xfId="0" applyNumberFormat="1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left" vertical="center" wrapText="1"/>
    </xf>
    <xf numFmtId="3" fontId="0" fillId="4" borderId="7" xfId="0" applyNumberForma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left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3" fontId="0" fillId="3" borderId="7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6" borderId="8" xfId="0" applyNumberFormat="1" applyFont="1" applyFill="1" applyBorder="1" applyAlignment="1">
      <alignment horizontal="center" vertical="center" wrapText="1"/>
    </xf>
    <xf numFmtId="3" fontId="0" fillId="6" borderId="8" xfId="0" applyNumberForma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6" borderId="6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6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 wrapText="1"/>
    </xf>
    <xf numFmtId="3" fontId="0" fillId="6" borderId="7" xfId="0" applyNumberFormat="1" applyFill="1" applyBorder="1" applyAlignment="1">
      <alignment horizontal="center" vertical="center" wrapText="1"/>
    </xf>
    <xf numFmtId="3" fontId="0" fillId="6" borderId="9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left" vertical="center" wrapText="1"/>
    </xf>
    <xf numFmtId="14" fontId="0" fillId="2" borderId="0" xfId="0" applyNumberFormat="1" applyFill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 wrapText="1"/>
    </xf>
    <xf numFmtId="166" fontId="0" fillId="3" borderId="0" xfId="0" applyNumberForma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166" fontId="1" fillId="3" borderId="10" xfId="0" applyNumberFormat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6" borderId="6" xfId="0" applyNumberFormat="1" applyFon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6" borderId="5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19" xfId="0" applyFont="1" applyFill="1" applyBorder="1" applyAlignment="1">
      <alignment horizontal="justify" vertical="center" wrapText="1"/>
    </xf>
    <xf numFmtId="3" fontId="10" fillId="8" borderId="20" xfId="0" applyNumberFormat="1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justify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justify" vertical="center" wrapText="1"/>
    </xf>
    <xf numFmtId="3" fontId="0" fillId="4" borderId="0" xfId="0" applyNumberFormat="1" applyFont="1" applyFill="1" applyAlignment="1">
      <alignment horizontal="center" vertical="center" wrapText="1"/>
    </xf>
    <xf numFmtId="167" fontId="0" fillId="4" borderId="0" xfId="1" applyNumberFormat="1" applyFont="1" applyFill="1" applyAlignment="1">
      <alignment horizontal="center" vertical="center" wrapText="1"/>
    </xf>
    <xf numFmtId="0" fontId="10" fillId="6" borderId="19" xfId="0" applyFont="1" applyFill="1" applyBorder="1" applyAlignment="1">
      <alignment horizontal="justify" vertical="center" wrapText="1"/>
    </xf>
    <xf numFmtId="3" fontId="10" fillId="6" borderId="0" xfId="0" applyNumberFormat="1" applyFont="1" applyFill="1" applyAlignment="1">
      <alignment horizontal="center" vertical="center" wrapText="1"/>
    </xf>
    <xf numFmtId="3" fontId="10" fillId="6" borderId="20" xfId="0" applyNumberFormat="1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justify" vertical="center" wrapText="1"/>
    </xf>
    <xf numFmtId="3" fontId="10" fillId="9" borderId="0" xfId="0" applyNumberFormat="1" applyFont="1" applyFill="1" applyAlignment="1">
      <alignment horizontal="center" vertical="center" wrapText="1"/>
    </xf>
    <xf numFmtId="3" fontId="10" fillId="9" borderId="20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justify" vertical="center" wrapText="1"/>
    </xf>
    <xf numFmtId="3" fontId="11" fillId="8" borderId="18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justify" vertical="center" wrapText="1"/>
    </xf>
    <xf numFmtId="3" fontId="11" fillId="8" borderId="20" xfId="0" applyNumberFormat="1" applyFont="1" applyFill="1" applyBorder="1" applyAlignment="1">
      <alignment horizontal="center" vertical="center" wrapText="1"/>
    </xf>
    <xf numFmtId="3" fontId="0" fillId="6" borderId="0" xfId="0" applyNumberFormat="1" applyFont="1" applyFill="1" applyAlignment="1">
      <alignment horizontal="center" vertical="center" wrapText="1"/>
    </xf>
    <xf numFmtId="3" fontId="1" fillId="6" borderId="0" xfId="0" applyNumberFormat="1" applyFont="1" applyFill="1" applyAlignment="1">
      <alignment horizontal="center" vertical="center" wrapText="1"/>
    </xf>
    <xf numFmtId="3" fontId="0" fillId="9" borderId="0" xfId="0" applyNumberFormat="1" applyFont="1" applyFill="1" applyAlignment="1">
      <alignment horizontal="center" vertical="center" wrapText="1"/>
    </xf>
    <xf numFmtId="3" fontId="0" fillId="6" borderId="0" xfId="0" applyNumberFormat="1" applyFont="1" applyFill="1" applyAlignment="1">
      <alignment horizontal="left" vertical="center" wrapText="1"/>
    </xf>
    <xf numFmtId="3" fontId="1" fillId="6" borderId="0" xfId="0" applyNumberFormat="1" applyFont="1" applyFill="1" applyAlignment="1">
      <alignment horizontal="left" vertical="center" wrapText="1"/>
    </xf>
    <xf numFmtId="3" fontId="0" fillId="9" borderId="0" xfId="0" applyNumberFormat="1" applyFont="1" applyFill="1" applyAlignment="1">
      <alignment horizontal="left" vertical="center" wrapText="1"/>
    </xf>
    <xf numFmtId="3" fontId="1" fillId="5" borderId="0" xfId="0" applyNumberFormat="1" applyFont="1" applyFill="1" applyAlignment="1">
      <alignment horizontal="left" vertical="center" wrapText="1"/>
    </xf>
    <xf numFmtId="3" fontId="1" fillId="5" borderId="0" xfId="0" applyNumberFormat="1" applyFont="1" applyFill="1" applyAlignment="1">
      <alignment horizontal="center" vertical="center" wrapText="1"/>
    </xf>
    <xf numFmtId="167" fontId="0" fillId="6" borderId="0" xfId="1" applyNumberFormat="1" applyFont="1" applyFill="1" applyAlignment="1">
      <alignment horizontal="center" vertical="center" wrapText="1"/>
    </xf>
    <xf numFmtId="3" fontId="1" fillId="9" borderId="0" xfId="0" applyNumberFormat="1" applyFont="1" applyFill="1" applyAlignment="1">
      <alignment horizontal="left" vertical="center" wrapText="1"/>
    </xf>
    <xf numFmtId="167" fontId="0" fillId="9" borderId="0" xfId="1" applyNumberFormat="1" applyFont="1" applyFill="1" applyAlignment="1">
      <alignment horizontal="center" vertical="center" wrapText="1"/>
    </xf>
    <xf numFmtId="167" fontId="1" fillId="9" borderId="0" xfId="1" applyNumberFormat="1" applyFont="1" applyFill="1" applyAlignment="1">
      <alignment horizontal="center" vertical="center" wrapText="1"/>
    </xf>
    <xf numFmtId="165" fontId="0" fillId="6" borderId="0" xfId="0" applyNumberFormat="1" applyFont="1" applyFill="1" applyAlignment="1">
      <alignment horizontal="center" vertical="center" wrapText="1"/>
    </xf>
    <xf numFmtId="167" fontId="1" fillId="6" borderId="0" xfId="1" applyNumberFormat="1" applyFont="1" applyFill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167" fontId="8" fillId="9" borderId="0" xfId="1" applyNumberFormat="1" applyFont="1" applyFill="1" applyAlignment="1">
      <alignment horizontal="center" vertical="center" wrapText="1"/>
    </xf>
    <xf numFmtId="168" fontId="8" fillId="9" borderId="0" xfId="1" applyNumberFormat="1" applyFont="1" applyFill="1" applyAlignment="1">
      <alignment horizontal="center" vertical="center" wrapText="1"/>
    </xf>
    <xf numFmtId="167" fontId="0" fillId="10" borderId="0" xfId="1" applyNumberFormat="1" applyFont="1" applyFill="1" applyAlignment="1">
      <alignment horizontal="center" vertical="center" wrapText="1"/>
    </xf>
    <xf numFmtId="168" fontId="8" fillId="10" borderId="0" xfId="1" applyNumberFormat="1" applyFont="1" applyFill="1" applyAlignment="1">
      <alignment horizontal="center" vertical="center" wrapText="1"/>
    </xf>
    <xf numFmtId="167" fontId="1" fillId="11" borderId="0" xfId="1" applyNumberFormat="1" applyFont="1" applyFill="1" applyAlignment="1">
      <alignment horizontal="center" vertical="center" wrapText="1"/>
    </xf>
    <xf numFmtId="167" fontId="8" fillId="11" borderId="0" xfId="1" applyNumberFormat="1" applyFont="1" applyFill="1" applyAlignment="1">
      <alignment horizontal="center" vertical="center" wrapText="1"/>
    </xf>
    <xf numFmtId="165" fontId="0" fillId="11" borderId="0" xfId="0" applyNumberFormat="1" applyFont="1" applyFill="1" applyAlignment="1">
      <alignment horizontal="center" vertical="center" wrapText="1"/>
    </xf>
    <xf numFmtId="3" fontId="0" fillId="4" borderId="0" xfId="0" applyNumberFormat="1" applyFont="1" applyFill="1" applyAlignment="1">
      <alignment horizontal="left" vertical="center" wrapText="1"/>
    </xf>
    <xf numFmtId="165" fontId="0" fillId="12" borderId="0" xfId="0" applyNumberFormat="1" applyFont="1" applyFill="1" applyAlignment="1">
      <alignment horizontal="center" vertical="center" wrapText="1"/>
    </xf>
    <xf numFmtId="167" fontId="1" fillId="12" borderId="0" xfId="1" applyNumberFormat="1" applyFont="1" applyFill="1" applyAlignment="1">
      <alignment horizontal="center" vertical="center" wrapText="1"/>
    </xf>
    <xf numFmtId="167" fontId="8" fillId="12" borderId="0" xfId="1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horizontal="center" vertical="center" wrapText="1"/>
    </xf>
    <xf numFmtId="3" fontId="0" fillId="4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4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3" fontId="1" fillId="13" borderId="0" xfId="0" applyNumberFormat="1" applyFont="1" applyFill="1" applyAlignment="1">
      <alignment horizontal="center" vertical="center" wrapText="1"/>
    </xf>
    <xf numFmtId="3" fontId="0" fillId="11" borderId="0" xfId="0" applyNumberFormat="1" applyFont="1" applyFill="1" applyAlignment="1">
      <alignment horizontal="center" vertical="center" wrapText="1"/>
    </xf>
    <xf numFmtId="3" fontId="1" fillId="5" borderId="0" xfId="0" applyNumberFormat="1" applyFont="1" applyFill="1" applyAlignment="1">
      <alignment horizontal="left" vertical="center" wrapText="1"/>
    </xf>
    <xf numFmtId="166" fontId="0" fillId="4" borderId="0" xfId="0" applyNumberFormat="1" applyFont="1" applyFill="1" applyAlignment="1">
      <alignment horizontal="center" vertical="center" wrapText="1"/>
    </xf>
    <xf numFmtId="168" fontId="1" fillId="4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D44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workbookViewId="0"/>
  </sheetViews>
  <sheetFormatPr defaultRowHeight="15"/>
  <sheetData>
    <row r="2" spans="2:7">
      <c r="B2" s="2" t="s">
        <v>0</v>
      </c>
      <c r="C2" s="2" t="s">
        <v>1</v>
      </c>
      <c r="D2" s="2" t="s">
        <v>2</v>
      </c>
      <c r="E2" s="2" t="s">
        <v>3</v>
      </c>
    </row>
    <row r="3" spans="2:7" ht="30">
      <c r="B3" s="4" t="s">
        <v>4</v>
      </c>
      <c r="C3" s="3">
        <v>1000</v>
      </c>
      <c r="D3" s="3">
        <v>2000</v>
      </c>
      <c r="E3" s="3">
        <v>4000</v>
      </c>
    </row>
    <row r="4" spans="2:7" ht="45">
      <c r="B4" s="4" t="s">
        <v>22</v>
      </c>
      <c r="C4" s="3">
        <v>1800</v>
      </c>
      <c r="D4" s="3">
        <v>3600</v>
      </c>
      <c r="E4" s="3">
        <v>7200</v>
      </c>
    </row>
    <row r="6" spans="2:7" ht="45">
      <c r="B6" s="5" t="s">
        <v>5</v>
      </c>
      <c r="C6" s="5" t="s">
        <v>1</v>
      </c>
      <c r="D6" s="5" t="s">
        <v>2</v>
      </c>
      <c r="E6" s="5" t="s">
        <v>3</v>
      </c>
      <c r="F6" s="207" t="s">
        <v>12</v>
      </c>
      <c r="G6" s="207"/>
    </row>
    <row r="7" spans="2:7" ht="30">
      <c r="B7" s="4" t="s">
        <v>6</v>
      </c>
      <c r="C7" s="3">
        <v>0</v>
      </c>
      <c r="D7" s="3">
        <f>+C4/5</f>
        <v>360</v>
      </c>
      <c r="E7" s="3">
        <f>+C4/5+D4/5</f>
        <v>1080</v>
      </c>
      <c r="F7" s="207"/>
      <c r="G7" s="207"/>
    </row>
    <row r="8" spans="2:7" ht="30">
      <c r="B8" s="4" t="s">
        <v>7</v>
      </c>
      <c r="C8" s="3">
        <f>-C3</f>
        <v>-1000</v>
      </c>
      <c r="D8" s="3">
        <f>-D3</f>
        <v>-2000</v>
      </c>
      <c r="E8" s="3">
        <f>-E3</f>
        <v>-4000</v>
      </c>
      <c r="F8" s="207"/>
      <c r="G8" s="207"/>
    </row>
    <row r="9" spans="2:7" ht="45">
      <c r="B9" s="6" t="s">
        <v>8</v>
      </c>
      <c r="C9" s="5">
        <f>+SUM(C7:C8)</f>
        <v>-1000</v>
      </c>
      <c r="D9" s="5">
        <f t="shared" ref="D9:E9" si="0">+SUM(D7:D8)</f>
        <v>-1640</v>
      </c>
      <c r="E9" s="5">
        <f t="shared" si="0"/>
        <v>-2920</v>
      </c>
      <c r="F9" s="207"/>
      <c r="G9" s="207"/>
    </row>
    <row r="10" spans="2:7" ht="45">
      <c r="B10" s="7" t="s">
        <v>9</v>
      </c>
      <c r="C10" s="8">
        <v>10000</v>
      </c>
      <c r="D10" s="8">
        <f>+C11</f>
        <v>9000</v>
      </c>
      <c r="E10" s="8">
        <f>+D11</f>
        <v>7360</v>
      </c>
      <c r="F10" s="207"/>
      <c r="G10" s="207"/>
    </row>
    <row r="11" spans="2:7" ht="45">
      <c r="B11" s="7" t="s">
        <v>10</v>
      </c>
      <c r="C11" s="8">
        <f>+C10+C9</f>
        <v>9000</v>
      </c>
      <c r="D11" s="8">
        <f>+D10+D9</f>
        <v>7360</v>
      </c>
      <c r="E11" s="8">
        <f>+E10+E9</f>
        <v>4440</v>
      </c>
      <c r="F11" s="207"/>
      <c r="G11" s="207"/>
    </row>
    <row r="13" spans="2:7" ht="45">
      <c r="B13" s="5" t="s">
        <v>11</v>
      </c>
      <c r="C13" s="5" t="s">
        <v>1</v>
      </c>
      <c r="D13" s="5" t="s">
        <v>2</v>
      </c>
      <c r="E13" s="5" t="s">
        <v>3</v>
      </c>
      <c r="F13" s="207" t="s">
        <v>17</v>
      </c>
      <c r="G13" s="207"/>
    </row>
    <row r="14" spans="2:7" ht="30">
      <c r="B14" s="4" t="s">
        <v>13</v>
      </c>
      <c r="C14" s="3">
        <f>+C4</f>
        <v>1800</v>
      </c>
      <c r="D14" s="3">
        <f>+D4</f>
        <v>3600</v>
      </c>
      <c r="E14" s="3">
        <f>+E4</f>
        <v>7200</v>
      </c>
      <c r="F14" s="207"/>
      <c r="G14" s="207"/>
    </row>
    <row r="15" spans="2:7">
      <c r="B15" s="4" t="s">
        <v>14</v>
      </c>
      <c r="C15" s="3">
        <f>-C3</f>
        <v>-1000</v>
      </c>
      <c r="D15" s="3">
        <f>-D3</f>
        <v>-2000</v>
      </c>
      <c r="E15" s="3">
        <f>-E3</f>
        <v>-4000</v>
      </c>
      <c r="F15" s="207"/>
      <c r="G15" s="207"/>
    </row>
    <row r="16" spans="2:7" ht="45">
      <c r="B16" s="6" t="s">
        <v>15</v>
      </c>
      <c r="C16" s="5">
        <f>+SUM(C14:C15)</f>
        <v>800</v>
      </c>
      <c r="D16" s="5">
        <f t="shared" ref="D16" si="1">+SUM(D14:D15)</f>
        <v>1600</v>
      </c>
      <c r="E16" s="5">
        <f t="shared" ref="E16" si="2">+SUM(E14:E15)</f>
        <v>3200</v>
      </c>
      <c r="F16" s="207"/>
      <c r="G16" s="207"/>
    </row>
    <row r="17" spans="2:7">
      <c r="B17" s="4" t="s">
        <v>26</v>
      </c>
      <c r="C17" s="3">
        <f>+C24</f>
        <v>-180</v>
      </c>
      <c r="D17" s="3">
        <f>+D24-C24</f>
        <v>-324</v>
      </c>
      <c r="E17" s="3">
        <f>+E24-D24</f>
        <v>-612</v>
      </c>
      <c r="F17" s="207"/>
      <c r="G17" s="207"/>
    </row>
    <row r="18" spans="2:7" ht="60">
      <c r="B18" s="6" t="s">
        <v>16</v>
      </c>
      <c r="C18" s="5">
        <f>SUM(C16:C17)</f>
        <v>620</v>
      </c>
      <c r="D18" s="5">
        <f t="shared" ref="D18:E18" si="3">SUM(D16:D17)</f>
        <v>1276</v>
      </c>
      <c r="E18" s="5">
        <f t="shared" si="3"/>
        <v>2588</v>
      </c>
      <c r="F18" s="207"/>
      <c r="G18" s="207"/>
    </row>
    <row r="20" spans="2:7" ht="105">
      <c r="B20" s="208" t="s">
        <v>18</v>
      </c>
      <c r="C20" s="209"/>
      <c r="D20" s="209"/>
      <c r="E20" s="210"/>
      <c r="F20" s="211" t="s">
        <v>27</v>
      </c>
      <c r="G20" s="212"/>
    </row>
    <row r="21" spans="2:7">
      <c r="B21" s="9" t="s">
        <v>19</v>
      </c>
      <c r="C21" s="10" t="s">
        <v>1</v>
      </c>
      <c r="D21" s="10" t="s">
        <v>2</v>
      </c>
      <c r="E21" s="11" t="s">
        <v>3</v>
      </c>
      <c r="F21" s="211"/>
      <c r="G21" s="212"/>
    </row>
    <row r="22" spans="2:7" ht="30">
      <c r="B22" s="12" t="s">
        <v>21</v>
      </c>
      <c r="C22" s="13">
        <f>+C11</f>
        <v>9000</v>
      </c>
      <c r="D22" s="13">
        <f>+D11</f>
        <v>7360</v>
      </c>
      <c r="E22" s="14">
        <f>+E11</f>
        <v>4440</v>
      </c>
      <c r="F22" s="211"/>
      <c r="G22" s="212"/>
    </row>
    <row r="23" spans="2:7" ht="30">
      <c r="B23" s="12" t="s">
        <v>23</v>
      </c>
      <c r="C23" s="13">
        <f>+C14</f>
        <v>1800</v>
      </c>
      <c r="D23" s="13">
        <f>+C23+D14-D7</f>
        <v>5040</v>
      </c>
      <c r="E23" s="14">
        <f>+D23+E14-E7</f>
        <v>11160</v>
      </c>
      <c r="F23" s="211"/>
      <c r="G23" s="212"/>
    </row>
    <row r="24" spans="2:7">
      <c r="B24" s="12" t="s">
        <v>26</v>
      </c>
      <c r="C24" s="13">
        <f>-C23*0.1</f>
        <v>-180</v>
      </c>
      <c r="D24" s="13">
        <f>-D23*0.1</f>
        <v>-504</v>
      </c>
      <c r="E24" s="14">
        <f>-E23*0.1</f>
        <v>-1116</v>
      </c>
      <c r="F24" s="211"/>
      <c r="G24" s="212"/>
    </row>
    <row r="25" spans="2:7">
      <c r="B25" s="15"/>
      <c r="C25" s="16">
        <f>+SUM(C22:C24)</f>
        <v>10620</v>
      </c>
      <c r="D25" s="16">
        <f t="shared" ref="D25" si="4">+SUM(D22:D24)</f>
        <v>11896</v>
      </c>
      <c r="E25" s="17">
        <f t="shared" ref="E25" si="5">+SUM(E22:E24)</f>
        <v>14484</v>
      </c>
      <c r="F25" s="211"/>
      <c r="G25" s="212"/>
    </row>
    <row r="26" spans="2:7">
      <c r="B26" s="9" t="s">
        <v>20</v>
      </c>
      <c r="C26" s="10" t="s">
        <v>1</v>
      </c>
      <c r="D26" s="10" t="s">
        <v>2</v>
      </c>
      <c r="E26" s="11" t="s">
        <v>3</v>
      </c>
      <c r="F26" s="211"/>
      <c r="G26" s="212"/>
    </row>
    <row r="27" spans="2:7" ht="30">
      <c r="B27" s="12" t="s">
        <v>24</v>
      </c>
      <c r="C27" s="13">
        <v>10000</v>
      </c>
      <c r="D27" s="13">
        <f>+C27</f>
        <v>10000</v>
      </c>
      <c r="E27" s="14">
        <f>+D27</f>
        <v>10000</v>
      </c>
      <c r="F27" s="211"/>
      <c r="G27" s="212"/>
    </row>
    <row r="28" spans="2:7" ht="60">
      <c r="B28" s="12" t="s">
        <v>25</v>
      </c>
      <c r="C28" s="13">
        <f>+C18</f>
        <v>620</v>
      </c>
      <c r="D28" s="13">
        <f>+C28+D18</f>
        <v>1896</v>
      </c>
      <c r="E28" s="14">
        <f>+D28+E18</f>
        <v>4484</v>
      </c>
      <c r="F28" s="211"/>
      <c r="G28" s="212"/>
    </row>
    <row r="29" spans="2:7">
      <c r="B29" s="15"/>
      <c r="C29" s="16">
        <f>+SUM(C27:C28)</f>
        <v>10620</v>
      </c>
      <c r="D29" s="16">
        <f t="shared" ref="D29" si="6">+SUM(D27:D28)</f>
        <v>11896</v>
      </c>
      <c r="E29" s="17">
        <f t="shared" ref="E29" si="7">+SUM(E27:E28)</f>
        <v>14484</v>
      </c>
      <c r="F29" s="211"/>
      <c r="G29" s="21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31"/>
  <sheetViews>
    <sheetView workbookViewId="0"/>
  </sheetViews>
  <sheetFormatPr defaultRowHeight="15"/>
  <sheetData>
    <row r="2" spans="2:15" ht="42">
      <c r="B2" s="222" t="s">
        <v>38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2:15" ht="30">
      <c r="B3" s="27"/>
      <c r="C3" s="219" t="s">
        <v>19</v>
      </c>
      <c r="D3" s="220"/>
      <c r="E3" s="220"/>
      <c r="F3" s="220"/>
      <c r="G3" s="220"/>
      <c r="H3" s="221"/>
      <c r="I3" s="219" t="s">
        <v>33</v>
      </c>
      <c r="J3" s="220"/>
      <c r="K3" s="220"/>
      <c r="L3" s="220"/>
      <c r="M3" s="220"/>
      <c r="N3" s="220"/>
      <c r="O3" s="221"/>
    </row>
    <row r="4" spans="2:15" ht="25.5">
      <c r="B4" s="28"/>
      <c r="C4" s="28" t="s">
        <v>28</v>
      </c>
      <c r="D4" s="29"/>
      <c r="E4" s="29" t="s">
        <v>29</v>
      </c>
      <c r="F4" s="29" t="s">
        <v>30</v>
      </c>
      <c r="G4" s="29"/>
      <c r="H4" s="30"/>
      <c r="I4" s="28" t="s">
        <v>36</v>
      </c>
      <c r="J4" s="29" t="s">
        <v>37</v>
      </c>
      <c r="K4" s="29" t="s">
        <v>31</v>
      </c>
      <c r="L4" s="29" t="s">
        <v>32</v>
      </c>
      <c r="M4" s="29"/>
      <c r="N4" s="29"/>
      <c r="O4" s="30"/>
    </row>
    <row r="5" spans="2:15">
      <c r="B5" s="2" t="s">
        <v>34</v>
      </c>
      <c r="C5" s="18">
        <v>3000</v>
      </c>
      <c r="D5" s="19"/>
      <c r="E5" s="19">
        <v>4000</v>
      </c>
      <c r="F5" s="19">
        <v>8000</v>
      </c>
      <c r="G5" s="19"/>
      <c r="H5" s="20"/>
      <c r="I5" s="18"/>
      <c r="J5" s="19"/>
      <c r="K5" s="19">
        <v>5000</v>
      </c>
      <c r="L5" s="19">
        <v>10000</v>
      </c>
      <c r="M5" s="19"/>
      <c r="N5" s="19"/>
      <c r="O5" s="20"/>
    </row>
    <row r="6" spans="2:15">
      <c r="B6" s="3">
        <v>1</v>
      </c>
      <c r="C6" s="21">
        <v>8000</v>
      </c>
      <c r="D6" s="22"/>
      <c r="E6" s="22"/>
      <c r="F6" s="22"/>
      <c r="G6" s="22"/>
      <c r="H6" s="23"/>
      <c r="I6" s="21"/>
      <c r="J6" s="22"/>
      <c r="K6" s="22">
        <v>8000</v>
      </c>
      <c r="L6" s="22"/>
      <c r="M6" s="22"/>
      <c r="N6" s="22"/>
      <c r="O6" s="23"/>
    </row>
    <row r="7" spans="2:15">
      <c r="B7" s="3">
        <v>2</v>
      </c>
      <c r="C7" s="21">
        <v>-3000</v>
      </c>
      <c r="D7" s="22"/>
      <c r="E7" s="22">
        <v>20000</v>
      </c>
      <c r="F7" s="22"/>
      <c r="G7" s="22"/>
      <c r="H7" s="23"/>
      <c r="I7" s="21">
        <v>17000</v>
      </c>
      <c r="J7" s="22"/>
      <c r="K7" s="22"/>
      <c r="L7" s="22"/>
      <c r="M7" s="22"/>
      <c r="N7" s="22"/>
      <c r="O7" s="23"/>
    </row>
    <row r="8" spans="2:15">
      <c r="B8" s="3">
        <v>3</v>
      </c>
      <c r="C8" s="21">
        <v>-8000</v>
      </c>
      <c r="D8" s="22"/>
      <c r="E8" s="22"/>
      <c r="F8" s="22">
        <v>10000</v>
      </c>
      <c r="G8" s="22"/>
      <c r="H8" s="23"/>
      <c r="I8" s="21"/>
      <c r="J8" s="22">
        <v>2000</v>
      </c>
      <c r="K8" s="22"/>
      <c r="L8" s="22"/>
      <c r="M8" s="22"/>
      <c r="N8" s="22"/>
      <c r="O8" s="23"/>
    </row>
    <row r="9" spans="2:15">
      <c r="B9" s="3">
        <v>4</v>
      </c>
      <c r="C9" s="21">
        <v>-1500</v>
      </c>
      <c r="D9" s="22"/>
      <c r="E9" s="22"/>
      <c r="F9" s="22"/>
      <c r="G9" s="22"/>
      <c r="H9" s="23"/>
      <c r="I9" s="21"/>
      <c r="J9" s="22"/>
      <c r="K9" s="22">
        <v>-1500</v>
      </c>
      <c r="L9" s="22"/>
      <c r="M9" s="22"/>
      <c r="N9" s="22"/>
      <c r="O9" s="23"/>
    </row>
    <row r="10" spans="2:15">
      <c r="B10" s="3">
        <v>5</v>
      </c>
      <c r="C10" s="21">
        <v>3000</v>
      </c>
      <c r="D10" s="22"/>
      <c r="E10" s="22"/>
      <c r="F10" s="22"/>
      <c r="G10" s="22"/>
      <c r="H10" s="23"/>
      <c r="I10" s="21"/>
      <c r="J10" s="22"/>
      <c r="K10" s="22"/>
      <c r="L10" s="22">
        <v>3000</v>
      </c>
      <c r="M10" s="22"/>
      <c r="N10" s="22"/>
      <c r="O10" s="23"/>
    </row>
    <row r="11" spans="2:15">
      <c r="B11" s="3"/>
      <c r="C11" s="21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2"/>
      <c r="O11" s="23"/>
    </row>
    <row r="12" spans="2:15">
      <c r="B12" s="3"/>
      <c r="C12" s="21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3"/>
    </row>
    <row r="13" spans="2:15">
      <c r="B13" s="2" t="s">
        <v>35</v>
      </c>
      <c r="C13" s="24">
        <f>SUM(C5:C12)</f>
        <v>1500</v>
      </c>
      <c r="D13" s="25"/>
      <c r="E13" s="25">
        <f t="shared" ref="E13:O13" si="0">SUM(E5:E12)</f>
        <v>24000</v>
      </c>
      <c r="F13" s="25">
        <f t="shared" si="0"/>
        <v>18000</v>
      </c>
      <c r="G13" s="25">
        <f t="shared" si="0"/>
        <v>0</v>
      </c>
      <c r="H13" s="26">
        <f t="shared" si="0"/>
        <v>0</v>
      </c>
      <c r="I13" s="24">
        <f t="shared" si="0"/>
        <v>17000</v>
      </c>
      <c r="J13" s="25">
        <f t="shared" si="0"/>
        <v>2000</v>
      </c>
      <c r="K13" s="25">
        <f t="shared" si="0"/>
        <v>11500</v>
      </c>
      <c r="L13" s="25">
        <f t="shared" si="0"/>
        <v>13000</v>
      </c>
      <c r="M13" s="25">
        <f t="shared" si="0"/>
        <v>0</v>
      </c>
      <c r="N13" s="25">
        <f t="shared" si="0"/>
        <v>0</v>
      </c>
      <c r="O13" s="26">
        <f t="shared" si="0"/>
        <v>0</v>
      </c>
    </row>
    <row r="16" spans="2:15">
      <c r="C16" s="1" t="s">
        <v>19</v>
      </c>
      <c r="E16" s="1">
        <f>+SUM(C13:H13)</f>
        <v>43500</v>
      </c>
    </row>
    <row r="17" spans="2:15">
      <c r="C17" s="1" t="s">
        <v>20</v>
      </c>
      <c r="E17" s="1">
        <f>+SUM(I13:O13)</f>
        <v>43500</v>
      </c>
    </row>
    <row r="20" spans="2:15" ht="42">
      <c r="B20" s="222" t="s">
        <v>61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</row>
    <row r="21" spans="2:15" ht="30">
      <c r="B21" s="27"/>
      <c r="C21" s="219" t="s">
        <v>19</v>
      </c>
      <c r="D21" s="220"/>
      <c r="E21" s="220"/>
      <c r="F21" s="220"/>
      <c r="G21" s="220"/>
      <c r="H21" s="221"/>
      <c r="I21" s="219" t="s">
        <v>33</v>
      </c>
      <c r="J21" s="220"/>
      <c r="K21" s="220"/>
      <c r="L21" s="220"/>
      <c r="M21" s="220"/>
      <c r="N21" s="220"/>
      <c r="O21" s="221"/>
    </row>
    <row r="22" spans="2:15" ht="25.5">
      <c r="B22" s="28"/>
      <c r="C22" s="28" t="s">
        <v>28</v>
      </c>
      <c r="D22" s="29" t="s">
        <v>67</v>
      </c>
      <c r="E22" s="29" t="s">
        <v>29</v>
      </c>
      <c r="F22" s="29" t="s">
        <v>62</v>
      </c>
      <c r="G22" s="29" t="s">
        <v>63</v>
      </c>
      <c r="H22" s="30" t="s">
        <v>68</v>
      </c>
      <c r="I22" s="28" t="s">
        <v>36</v>
      </c>
      <c r="J22" s="29" t="s">
        <v>37</v>
      </c>
      <c r="K22" s="29" t="s">
        <v>31</v>
      </c>
      <c r="L22" s="29" t="s">
        <v>32</v>
      </c>
      <c r="M22" s="29"/>
      <c r="N22" s="29" t="s">
        <v>66</v>
      </c>
      <c r="O22" s="30" t="s">
        <v>65</v>
      </c>
    </row>
    <row r="23" spans="2:15">
      <c r="B23" s="2" t="s">
        <v>34</v>
      </c>
      <c r="C23" s="18">
        <f>+C13</f>
        <v>1500</v>
      </c>
      <c r="D23" s="19">
        <f t="shared" ref="D23:O23" si="1">+D13</f>
        <v>0</v>
      </c>
      <c r="E23" s="19">
        <f t="shared" si="1"/>
        <v>24000</v>
      </c>
      <c r="F23" s="19">
        <v>8000</v>
      </c>
      <c r="G23" s="19">
        <v>10000</v>
      </c>
      <c r="H23" s="20">
        <f t="shared" si="1"/>
        <v>0</v>
      </c>
      <c r="I23" s="18">
        <f t="shared" si="1"/>
        <v>17000</v>
      </c>
      <c r="J23" s="19">
        <f t="shared" si="1"/>
        <v>2000</v>
      </c>
      <c r="K23" s="19">
        <f t="shared" si="1"/>
        <v>11500</v>
      </c>
      <c r="L23" s="19">
        <f t="shared" si="1"/>
        <v>13000</v>
      </c>
      <c r="M23" s="19">
        <f t="shared" si="1"/>
        <v>0</v>
      </c>
      <c r="N23" s="19">
        <f t="shared" si="1"/>
        <v>0</v>
      </c>
      <c r="O23" s="55">
        <f t="shared" si="1"/>
        <v>0</v>
      </c>
    </row>
    <row r="24" spans="2:15">
      <c r="B24" s="213">
        <v>1</v>
      </c>
      <c r="C24" s="73">
        <v>5000</v>
      </c>
      <c r="D24" s="59">
        <v>1500</v>
      </c>
      <c r="E24" s="59"/>
      <c r="F24" s="59"/>
      <c r="G24" s="59"/>
      <c r="H24" s="60"/>
      <c r="I24" s="58"/>
      <c r="J24" s="59"/>
      <c r="K24" s="59"/>
      <c r="L24" s="59"/>
      <c r="M24" s="59"/>
      <c r="N24" s="59"/>
      <c r="O24" s="61">
        <v>6500</v>
      </c>
    </row>
    <row r="25" spans="2:15">
      <c r="B25" s="214"/>
      <c r="C25" s="74"/>
      <c r="D25" s="22"/>
      <c r="E25" s="22">
        <v>-18000</v>
      </c>
      <c r="F25" s="22"/>
      <c r="G25" s="22"/>
      <c r="H25" s="23"/>
      <c r="I25" s="21"/>
      <c r="J25" s="22"/>
      <c r="K25" s="22"/>
      <c r="L25" s="22"/>
      <c r="M25" s="22"/>
      <c r="N25" s="22"/>
      <c r="O25" s="56">
        <v>-18000</v>
      </c>
    </row>
    <row r="26" spans="2:15">
      <c r="B26" s="225">
        <v>2</v>
      </c>
      <c r="C26" s="73"/>
      <c r="D26" s="59"/>
      <c r="E26" s="59">
        <v>5000</v>
      </c>
      <c r="F26" s="59"/>
      <c r="G26" s="59"/>
      <c r="H26" s="59"/>
      <c r="I26" s="58">
        <v>5000</v>
      </c>
      <c r="J26" s="59"/>
      <c r="K26" s="59"/>
      <c r="L26" s="59"/>
      <c r="M26" s="59"/>
      <c r="N26" s="59"/>
      <c r="O26" s="61"/>
    </row>
    <row r="27" spans="2:15">
      <c r="B27" s="226"/>
      <c r="C27" s="75">
        <v>-1000</v>
      </c>
      <c r="D27" s="63"/>
      <c r="E27" s="63"/>
      <c r="F27" s="63"/>
      <c r="G27" s="63"/>
      <c r="H27" s="63"/>
      <c r="I27" s="62">
        <v>-1000</v>
      </c>
      <c r="J27" s="63"/>
      <c r="K27" s="63"/>
      <c r="L27" s="63"/>
      <c r="M27" s="63"/>
      <c r="N27" s="63"/>
      <c r="O27" s="65"/>
    </row>
    <row r="28" spans="2:15">
      <c r="B28" s="66">
        <v>3</v>
      </c>
      <c r="C28" s="75">
        <v>-500</v>
      </c>
      <c r="D28" s="63"/>
      <c r="E28" s="63"/>
      <c r="F28" s="63"/>
      <c r="G28" s="63"/>
      <c r="H28" s="64"/>
      <c r="I28" s="62"/>
      <c r="J28" s="63">
        <v>1000</v>
      </c>
      <c r="K28" s="63"/>
      <c r="L28" s="63"/>
      <c r="M28" s="63"/>
      <c r="N28" s="63"/>
      <c r="O28" s="65">
        <v>-1500</v>
      </c>
    </row>
    <row r="29" spans="2:15">
      <c r="B29" s="66">
        <v>4</v>
      </c>
      <c r="C29" s="73">
        <v>-200</v>
      </c>
      <c r="D29" s="59"/>
      <c r="E29" s="59"/>
      <c r="F29" s="59"/>
      <c r="G29" s="59"/>
      <c r="H29" s="60"/>
      <c r="I29" s="58"/>
      <c r="J29" s="59">
        <v>800</v>
      </c>
      <c r="K29" s="59"/>
      <c r="L29" s="59"/>
      <c r="M29" s="59"/>
      <c r="N29" s="59"/>
      <c r="O29" s="61">
        <v>-1000</v>
      </c>
    </row>
    <row r="30" spans="2:15">
      <c r="B30" s="225">
        <v>5</v>
      </c>
      <c r="C30" s="73"/>
      <c r="D30" s="59"/>
      <c r="E30" s="59"/>
      <c r="F30" s="59"/>
      <c r="G30" s="59"/>
      <c r="H30" s="59"/>
      <c r="I30" s="58"/>
      <c r="J30" s="59"/>
      <c r="K30" s="59">
        <f>-O30</f>
        <v>200</v>
      </c>
      <c r="L30" s="59"/>
      <c r="M30" s="59"/>
      <c r="N30" s="59"/>
      <c r="O30" s="61">
        <v>-200</v>
      </c>
    </row>
    <row r="31" spans="2:15">
      <c r="B31" s="226"/>
      <c r="C31" s="75">
        <v>-200</v>
      </c>
      <c r="D31" s="63"/>
      <c r="E31" s="63"/>
      <c r="F31" s="63"/>
      <c r="G31" s="63"/>
      <c r="H31" s="63"/>
      <c r="I31" s="62"/>
      <c r="J31" s="63"/>
      <c r="K31" s="63">
        <v>-200</v>
      </c>
      <c r="L31" s="63"/>
      <c r="M31" s="63"/>
      <c r="N31" s="63"/>
      <c r="O31" s="65"/>
    </row>
    <row r="32" spans="2:15">
      <c r="B32" s="66">
        <v>6</v>
      </c>
      <c r="C32" s="76">
        <v>-3000</v>
      </c>
      <c r="D32" s="67"/>
      <c r="E32" s="67"/>
      <c r="F32" s="67"/>
      <c r="G32" s="67"/>
      <c r="H32" s="68"/>
      <c r="I32" s="66">
        <v>-3000</v>
      </c>
      <c r="J32" s="67"/>
      <c r="K32" s="67"/>
      <c r="L32" s="67"/>
      <c r="M32" s="67"/>
      <c r="N32" s="67"/>
      <c r="O32" s="69"/>
    </row>
    <row r="33" spans="2:15">
      <c r="B33" s="66">
        <v>7</v>
      </c>
      <c r="C33" s="76">
        <v>-1000</v>
      </c>
      <c r="D33" s="67"/>
      <c r="E33" s="67"/>
      <c r="F33" s="67"/>
      <c r="G33" s="67"/>
      <c r="H33" s="68"/>
      <c r="I33" s="66"/>
      <c r="J33" s="67">
        <v>-1000</v>
      </c>
      <c r="K33" s="67"/>
      <c r="L33" s="67"/>
      <c r="M33" s="67"/>
      <c r="N33" s="67"/>
      <c r="O33" s="69"/>
    </row>
    <row r="34" spans="2:15">
      <c r="B34" s="66">
        <v>8</v>
      </c>
      <c r="C34" s="76">
        <v>-500</v>
      </c>
      <c r="D34" s="67"/>
      <c r="E34" s="67"/>
      <c r="F34" s="67"/>
      <c r="G34" s="67"/>
      <c r="H34" s="68"/>
      <c r="I34" s="66"/>
      <c r="J34" s="67"/>
      <c r="K34" s="67">
        <v>-500</v>
      </c>
      <c r="L34" s="67"/>
      <c r="M34" s="67"/>
      <c r="N34" s="67"/>
      <c r="O34" s="69"/>
    </row>
    <row r="35" spans="2:15">
      <c r="B35" s="66">
        <v>9</v>
      </c>
      <c r="C35" s="76"/>
      <c r="D35" s="67"/>
      <c r="E35" s="67"/>
      <c r="F35" s="67"/>
      <c r="G35" s="67"/>
      <c r="H35" s="68">
        <v>-100</v>
      </c>
      <c r="I35" s="66"/>
      <c r="J35" s="67"/>
      <c r="K35" s="67"/>
      <c r="L35" s="67"/>
      <c r="M35" s="67"/>
      <c r="N35" s="67"/>
      <c r="O35" s="69">
        <v>-100</v>
      </c>
    </row>
    <row r="36" spans="2:15">
      <c r="B36" s="66"/>
      <c r="C36" s="76"/>
      <c r="D36" s="67"/>
      <c r="E36" s="67"/>
      <c r="F36" s="67"/>
      <c r="G36" s="67"/>
      <c r="H36" s="68"/>
      <c r="I36" s="66"/>
      <c r="J36" s="67"/>
      <c r="K36" s="67"/>
      <c r="L36" s="67"/>
      <c r="M36" s="67"/>
      <c r="N36" s="72">
        <f>-O36</f>
        <v>-14300</v>
      </c>
      <c r="O36" s="69">
        <f>-SUM(O23:O35)</f>
        <v>14300</v>
      </c>
    </row>
    <row r="37" spans="2:15">
      <c r="B37" s="2" t="s">
        <v>35</v>
      </c>
      <c r="C37" s="24">
        <f t="shared" ref="C37:O37" si="2">SUM(C23:C36)</f>
        <v>100</v>
      </c>
      <c r="D37" s="25">
        <f t="shared" si="2"/>
        <v>1500</v>
      </c>
      <c r="E37" s="25">
        <f t="shared" si="2"/>
        <v>11000</v>
      </c>
      <c r="F37" s="25">
        <f t="shared" si="2"/>
        <v>8000</v>
      </c>
      <c r="G37" s="25">
        <f t="shared" si="2"/>
        <v>10000</v>
      </c>
      <c r="H37" s="26">
        <f t="shared" si="2"/>
        <v>-100</v>
      </c>
      <c r="I37" s="24">
        <f t="shared" si="2"/>
        <v>18000</v>
      </c>
      <c r="J37" s="25">
        <f t="shared" si="2"/>
        <v>2800</v>
      </c>
      <c r="K37" s="25">
        <f t="shared" si="2"/>
        <v>11000</v>
      </c>
      <c r="L37" s="25">
        <f t="shared" si="2"/>
        <v>13000</v>
      </c>
      <c r="M37" s="25">
        <f t="shared" si="2"/>
        <v>0</v>
      </c>
      <c r="N37" s="25">
        <f t="shared" si="2"/>
        <v>-14300</v>
      </c>
      <c r="O37" s="57">
        <f t="shared" si="2"/>
        <v>0</v>
      </c>
    </row>
    <row r="40" spans="2:15">
      <c r="C40" s="1" t="s">
        <v>19</v>
      </c>
      <c r="E40" s="1">
        <f>+SUM(C37:H37)</f>
        <v>30500</v>
      </c>
    </row>
    <row r="41" spans="2:15">
      <c r="C41" s="1" t="s">
        <v>20</v>
      </c>
      <c r="E41" s="1">
        <f>+SUM(I37:O37)</f>
        <v>30500</v>
      </c>
    </row>
    <row r="44" spans="2:15" ht="21">
      <c r="B44" s="222" t="s">
        <v>93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4"/>
    </row>
    <row r="45" spans="2:15" ht="30">
      <c r="B45" s="27"/>
      <c r="C45" s="219" t="s">
        <v>19</v>
      </c>
      <c r="D45" s="220"/>
      <c r="E45" s="220"/>
      <c r="F45" s="220"/>
      <c r="G45" s="220"/>
      <c r="H45" s="221"/>
      <c r="I45" s="219" t="s">
        <v>33</v>
      </c>
      <c r="J45" s="220"/>
      <c r="K45" s="220"/>
      <c r="L45" s="220"/>
      <c r="M45" s="220"/>
      <c r="N45" s="220"/>
      <c r="O45" s="221"/>
    </row>
    <row r="46" spans="2:15" ht="25.5">
      <c r="B46" s="28"/>
      <c r="C46" s="28" t="s">
        <v>28</v>
      </c>
      <c r="D46" s="29" t="s">
        <v>67</v>
      </c>
      <c r="E46" s="29" t="s">
        <v>29</v>
      </c>
      <c r="F46" s="29" t="s">
        <v>62</v>
      </c>
      <c r="G46" s="29" t="s">
        <v>63</v>
      </c>
      <c r="H46" s="30" t="s">
        <v>68</v>
      </c>
      <c r="I46" s="28" t="s">
        <v>36</v>
      </c>
      <c r="J46" s="29" t="s">
        <v>37</v>
      </c>
      <c r="K46" s="29" t="s">
        <v>31</v>
      </c>
      <c r="L46" s="29" t="s">
        <v>32</v>
      </c>
      <c r="M46" s="29"/>
      <c r="N46" s="29" t="s">
        <v>66</v>
      </c>
      <c r="O46" s="30" t="s">
        <v>65</v>
      </c>
    </row>
    <row r="47" spans="2:15">
      <c r="B47" s="79" t="s">
        <v>34</v>
      </c>
      <c r="C47" s="79">
        <f>+C37</f>
        <v>100</v>
      </c>
      <c r="D47" s="80">
        <f t="shared" ref="D47:E47" si="3">+D37</f>
        <v>1500</v>
      </c>
      <c r="E47" s="80">
        <f t="shared" si="3"/>
        <v>11000</v>
      </c>
      <c r="F47" s="80">
        <v>8000</v>
      </c>
      <c r="G47" s="80">
        <v>10000</v>
      </c>
      <c r="H47" s="81">
        <f t="shared" ref="H47:O47" si="4">+H37</f>
        <v>-100</v>
      </c>
      <c r="I47" s="79">
        <f t="shared" si="4"/>
        <v>18000</v>
      </c>
      <c r="J47" s="80">
        <f t="shared" si="4"/>
        <v>2800</v>
      </c>
      <c r="K47" s="80">
        <f t="shared" si="4"/>
        <v>11000</v>
      </c>
      <c r="L47" s="80">
        <f t="shared" si="4"/>
        <v>13000</v>
      </c>
      <c r="M47" s="80">
        <f t="shared" si="4"/>
        <v>0</v>
      </c>
      <c r="N47" s="80">
        <f t="shared" si="4"/>
        <v>-14300</v>
      </c>
      <c r="O47" s="82">
        <f t="shared" si="4"/>
        <v>0</v>
      </c>
    </row>
    <row r="48" spans="2:15">
      <c r="B48" s="83">
        <v>1</v>
      </c>
      <c r="C48" s="70">
        <v>1500</v>
      </c>
      <c r="D48" s="59">
        <f>-C48</f>
        <v>-1500</v>
      </c>
      <c r="E48" s="59"/>
      <c r="F48" s="59"/>
      <c r="G48" s="59"/>
      <c r="H48" s="60"/>
      <c r="I48" s="70"/>
      <c r="J48" s="59"/>
      <c r="K48" s="59"/>
      <c r="L48" s="59"/>
      <c r="M48" s="59"/>
      <c r="N48" s="59"/>
      <c r="O48" s="61"/>
    </row>
    <row r="49" spans="2:15">
      <c r="B49" s="225">
        <f>+B48+1</f>
        <v>2</v>
      </c>
      <c r="C49" s="70">
        <v>25000</v>
      </c>
      <c r="D49" s="59">
        <v>5000</v>
      </c>
      <c r="E49" s="59"/>
      <c r="F49" s="59"/>
      <c r="G49" s="59"/>
      <c r="H49" s="59"/>
      <c r="I49" s="70"/>
      <c r="J49" s="59"/>
      <c r="K49" s="59"/>
      <c r="L49" s="59"/>
      <c r="M49" s="59"/>
      <c r="N49" s="59"/>
      <c r="O49" s="61">
        <v>30000</v>
      </c>
    </row>
    <row r="50" spans="2:15">
      <c r="B50" s="226"/>
      <c r="C50" s="21"/>
      <c r="D50" s="22"/>
      <c r="E50" s="22">
        <v>-11000</v>
      </c>
      <c r="F50" s="22"/>
      <c r="G50" s="22"/>
      <c r="H50" s="22"/>
      <c r="I50" s="21"/>
      <c r="J50" s="22"/>
      <c r="K50" s="22"/>
      <c r="L50" s="22"/>
      <c r="M50" s="22"/>
      <c r="N50" s="22"/>
      <c r="O50" s="56">
        <v>-11000</v>
      </c>
    </row>
    <row r="51" spans="2:15">
      <c r="B51" s="225">
        <f>+B49+1</f>
        <v>3</v>
      </c>
      <c r="C51" s="70"/>
      <c r="D51" s="59"/>
      <c r="E51" s="59"/>
      <c r="F51" s="59"/>
      <c r="G51" s="59"/>
      <c r="H51" s="59"/>
      <c r="I51" s="70">
        <v>-18000</v>
      </c>
      <c r="J51" s="59"/>
      <c r="K51" s="59"/>
      <c r="L51" s="59"/>
      <c r="M51" s="59"/>
      <c r="N51" s="59"/>
      <c r="O51" s="61"/>
    </row>
    <row r="52" spans="2:15">
      <c r="B52" s="227"/>
      <c r="C52" s="21"/>
      <c r="D52" s="22"/>
      <c r="E52" s="22"/>
      <c r="F52" s="22"/>
      <c r="G52" s="22"/>
      <c r="H52" s="22"/>
      <c r="I52" s="21"/>
      <c r="J52" s="22">
        <v>-1000</v>
      </c>
      <c r="K52" s="22"/>
      <c r="L52" s="22"/>
      <c r="M52" s="22"/>
      <c r="N52" s="22"/>
      <c r="O52" s="56"/>
    </row>
    <row r="53" spans="2:15">
      <c r="B53" s="227"/>
      <c r="C53" s="21"/>
      <c r="D53" s="22"/>
      <c r="E53" s="22"/>
      <c r="F53" s="22"/>
      <c r="G53" s="22"/>
      <c r="H53" s="22"/>
      <c r="I53" s="21"/>
      <c r="J53" s="22">
        <v>-1800</v>
      </c>
      <c r="K53" s="22"/>
      <c r="L53" s="22"/>
      <c r="M53" s="22"/>
      <c r="N53" s="22"/>
      <c r="O53" s="56"/>
    </row>
    <row r="54" spans="2:15">
      <c r="B54" s="226"/>
      <c r="C54" s="71">
        <f>SUM(I51:J54)</f>
        <v>-20800</v>
      </c>
      <c r="D54" s="63"/>
      <c r="E54" s="63"/>
      <c r="F54" s="63"/>
      <c r="G54" s="63"/>
      <c r="H54" s="63"/>
      <c r="I54" s="71"/>
      <c r="J54" s="63"/>
      <c r="K54" s="63"/>
      <c r="L54" s="63"/>
      <c r="M54" s="63"/>
      <c r="N54" s="63"/>
      <c r="O54" s="65"/>
    </row>
    <row r="55" spans="2:15">
      <c r="B55" s="83">
        <f>+B51+1</f>
        <v>4</v>
      </c>
      <c r="C55" s="21">
        <v>-1000</v>
      </c>
      <c r="D55" s="22"/>
      <c r="E55" s="22">
        <v>10000</v>
      </c>
      <c r="F55" s="22"/>
      <c r="G55" s="22"/>
      <c r="H55" s="23"/>
      <c r="I55" s="21">
        <v>9000</v>
      </c>
      <c r="J55" s="22"/>
      <c r="K55" s="22"/>
      <c r="L55" s="22"/>
      <c r="M55" s="22"/>
      <c r="N55" s="22"/>
      <c r="O55" s="56"/>
    </row>
    <row r="56" spans="2:15">
      <c r="B56" s="225">
        <f t="shared" ref="B56:B62" si="5">+B55+1</f>
        <v>5</v>
      </c>
      <c r="C56" s="70"/>
      <c r="D56" s="59"/>
      <c r="E56" s="59"/>
      <c r="F56" s="59"/>
      <c r="G56" s="59"/>
      <c r="H56" s="59"/>
      <c r="I56" s="70"/>
      <c r="J56" s="59">
        <v>3000</v>
      </c>
      <c r="K56" s="59"/>
      <c r="L56" s="59"/>
      <c r="M56" s="59"/>
      <c r="N56" s="59"/>
      <c r="O56" s="61">
        <v>-3000</v>
      </c>
    </row>
    <row r="57" spans="2:15">
      <c r="B57" s="226"/>
      <c r="C57" s="21"/>
      <c r="D57" s="22"/>
      <c r="E57" s="22"/>
      <c r="F57" s="22"/>
      <c r="G57" s="22"/>
      <c r="H57" s="22"/>
      <c r="I57" s="21"/>
      <c r="J57" s="22">
        <v>2000</v>
      </c>
      <c r="K57" s="22"/>
      <c r="L57" s="22"/>
      <c r="M57" s="22"/>
      <c r="N57" s="22"/>
      <c r="O57" s="56">
        <v>-2000</v>
      </c>
    </row>
    <row r="58" spans="2:15">
      <c r="B58" s="225">
        <f>+B56+1</f>
        <v>6</v>
      </c>
      <c r="C58" s="70"/>
      <c r="D58" s="59"/>
      <c r="E58" s="59"/>
      <c r="F58" s="59"/>
      <c r="G58" s="59"/>
      <c r="H58" s="59"/>
      <c r="I58" s="70"/>
      <c r="J58" s="59"/>
      <c r="K58" s="59">
        <v>300</v>
      </c>
      <c r="L58" s="59"/>
      <c r="M58" s="59"/>
      <c r="N58" s="59"/>
      <c r="O58" s="61">
        <v>-300</v>
      </c>
    </row>
    <row r="59" spans="2:15">
      <c r="B59" s="226"/>
      <c r="C59" s="71">
        <v>-300</v>
      </c>
      <c r="D59" s="63"/>
      <c r="E59" s="63"/>
      <c r="F59" s="63"/>
      <c r="G59" s="63"/>
      <c r="H59" s="63"/>
      <c r="I59" s="71"/>
      <c r="J59" s="63"/>
      <c r="K59" s="63">
        <v>-300</v>
      </c>
      <c r="L59" s="63"/>
      <c r="M59" s="63"/>
      <c r="N59" s="63"/>
      <c r="O59" s="65"/>
    </row>
    <row r="60" spans="2:15">
      <c r="B60" s="83">
        <f>+B58+1</f>
        <v>7</v>
      </c>
      <c r="C60" s="71">
        <v>-4000</v>
      </c>
      <c r="D60" s="63"/>
      <c r="E60" s="63"/>
      <c r="F60" s="63"/>
      <c r="G60" s="63"/>
      <c r="H60" s="64"/>
      <c r="I60" s="71"/>
      <c r="J60" s="63"/>
      <c r="K60" s="63">
        <v>-4000</v>
      </c>
      <c r="L60" s="63"/>
      <c r="M60" s="63"/>
      <c r="N60" s="63"/>
      <c r="O60" s="65"/>
    </row>
    <row r="61" spans="2:15">
      <c r="B61" s="83">
        <f t="shared" si="5"/>
        <v>8</v>
      </c>
      <c r="C61" s="66"/>
      <c r="D61" s="67"/>
      <c r="E61" s="67"/>
      <c r="F61" s="67"/>
      <c r="G61" s="67"/>
      <c r="H61" s="68">
        <v>-100</v>
      </c>
      <c r="I61" s="66"/>
      <c r="J61" s="67"/>
      <c r="K61" s="67"/>
      <c r="L61" s="67"/>
      <c r="M61" s="67"/>
      <c r="N61" s="67"/>
      <c r="O61" s="69">
        <v>-100</v>
      </c>
    </row>
    <row r="62" spans="2:15">
      <c r="B62" s="83">
        <f t="shared" si="5"/>
        <v>9</v>
      </c>
      <c r="C62" s="66">
        <v>-300</v>
      </c>
      <c r="D62" s="67"/>
      <c r="E62" s="67"/>
      <c r="F62" s="67"/>
      <c r="G62" s="67"/>
      <c r="H62" s="68"/>
      <c r="I62" s="66"/>
      <c r="J62" s="67"/>
      <c r="K62" s="67"/>
      <c r="L62" s="67"/>
      <c r="M62" s="67"/>
      <c r="N62" s="67">
        <v>-300</v>
      </c>
      <c r="O62" s="69"/>
    </row>
    <row r="63" spans="2:15">
      <c r="B63" s="83" t="s">
        <v>95</v>
      </c>
      <c r="C63" s="66"/>
      <c r="D63" s="67"/>
      <c r="E63" s="67"/>
      <c r="F63" s="67"/>
      <c r="G63" s="67"/>
      <c r="H63" s="68"/>
      <c r="I63" s="66"/>
      <c r="J63" s="67"/>
      <c r="K63" s="67"/>
      <c r="L63" s="67"/>
      <c r="M63" s="67"/>
      <c r="N63" s="72">
        <f>-O63</f>
        <v>13600</v>
      </c>
      <c r="O63" s="69">
        <f>-SUM(O48:O62)</f>
        <v>-13600</v>
      </c>
    </row>
    <row r="64" spans="2:15">
      <c r="B64" s="2" t="s">
        <v>35</v>
      </c>
      <c r="C64" s="24">
        <f t="shared" ref="C64:O64" si="6">SUM(C47:C63)</f>
        <v>200</v>
      </c>
      <c r="D64" s="25">
        <f t="shared" si="6"/>
        <v>5000</v>
      </c>
      <c r="E64" s="25">
        <f t="shared" si="6"/>
        <v>10000</v>
      </c>
      <c r="F64" s="25">
        <f t="shared" si="6"/>
        <v>8000</v>
      </c>
      <c r="G64" s="25">
        <f t="shared" si="6"/>
        <v>10000</v>
      </c>
      <c r="H64" s="26">
        <f t="shared" si="6"/>
        <v>-200</v>
      </c>
      <c r="I64" s="24">
        <f t="shared" si="6"/>
        <v>9000</v>
      </c>
      <c r="J64" s="25">
        <f t="shared" si="6"/>
        <v>5000</v>
      </c>
      <c r="K64" s="25">
        <f t="shared" si="6"/>
        <v>7000</v>
      </c>
      <c r="L64" s="25">
        <f t="shared" si="6"/>
        <v>13000</v>
      </c>
      <c r="M64" s="25">
        <f t="shared" si="6"/>
        <v>0</v>
      </c>
      <c r="N64" s="25">
        <f t="shared" si="6"/>
        <v>-1000</v>
      </c>
      <c r="O64" s="57">
        <f t="shared" si="6"/>
        <v>0</v>
      </c>
    </row>
    <row r="67" spans="2:19">
      <c r="C67" s="1" t="s">
        <v>19</v>
      </c>
      <c r="E67" s="1">
        <f>SUM(C64:H64)</f>
        <v>33000</v>
      </c>
      <c r="I67" s="78">
        <v>37539</v>
      </c>
    </row>
    <row r="68" spans="2:19">
      <c r="C68" s="1" t="s">
        <v>20</v>
      </c>
      <c r="E68" s="1">
        <f>+SUM(I64:O64)</f>
        <v>33000</v>
      </c>
      <c r="I68" s="78">
        <v>35713</v>
      </c>
    </row>
    <row r="69" spans="2:19">
      <c r="I69" s="1">
        <f>+I68-I67</f>
        <v>-1826</v>
      </c>
      <c r="J69" s="1" t="s">
        <v>94</v>
      </c>
    </row>
    <row r="71" spans="2:19" ht="21">
      <c r="B71" s="216" t="s">
        <v>96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8"/>
    </row>
    <row r="72" spans="2:19" ht="30">
      <c r="B72" s="27"/>
      <c r="C72" s="219" t="s">
        <v>19</v>
      </c>
      <c r="D72" s="220"/>
      <c r="E72" s="220"/>
      <c r="F72" s="220"/>
      <c r="G72" s="220"/>
      <c r="H72" s="220"/>
      <c r="I72" s="221"/>
      <c r="J72" s="219" t="s">
        <v>33</v>
      </c>
      <c r="K72" s="220"/>
      <c r="L72" s="220"/>
      <c r="M72" s="220"/>
      <c r="N72" s="220"/>
      <c r="O72" s="220"/>
      <c r="P72" s="220"/>
      <c r="Q72" s="220"/>
      <c r="R72" s="220"/>
      <c r="S72" s="221"/>
    </row>
    <row r="73" spans="2:19" ht="25.5">
      <c r="B73" s="28"/>
      <c r="C73" s="28" t="s">
        <v>28</v>
      </c>
      <c r="D73" s="29" t="s">
        <v>67</v>
      </c>
      <c r="E73" s="29" t="s">
        <v>29</v>
      </c>
      <c r="F73" s="29" t="s">
        <v>127</v>
      </c>
      <c r="G73" s="29" t="s">
        <v>62</v>
      </c>
      <c r="H73" s="29" t="s">
        <v>63</v>
      </c>
      <c r="I73" s="30" t="s">
        <v>68</v>
      </c>
      <c r="J73" s="28" t="s">
        <v>36</v>
      </c>
      <c r="K73" s="29" t="s">
        <v>37</v>
      </c>
      <c r="L73" s="29" t="s">
        <v>126</v>
      </c>
      <c r="M73" s="29" t="s">
        <v>128</v>
      </c>
      <c r="N73" s="29" t="s">
        <v>31</v>
      </c>
      <c r="O73" s="29" t="s">
        <v>129</v>
      </c>
      <c r="P73" s="29" t="s">
        <v>32</v>
      </c>
      <c r="Q73" s="29"/>
      <c r="R73" s="29" t="s">
        <v>66</v>
      </c>
      <c r="S73" s="30" t="s">
        <v>65</v>
      </c>
    </row>
    <row r="74" spans="2:19">
      <c r="B74" s="89" t="s">
        <v>34</v>
      </c>
      <c r="C74" s="89">
        <f>+C64</f>
        <v>200</v>
      </c>
      <c r="D74" s="104">
        <f t="shared" ref="D74:E74" si="7">+D64</f>
        <v>5000</v>
      </c>
      <c r="E74" s="104">
        <f t="shared" si="7"/>
        <v>10000</v>
      </c>
      <c r="F74" s="104">
        <v>0</v>
      </c>
      <c r="G74" s="104">
        <v>8000</v>
      </c>
      <c r="H74" s="104">
        <v>10000</v>
      </c>
      <c r="I74" s="110">
        <f>+H64</f>
        <v>-200</v>
      </c>
      <c r="J74" s="89">
        <f>+I64</f>
        <v>9000</v>
      </c>
      <c r="K74" s="104">
        <f>+J64</f>
        <v>5000</v>
      </c>
      <c r="L74" s="104">
        <v>0</v>
      </c>
      <c r="M74" s="104">
        <v>0</v>
      </c>
      <c r="N74" s="104">
        <f>+K64</f>
        <v>7000</v>
      </c>
      <c r="O74" s="104">
        <v>0</v>
      </c>
      <c r="P74" s="104">
        <f>+L64</f>
        <v>13000</v>
      </c>
      <c r="Q74" s="104">
        <f>+M64</f>
        <v>0</v>
      </c>
      <c r="R74" s="104">
        <f>+N64</f>
        <v>-1000</v>
      </c>
      <c r="S74" s="116">
        <f>+O64</f>
        <v>0</v>
      </c>
    </row>
    <row r="75" spans="2:19">
      <c r="B75" s="66">
        <v>1</v>
      </c>
      <c r="C75" s="76">
        <v>5000</v>
      </c>
      <c r="D75" s="67">
        <v>-5000</v>
      </c>
      <c r="E75" s="67"/>
      <c r="F75" s="67"/>
      <c r="G75" s="67"/>
      <c r="H75" s="67"/>
      <c r="I75" s="67"/>
      <c r="J75" s="66"/>
      <c r="K75" s="67"/>
      <c r="L75" s="67"/>
      <c r="M75" s="67"/>
      <c r="N75" s="67"/>
      <c r="O75" s="67"/>
      <c r="P75" s="67"/>
      <c r="Q75" s="67"/>
      <c r="R75" s="67"/>
      <c r="S75" s="69"/>
    </row>
    <row r="76" spans="2:19">
      <c r="B76" s="83">
        <v>2</v>
      </c>
      <c r="C76" s="76">
        <v>15000</v>
      </c>
      <c r="D76" s="67"/>
      <c r="E76" s="67"/>
      <c r="F76" s="67"/>
      <c r="G76" s="67"/>
      <c r="H76" s="67"/>
      <c r="I76" s="67"/>
      <c r="J76" s="66"/>
      <c r="K76" s="67"/>
      <c r="L76" s="67">
        <v>15000</v>
      </c>
      <c r="M76" s="67"/>
      <c r="N76" s="67"/>
      <c r="O76" s="67"/>
      <c r="P76" s="67"/>
      <c r="Q76" s="67"/>
      <c r="R76" s="67"/>
      <c r="S76" s="69"/>
    </row>
    <row r="77" spans="2:19">
      <c r="B77" s="213">
        <v>3</v>
      </c>
      <c r="C77" s="73">
        <v>13000</v>
      </c>
      <c r="D77" s="114">
        <v>2000</v>
      </c>
      <c r="E77" s="114"/>
      <c r="F77" s="114"/>
      <c r="G77" s="114"/>
      <c r="H77" s="114"/>
      <c r="I77" s="114"/>
      <c r="J77" s="91"/>
      <c r="K77" s="114"/>
      <c r="L77" s="114"/>
      <c r="M77" s="114"/>
      <c r="N77" s="114"/>
      <c r="O77" s="114"/>
      <c r="P77" s="114"/>
      <c r="Q77" s="114"/>
      <c r="R77" s="114"/>
      <c r="S77" s="61">
        <v>15000</v>
      </c>
    </row>
    <row r="78" spans="2:19">
      <c r="B78" s="214"/>
      <c r="C78" s="75"/>
      <c r="D78" s="115"/>
      <c r="E78" s="115">
        <v>-10000</v>
      </c>
      <c r="F78" s="115"/>
      <c r="G78" s="115"/>
      <c r="H78" s="115"/>
      <c r="I78" s="115"/>
      <c r="J78" s="92"/>
      <c r="K78" s="115"/>
      <c r="L78" s="115"/>
      <c r="M78" s="115"/>
      <c r="N78" s="115"/>
      <c r="O78" s="115"/>
      <c r="P78" s="115"/>
      <c r="Q78" s="115"/>
      <c r="R78" s="115"/>
      <c r="S78" s="65">
        <v>-10000</v>
      </c>
    </row>
    <row r="79" spans="2:19">
      <c r="B79" s="83">
        <v>4</v>
      </c>
      <c r="C79" s="76">
        <v>-14000</v>
      </c>
      <c r="D79" s="67"/>
      <c r="E79" s="67"/>
      <c r="F79" s="67"/>
      <c r="G79" s="67"/>
      <c r="H79" s="67"/>
      <c r="I79" s="67"/>
      <c r="J79" s="66">
        <v>-9000</v>
      </c>
      <c r="K79" s="67">
        <v>-5000</v>
      </c>
      <c r="L79" s="67"/>
      <c r="M79" s="67"/>
      <c r="N79" s="67"/>
      <c r="O79" s="67"/>
      <c r="P79" s="67"/>
      <c r="Q79" s="67"/>
      <c r="R79" s="67"/>
      <c r="S79" s="69"/>
    </row>
    <row r="80" spans="2:19">
      <c r="B80" s="83">
        <v>5</v>
      </c>
      <c r="C80" s="76">
        <v>-1000</v>
      </c>
      <c r="D80" s="67"/>
      <c r="E80" s="67"/>
      <c r="F80" s="67"/>
      <c r="G80" s="67"/>
      <c r="H80" s="67"/>
      <c r="I80" s="67"/>
      <c r="J80" s="66"/>
      <c r="K80" s="67">
        <v>500</v>
      </c>
      <c r="L80" s="67"/>
      <c r="M80" s="67"/>
      <c r="N80" s="67"/>
      <c r="O80" s="67"/>
      <c r="P80" s="67"/>
      <c r="Q80" s="67"/>
      <c r="R80" s="67"/>
      <c r="S80" s="69">
        <v>-1500</v>
      </c>
    </row>
    <row r="81" spans="2:19">
      <c r="B81" s="83">
        <v>6</v>
      </c>
      <c r="C81" s="76"/>
      <c r="D81" s="67"/>
      <c r="E81" s="67"/>
      <c r="F81" s="67"/>
      <c r="G81" s="67"/>
      <c r="H81" s="67"/>
      <c r="I81" s="67"/>
      <c r="J81" s="66"/>
      <c r="K81" s="67">
        <v>1200</v>
      </c>
      <c r="L81" s="67"/>
      <c r="M81" s="67"/>
      <c r="N81" s="67"/>
      <c r="O81" s="67"/>
      <c r="P81" s="67"/>
      <c r="Q81" s="67"/>
      <c r="R81" s="67"/>
      <c r="S81" s="69">
        <v>-1200</v>
      </c>
    </row>
    <row r="82" spans="2:19">
      <c r="B82" s="213">
        <v>7</v>
      </c>
      <c r="C82" s="73"/>
      <c r="D82" s="114"/>
      <c r="E82" s="114"/>
      <c r="F82" s="114"/>
      <c r="G82" s="114"/>
      <c r="H82" s="114"/>
      <c r="I82" s="114"/>
      <c r="J82" s="91"/>
      <c r="K82" s="114"/>
      <c r="L82" s="114"/>
      <c r="M82" s="114"/>
      <c r="N82" s="114">
        <v>200</v>
      </c>
      <c r="O82" s="114"/>
      <c r="P82" s="114"/>
      <c r="Q82" s="114"/>
      <c r="R82" s="114"/>
      <c r="S82" s="61">
        <v>-200</v>
      </c>
    </row>
    <row r="83" spans="2:19">
      <c r="B83" s="214"/>
      <c r="C83" s="75">
        <v>-200</v>
      </c>
      <c r="D83" s="115"/>
      <c r="E83" s="115"/>
      <c r="F83" s="115"/>
      <c r="G83" s="115"/>
      <c r="H83" s="115"/>
      <c r="I83" s="115"/>
      <c r="J83" s="92"/>
      <c r="K83" s="115"/>
      <c r="L83" s="115"/>
      <c r="M83" s="115"/>
      <c r="N83" s="115">
        <v>-200</v>
      </c>
      <c r="O83" s="115"/>
      <c r="P83" s="115"/>
      <c r="Q83" s="115"/>
      <c r="R83" s="115"/>
      <c r="S83" s="65"/>
    </row>
    <row r="84" spans="2:19">
      <c r="B84" s="83">
        <v>8</v>
      </c>
      <c r="C84" s="76"/>
      <c r="D84" s="67"/>
      <c r="E84" s="67"/>
      <c r="F84" s="67"/>
      <c r="G84" s="67"/>
      <c r="H84" s="67"/>
      <c r="I84" s="67">
        <v>-100</v>
      </c>
      <c r="J84" s="66"/>
      <c r="K84" s="67"/>
      <c r="L84" s="67"/>
      <c r="M84" s="67"/>
      <c r="N84" s="67"/>
      <c r="O84" s="67"/>
      <c r="P84" s="67"/>
      <c r="Q84" s="67"/>
      <c r="R84" s="67"/>
      <c r="S84" s="69">
        <v>-100</v>
      </c>
    </row>
    <row r="85" spans="2:19">
      <c r="B85" s="213">
        <v>9</v>
      </c>
      <c r="C85" s="73">
        <v>-1200</v>
      </c>
      <c r="D85" s="114"/>
      <c r="E85" s="114"/>
      <c r="F85" s="114">
        <v>1200</v>
      </c>
      <c r="G85" s="114"/>
      <c r="H85" s="114"/>
      <c r="I85" s="114"/>
      <c r="J85" s="91"/>
      <c r="K85" s="114"/>
      <c r="L85" s="114"/>
      <c r="M85" s="114"/>
      <c r="N85" s="114"/>
      <c r="O85" s="114"/>
      <c r="P85" s="114"/>
      <c r="Q85" s="114"/>
      <c r="R85" s="114"/>
      <c r="S85" s="61"/>
    </row>
    <row r="86" spans="2:19">
      <c r="B86" s="214"/>
      <c r="C86" s="75"/>
      <c r="D86" s="115"/>
      <c r="E86" s="115"/>
      <c r="F86" s="115">
        <v>-100</v>
      </c>
      <c r="G86" s="115"/>
      <c r="H86" s="115"/>
      <c r="I86" s="115"/>
      <c r="J86" s="92"/>
      <c r="K86" s="115"/>
      <c r="L86" s="115"/>
      <c r="M86" s="115"/>
      <c r="N86" s="115"/>
      <c r="O86" s="115"/>
      <c r="P86" s="115"/>
      <c r="Q86" s="115"/>
      <c r="R86" s="115"/>
      <c r="S86" s="65">
        <v>-100</v>
      </c>
    </row>
    <row r="87" spans="2:19">
      <c r="B87" s="66">
        <v>10</v>
      </c>
      <c r="C87" s="76">
        <v>-10000</v>
      </c>
      <c r="D87" s="67"/>
      <c r="E87" s="67">
        <v>12000</v>
      </c>
      <c r="F87" s="67"/>
      <c r="G87" s="67"/>
      <c r="H87" s="67"/>
      <c r="I87" s="67"/>
      <c r="J87" s="66">
        <v>2000</v>
      </c>
      <c r="K87" s="67"/>
      <c r="L87" s="67"/>
      <c r="M87" s="67"/>
      <c r="N87" s="67"/>
      <c r="O87" s="67"/>
      <c r="P87" s="67"/>
      <c r="Q87" s="67"/>
      <c r="R87" s="67"/>
      <c r="S87" s="69"/>
    </row>
    <row r="88" spans="2:19">
      <c r="B88" s="213">
        <v>11</v>
      </c>
      <c r="C88" s="73">
        <v>10000</v>
      </c>
      <c r="D88" s="114"/>
      <c r="E88" s="114"/>
      <c r="F88" s="114"/>
      <c r="G88" s="114"/>
      <c r="H88" s="114"/>
      <c r="I88" s="114"/>
      <c r="J88" s="91"/>
      <c r="K88" s="114"/>
      <c r="L88" s="114"/>
      <c r="M88" s="114"/>
      <c r="N88" s="114"/>
      <c r="O88" s="114"/>
      <c r="P88" s="114"/>
      <c r="Q88" s="114"/>
      <c r="R88" s="114"/>
      <c r="S88" s="61">
        <v>10000</v>
      </c>
    </row>
    <row r="89" spans="2:19">
      <c r="B89" s="214"/>
      <c r="C89" s="75"/>
      <c r="D89" s="115"/>
      <c r="E89" s="115"/>
      <c r="F89" s="115"/>
      <c r="G89" s="115">
        <v>-8000</v>
      </c>
      <c r="H89" s="115"/>
      <c r="I89" s="115"/>
      <c r="J89" s="92"/>
      <c r="K89" s="115"/>
      <c r="L89" s="115"/>
      <c r="M89" s="115"/>
      <c r="N89" s="115"/>
      <c r="O89" s="115"/>
      <c r="P89" s="115"/>
      <c r="Q89" s="115"/>
      <c r="R89" s="115"/>
      <c r="S89" s="65">
        <v>-8000</v>
      </c>
    </row>
    <row r="90" spans="2:19">
      <c r="B90" s="66">
        <v>12</v>
      </c>
      <c r="C90" s="76"/>
      <c r="D90" s="67"/>
      <c r="E90" s="67"/>
      <c r="F90" s="67"/>
      <c r="G90" s="67"/>
      <c r="H90" s="67"/>
      <c r="I90" s="67"/>
      <c r="J90" s="66"/>
      <c r="K90" s="67"/>
      <c r="L90" s="67"/>
      <c r="M90" s="67">
        <f>-S90</f>
        <v>1560</v>
      </c>
      <c r="N90" s="67"/>
      <c r="O90" s="67"/>
      <c r="P90" s="67"/>
      <c r="Q90" s="67"/>
      <c r="R90" s="67"/>
      <c r="S90" s="69">
        <f>-SUM(S77:S89)*40%</f>
        <v>-1560</v>
      </c>
    </row>
    <row r="91" spans="2:19">
      <c r="B91" s="66">
        <v>13</v>
      </c>
      <c r="C91" s="76"/>
      <c r="D91" s="67"/>
      <c r="E91" s="67"/>
      <c r="F91" s="67"/>
      <c r="G91" s="67"/>
      <c r="H91" s="67"/>
      <c r="I91" s="67"/>
      <c r="J91" s="66"/>
      <c r="K91" s="67"/>
      <c r="L91" s="67"/>
      <c r="M91" s="67"/>
      <c r="N91" s="67"/>
      <c r="O91" s="67">
        <f>-S91</f>
        <v>585</v>
      </c>
      <c r="P91" s="67"/>
      <c r="Q91" s="67"/>
      <c r="R91" s="67"/>
      <c r="S91" s="69">
        <f>-2340*0.25</f>
        <v>-585</v>
      </c>
    </row>
    <row r="92" spans="2:19">
      <c r="B92" s="92" t="s">
        <v>95</v>
      </c>
      <c r="C92" s="75"/>
      <c r="D92" s="115"/>
      <c r="E92" s="115"/>
      <c r="F92" s="115"/>
      <c r="G92" s="115"/>
      <c r="H92" s="115"/>
      <c r="I92" s="115"/>
      <c r="J92" s="92"/>
      <c r="K92" s="115"/>
      <c r="L92" s="115"/>
      <c r="M92" s="115"/>
      <c r="N92" s="115"/>
      <c r="O92" s="115"/>
      <c r="P92" s="115"/>
      <c r="Q92" s="115"/>
      <c r="R92" s="117">
        <f>-S92</f>
        <v>1755</v>
      </c>
      <c r="S92" s="65">
        <f>-SUM(S75:S91)</f>
        <v>-1755</v>
      </c>
    </row>
    <row r="93" spans="2:19">
      <c r="B93" s="2" t="s">
        <v>35</v>
      </c>
      <c r="C93" s="24">
        <f t="shared" ref="C93:S93" si="8">SUM(C74:C92)</f>
        <v>16800</v>
      </c>
      <c r="D93" s="25">
        <f t="shared" si="8"/>
        <v>2000</v>
      </c>
      <c r="E93" s="25">
        <f t="shared" si="8"/>
        <v>12000</v>
      </c>
      <c r="F93" s="25">
        <f t="shared" si="8"/>
        <v>1100</v>
      </c>
      <c r="G93" s="25">
        <f t="shared" si="8"/>
        <v>0</v>
      </c>
      <c r="H93" s="25">
        <f t="shared" si="8"/>
        <v>10000</v>
      </c>
      <c r="I93" s="26">
        <f t="shared" si="8"/>
        <v>-300</v>
      </c>
      <c r="J93" s="24">
        <f t="shared" si="8"/>
        <v>2000</v>
      </c>
      <c r="K93" s="25">
        <f t="shared" si="8"/>
        <v>1700</v>
      </c>
      <c r="L93" s="25">
        <f t="shared" si="8"/>
        <v>15000</v>
      </c>
      <c r="M93" s="25">
        <f t="shared" si="8"/>
        <v>1560</v>
      </c>
      <c r="N93" s="25">
        <f t="shared" si="8"/>
        <v>7000</v>
      </c>
      <c r="O93" s="25">
        <f t="shared" si="8"/>
        <v>585</v>
      </c>
      <c r="P93" s="25">
        <f t="shared" si="8"/>
        <v>13000</v>
      </c>
      <c r="Q93" s="25">
        <f t="shared" si="8"/>
        <v>0</v>
      </c>
      <c r="R93" s="25">
        <f t="shared" si="8"/>
        <v>755</v>
      </c>
      <c r="S93" s="57">
        <f t="shared" si="8"/>
        <v>0</v>
      </c>
    </row>
    <row r="96" spans="2:19">
      <c r="C96" s="1" t="s">
        <v>19</v>
      </c>
      <c r="E96" s="1">
        <f>SUM(C93:I93)</f>
        <v>41600</v>
      </c>
      <c r="I96" s="78"/>
    </row>
    <row r="97" spans="2:19">
      <c r="C97" s="1" t="s">
        <v>20</v>
      </c>
      <c r="E97" s="1">
        <f>+SUM(J93:S93)</f>
        <v>41600</v>
      </c>
      <c r="I97" s="78"/>
    </row>
    <row r="100" spans="2:19" ht="42">
      <c r="B100" s="216" t="s">
        <v>146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8"/>
    </row>
    <row r="101" spans="2:19" ht="30">
      <c r="B101" s="27"/>
      <c r="C101" s="219" t="s">
        <v>19</v>
      </c>
      <c r="D101" s="220"/>
      <c r="E101" s="220"/>
      <c r="F101" s="220"/>
      <c r="G101" s="220"/>
      <c r="H101" s="220"/>
      <c r="I101" s="221"/>
      <c r="J101" s="219" t="s">
        <v>33</v>
      </c>
      <c r="K101" s="220"/>
      <c r="L101" s="220"/>
      <c r="M101" s="220"/>
      <c r="N101" s="220"/>
      <c r="O101" s="220"/>
      <c r="P101" s="220"/>
      <c r="Q101" s="220"/>
      <c r="R101" s="220"/>
      <c r="S101" s="221"/>
    </row>
    <row r="102" spans="2:19" ht="25.5">
      <c r="B102" s="28"/>
      <c r="C102" s="28" t="s">
        <v>28</v>
      </c>
      <c r="D102" s="29" t="s">
        <v>67</v>
      </c>
      <c r="E102" s="29" t="s">
        <v>29</v>
      </c>
      <c r="F102" s="29" t="s">
        <v>127</v>
      </c>
      <c r="G102" s="29" t="s">
        <v>62</v>
      </c>
      <c r="H102" s="29" t="s">
        <v>63</v>
      </c>
      <c r="I102" s="30" t="s">
        <v>68</v>
      </c>
      <c r="J102" s="28" t="s">
        <v>36</v>
      </c>
      <c r="K102" s="29" t="s">
        <v>37</v>
      </c>
      <c r="L102" s="29" t="s">
        <v>126</v>
      </c>
      <c r="M102" s="29" t="s">
        <v>128</v>
      </c>
      <c r="N102" s="29" t="s">
        <v>31</v>
      </c>
      <c r="O102" s="29" t="s">
        <v>129</v>
      </c>
      <c r="P102" s="29" t="s">
        <v>32</v>
      </c>
      <c r="Q102" s="29"/>
      <c r="R102" s="29" t="s">
        <v>66</v>
      </c>
      <c r="S102" s="30" t="s">
        <v>65</v>
      </c>
    </row>
    <row r="103" spans="2:19">
      <c r="B103" s="89" t="s">
        <v>34</v>
      </c>
      <c r="C103" s="89">
        <f>+C93</f>
        <v>16800</v>
      </c>
      <c r="D103" s="104">
        <f t="shared" ref="D103:S103" si="9">+D93</f>
        <v>2000</v>
      </c>
      <c r="E103" s="104">
        <f t="shared" si="9"/>
        <v>12000</v>
      </c>
      <c r="F103" s="104">
        <f t="shared" si="9"/>
        <v>1100</v>
      </c>
      <c r="G103" s="104">
        <f t="shared" si="9"/>
        <v>0</v>
      </c>
      <c r="H103" s="104">
        <f t="shared" si="9"/>
        <v>10000</v>
      </c>
      <c r="I103" s="110">
        <f t="shared" si="9"/>
        <v>-300</v>
      </c>
      <c r="J103" s="89">
        <f t="shared" si="9"/>
        <v>2000</v>
      </c>
      <c r="K103" s="104">
        <f t="shared" si="9"/>
        <v>1700</v>
      </c>
      <c r="L103" s="104">
        <f t="shared" si="9"/>
        <v>15000</v>
      </c>
      <c r="M103" s="104">
        <f t="shared" si="9"/>
        <v>1560</v>
      </c>
      <c r="N103" s="104">
        <f t="shared" si="9"/>
        <v>7000</v>
      </c>
      <c r="O103" s="104">
        <f t="shared" si="9"/>
        <v>585</v>
      </c>
      <c r="P103" s="104">
        <f t="shared" si="9"/>
        <v>13000</v>
      </c>
      <c r="Q103" s="104">
        <f t="shared" si="9"/>
        <v>0</v>
      </c>
      <c r="R103" s="104">
        <f t="shared" si="9"/>
        <v>755</v>
      </c>
      <c r="S103" s="116">
        <f t="shared" si="9"/>
        <v>0</v>
      </c>
    </row>
    <row r="104" spans="2:19">
      <c r="B104" s="83">
        <v>1</v>
      </c>
      <c r="C104" s="72">
        <v>2000</v>
      </c>
      <c r="D104" s="67">
        <v>-2000</v>
      </c>
      <c r="E104" s="67"/>
      <c r="F104" s="67"/>
      <c r="G104" s="67"/>
      <c r="H104" s="67"/>
      <c r="I104" s="68"/>
      <c r="J104" s="67"/>
      <c r="K104" s="67"/>
      <c r="L104" s="67"/>
      <c r="M104" s="67"/>
      <c r="N104" s="67"/>
      <c r="O104" s="67"/>
      <c r="P104" s="67"/>
      <c r="Q104" s="67"/>
      <c r="R104" s="67"/>
      <c r="S104" s="69"/>
    </row>
    <row r="105" spans="2:19">
      <c r="B105" s="213">
        <v>2</v>
      </c>
      <c r="C105" s="122"/>
      <c r="D105" s="122"/>
      <c r="E105" s="122"/>
      <c r="F105" s="122"/>
      <c r="G105" s="122"/>
      <c r="H105" s="122"/>
      <c r="I105" s="60"/>
      <c r="J105" s="122">
        <v>-2000</v>
      </c>
      <c r="K105" s="122"/>
      <c r="L105" s="122"/>
      <c r="M105" s="122"/>
      <c r="N105" s="122"/>
      <c r="O105" s="122"/>
      <c r="P105" s="122"/>
      <c r="Q105" s="122"/>
      <c r="R105" s="122"/>
      <c r="S105" s="61"/>
    </row>
    <row r="106" spans="2:19">
      <c r="B106" s="215"/>
      <c r="C106" s="22"/>
      <c r="D106" s="22"/>
      <c r="E106" s="22"/>
      <c r="F106" s="22"/>
      <c r="G106" s="22"/>
      <c r="H106" s="22"/>
      <c r="I106" s="23"/>
      <c r="J106" s="22"/>
      <c r="K106" s="22">
        <v>-1700</v>
      </c>
      <c r="L106" s="22"/>
      <c r="M106" s="22"/>
      <c r="N106" s="22"/>
      <c r="O106" s="22"/>
      <c r="P106" s="22"/>
      <c r="Q106" s="22"/>
      <c r="R106" s="22"/>
      <c r="S106" s="56"/>
    </row>
    <row r="107" spans="2:19">
      <c r="B107" s="215"/>
      <c r="C107" s="22"/>
      <c r="D107" s="22"/>
      <c r="E107" s="22"/>
      <c r="F107" s="22"/>
      <c r="G107" s="22"/>
      <c r="H107" s="22"/>
      <c r="I107" s="23"/>
      <c r="J107" s="22"/>
      <c r="K107" s="22"/>
      <c r="L107" s="22"/>
      <c r="M107" s="22">
        <v>-1560</v>
      </c>
      <c r="N107" s="22"/>
      <c r="O107" s="22"/>
      <c r="P107" s="22"/>
      <c r="Q107" s="22"/>
      <c r="R107" s="22"/>
      <c r="S107" s="56"/>
    </row>
    <row r="108" spans="2:19">
      <c r="B108" s="215"/>
      <c r="C108" s="22"/>
      <c r="D108" s="22"/>
      <c r="E108" s="22"/>
      <c r="F108" s="22"/>
      <c r="G108" s="22"/>
      <c r="H108" s="22"/>
      <c r="I108" s="23"/>
      <c r="J108" s="22"/>
      <c r="K108" s="22"/>
      <c r="L108" s="22"/>
      <c r="M108" s="22"/>
      <c r="N108" s="22"/>
      <c r="O108" s="22">
        <v>-585</v>
      </c>
      <c r="P108" s="22"/>
      <c r="Q108" s="22"/>
      <c r="R108" s="22"/>
      <c r="S108" s="56"/>
    </row>
    <row r="109" spans="2:19">
      <c r="B109" s="214"/>
      <c r="C109" s="117">
        <f>+SUM(J105:O109)</f>
        <v>-5845</v>
      </c>
      <c r="D109" s="123"/>
      <c r="E109" s="123"/>
      <c r="F109" s="123"/>
      <c r="G109" s="123"/>
      <c r="H109" s="123"/>
      <c r="I109" s="64"/>
      <c r="J109" s="123"/>
      <c r="K109" s="123"/>
      <c r="L109" s="123"/>
      <c r="M109" s="123"/>
      <c r="N109" s="123"/>
      <c r="O109" s="123"/>
      <c r="P109" s="123"/>
      <c r="Q109" s="123"/>
      <c r="R109" s="123"/>
      <c r="S109" s="65"/>
    </row>
    <row r="110" spans="2:19">
      <c r="B110" s="83">
        <v>3</v>
      </c>
      <c r="C110" s="72">
        <v>-3500</v>
      </c>
      <c r="D110" s="67"/>
      <c r="E110" s="67"/>
      <c r="F110" s="67"/>
      <c r="G110" s="67"/>
      <c r="H110" s="67"/>
      <c r="I110" s="68"/>
      <c r="J110" s="67"/>
      <c r="K110" s="67"/>
      <c r="L110" s="67"/>
      <c r="M110" s="67"/>
      <c r="N110" s="67">
        <v>-3500</v>
      </c>
      <c r="O110" s="67"/>
      <c r="P110" s="67"/>
      <c r="Q110" s="67"/>
      <c r="R110" s="67"/>
      <c r="S110" s="69"/>
    </row>
    <row r="111" spans="2:19">
      <c r="B111" s="213">
        <v>4</v>
      </c>
      <c r="C111" s="122"/>
      <c r="D111" s="122"/>
      <c r="E111" s="122"/>
      <c r="F111" s="122"/>
      <c r="G111" s="122"/>
      <c r="H111" s="122"/>
      <c r="I111" s="60"/>
      <c r="J111" s="122"/>
      <c r="K111" s="122"/>
      <c r="L111" s="122">
        <v>-15000</v>
      </c>
      <c r="M111" s="122"/>
      <c r="N111" s="122"/>
      <c r="O111" s="122"/>
      <c r="P111" s="122"/>
      <c r="Q111" s="122"/>
      <c r="R111" s="122"/>
      <c r="S111" s="61">
        <f>-L111</f>
        <v>15000</v>
      </c>
    </row>
    <row r="112" spans="2:19">
      <c r="B112" s="214"/>
      <c r="C112" s="123"/>
      <c r="D112" s="123"/>
      <c r="E112" s="123">
        <f>-E103/3*2</f>
        <v>-8000</v>
      </c>
      <c r="F112" s="123"/>
      <c r="G112" s="123"/>
      <c r="H112" s="123"/>
      <c r="I112" s="64"/>
      <c r="J112" s="123"/>
      <c r="K112" s="123"/>
      <c r="L112" s="123"/>
      <c r="M112" s="123"/>
      <c r="N112" s="123"/>
      <c r="O112" s="123"/>
      <c r="P112" s="123"/>
      <c r="Q112" s="123"/>
      <c r="R112" s="123"/>
      <c r="S112" s="65">
        <f>+E112</f>
        <v>-8000</v>
      </c>
    </row>
    <row r="113" spans="2:19">
      <c r="B113" s="83">
        <v>5</v>
      </c>
      <c r="C113" s="72">
        <v>-2000</v>
      </c>
      <c r="D113" s="67"/>
      <c r="E113" s="67">
        <v>10000</v>
      </c>
      <c r="F113" s="67"/>
      <c r="G113" s="67"/>
      <c r="H113" s="67"/>
      <c r="I113" s="68"/>
      <c r="J113" s="67">
        <v>8000</v>
      </c>
      <c r="K113" s="67"/>
      <c r="L113" s="67"/>
      <c r="M113" s="67"/>
      <c r="N113" s="67"/>
      <c r="O113" s="67"/>
      <c r="P113" s="67"/>
      <c r="Q113" s="67"/>
      <c r="R113" s="67"/>
      <c r="S113" s="69"/>
    </row>
    <row r="114" spans="2:19">
      <c r="B114" s="213">
        <v>6</v>
      </c>
      <c r="C114" s="135">
        <v>6000</v>
      </c>
      <c r="D114" s="122">
        <v>6000</v>
      </c>
      <c r="E114" s="122"/>
      <c r="F114" s="122"/>
      <c r="G114" s="122"/>
      <c r="H114" s="122"/>
      <c r="I114" s="60"/>
      <c r="J114" s="122"/>
      <c r="K114" s="122"/>
      <c r="L114" s="122"/>
      <c r="M114" s="122"/>
      <c r="N114" s="122"/>
      <c r="O114" s="122"/>
      <c r="P114" s="122"/>
      <c r="Q114" s="122"/>
      <c r="R114" s="122"/>
      <c r="S114" s="61">
        <v>12000</v>
      </c>
    </row>
    <row r="115" spans="2:19">
      <c r="B115" s="214"/>
      <c r="C115" s="123"/>
      <c r="D115" s="123"/>
      <c r="E115" s="123">
        <v>-7000</v>
      </c>
      <c r="F115" s="123"/>
      <c r="G115" s="123"/>
      <c r="H115" s="123"/>
      <c r="I115" s="64"/>
      <c r="J115" s="123"/>
      <c r="K115" s="123"/>
      <c r="L115" s="123"/>
      <c r="M115" s="123"/>
      <c r="N115" s="123"/>
      <c r="O115" s="123"/>
      <c r="P115" s="123"/>
      <c r="Q115" s="123"/>
      <c r="R115" s="123"/>
      <c r="S115" s="65">
        <v>-7000</v>
      </c>
    </row>
    <row r="116" spans="2:19">
      <c r="B116" s="83">
        <v>7</v>
      </c>
      <c r="C116" s="72">
        <v>-1200</v>
      </c>
      <c r="D116" s="67"/>
      <c r="E116" s="67"/>
      <c r="F116" s="67"/>
      <c r="G116" s="67"/>
      <c r="H116" s="67"/>
      <c r="I116" s="68"/>
      <c r="J116" s="67"/>
      <c r="K116" s="67">
        <v>800</v>
      </c>
      <c r="L116" s="67"/>
      <c r="M116" s="67"/>
      <c r="N116" s="67"/>
      <c r="O116" s="67"/>
      <c r="P116" s="67"/>
      <c r="Q116" s="67"/>
      <c r="R116" s="67"/>
      <c r="S116" s="69">
        <v>-2000</v>
      </c>
    </row>
    <row r="117" spans="2:19">
      <c r="B117" s="83">
        <v>8</v>
      </c>
      <c r="C117" s="72">
        <v>-1000</v>
      </c>
      <c r="D117" s="67"/>
      <c r="E117" s="67"/>
      <c r="F117" s="67"/>
      <c r="G117" s="67"/>
      <c r="H117" s="67"/>
      <c r="I117" s="68"/>
      <c r="J117" s="67"/>
      <c r="K117" s="67">
        <v>500</v>
      </c>
      <c r="L117" s="67"/>
      <c r="M117" s="67"/>
      <c r="N117" s="67"/>
      <c r="O117" s="67"/>
      <c r="P117" s="67"/>
      <c r="Q117" s="67"/>
      <c r="R117" s="67"/>
      <c r="S117" s="69">
        <v>-1500</v>
      </c>
    </row>
    <row r="118" spans="2:19">
      <c r="B118" s="213">
        <v>9</v>
      </c>
      <c r="C118" s="122"/>
      <c r="D118" s="122"/>
      <c r="E118" s="122"/>
      <c r="F118" s="122"/>
      <c r="G118" s="122"/>
      <c r="H118" s="122"/>
      <c r="I118" s="60"/>
      <c r="J118" s="122"/>
      <c r="K118" s="122"/>
      <c r="L118" s="122"/>
      <c r="M118" s="122"/>
      <c r="N118" s="122">
        <v>150</v>
      </c>
      <c r="O118" s="122"/>
      <c r="P118" s="122"/>
      <c r="Q118" s="122"/>
      <c r="R118" s="122"/>
      <c r="S118" s="61">
        <v>-150</v>
      </c>
    </row>
    <row r="119" spans="2:19">
      <c r="B119" s="214"/>
      <c r="C119" s="123">
        <v>-150</v>
      </c>
      <c r="D119" s="123"/>
      <c r="E119" s="123"/>
      <c r="F119" s="123"/>
      <c r="G119" s="123"/>
      <c r="H119" s="123"/>
      <c r="I119" s="64"/>
      <c r="J119" s="123"/>
      <c r="K119" s="123"/>
      <c r="L119" s="123"/>
      <c r="M119" s="123"/>
      <c r="N119" s="123">
        <v>-150</v>
      </c>
      <c r="O119" s="123"/>
      <c r="P119" s="123"/>
      <c r="Q119" s="123"/>
      <c r="R119" s="123"/>
      <c r="S119" s="65"/>
    </row>
    <row r="120" spans="2:19">
      <c r="B120" s="83">
        <v>10</v>
      </c>
      <c r="C120" s="67"/>
      <c r="D120" s="67"/>
      <c r="E120" s="67"/>
      <c r="F120" s="67"/>
      <c r="G120" s="67"/>
      <c r="H120" s="67"/>
      <c r="I120" s="68">
        <v>-100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9">
        <v>-100</v>
      </c>
    </row>
    <row r="121" spans="2:19">
      <c r="B121" s="83">
        <v>11</v>
      </c>
      <c r="C121" s="67"/>
      <c r="D121" s="67"/>
      <c r="E121" s="67"/>
      <c r="F121" s="67">
        <v>-100</v>
      </c>
      <c r="G121" s="67"/>
      <c r="H121" s="67"/>
      <c r="I121" s="68"/>
      <c r="J121" s="67"/>
      <c r="K121" s="67"/>
      <c r="L121" s="67"/>
      <c r="M121" s="67"/>
      <c r="N121" s="67"/>
      <c r="O121" s="67"/>
      <c r="P121" s="67"/>
      <c r="Q121" s="67"/>
      <c r="R121" s="67"/>
      <c r="S121" s="69">
        <v>-100</v>
      </c>
    </row>
    <row r="122" spans="2:19">
      <c r="B122" s="83">
        <v>12</v>
      </c>
      <c r="C122" s="67">
        <v>-3500</v>
      </c>
      <c r="D122" s="67"/>
      <c r="E122" s="67"/>
      <c r="F122" s="67"/>
      <c r="G122" s="67"/>
      <c r="H122" s="67"/>
      <c r="I122" s="68"/>
      <c r="J122" s="67"/>
      <c r="K122" s="67"/>
      <c r="L122" s="67"/>
      <c r="M122" s="67"/>
      <c r="N122" s="67">
        <v>-3500</v>
      </c>
      <c r="O122" s="67"/>
      <c r="P122" s="67"/>
      <c r="Q122" s="67"/>
      <c r="R122" s="67"/>
      <c r="S122" s="69"/>
    </row>
    <row r="123" spans="2:19">
      <c r="B123" s="83">
        <v>13</v>
      </c>
      <c r="C123" s="67">
        <v>-5000</v>
      </c>
      <c r="D123" s="67"/>
      <c r="E123" s="67"/>
      <c r="F123" s="67"/>
      <c r="G123" s="67"/>
      <c r="H123" s="67">
        <v>5000</v>
      </c>
      <c r="I123" s="68"/>
      <c r="J123" s="67"/>
      <c r="K123" s="67"/>
      <c r="L123" s="67"/>
      <c r="M123" s="67"/>
      <c r="N123" s="67"/>
      <c r="O123" s="67"/>
      <c r="P123" s="67"/>
      <c r="Q123" s="67"/>
      <c r="R123" s="67"/>
      <c r="S123" s="69"/>
    </row>
    <row r="124" spans="2:19">
      <c r="B124" s="83">
        <v>14</v>
      </c>
      <c r="C124" s="67"/>
      <c r="D124" s="67"/>
      <c r="E124" s="67"/>
      <c r="F124" s="67"/>
      <c r="G124" s="67"/>
      <c r="H124" s="67"/>
      <c r="I124" s="68"/>
      <c r="J124" s="67"/>
      <c r="K124" s="67"/>
      <c r="L124" s="67"/>
      <c r="M124" s="67">
        <f>-S124</f>
        <v>3260</v>
      </c>
      <c r="N124" s="67"/>
      <c r="O124" s="67"/>
      <c r="P124" s="67"/>
      <c r="Q124" s="67"/>
      <c r="R124" s="67"/>
      <c r="S124" s="69">
        <f>-40%*SUM(S104:S123)</f>
        <v>-3260</v>
      </c>
    </row>
    <row r="125" spans="2:19">
      <c r="B125" s="83">
        <v>15</v>
      </c>
      <c r="C125" s="67">
        <f>-O125</f>
        <v>-1956</v>
      </c>
      <c r="D125" s="67"/>
      <c r="E125" s="67"/>
      <c r="F125" s="67"/>
      <c r="G125" s="67"/>
      <c r="H125" s="67"/>
      <c r="I125" s="68"/>
      <c r="J125" s="67"/>
      <c r="K125" s="67"/>
      <c r="L125" s="67"/>
      <c r="M125" s="67"/>
      <c r="N125" s="67"/>
      <c r="O125" s="67">
        <f>-R125/2</f>
        <v>1956</v>
      </c>
      <c r="P125" s="67"/>
      <c r="Q125" s="67"/>
      <c r="R125" s="67">
        <f>-4890*0.8</f>
        <v>-3912</v>
      </c>
      <c r="S125" s="69"/>
    </row>
    <row r="126" spans="2:19">
      <c r="B126" s="121" t="s">
        <v>95</v>
      </c>
      <c r="C126" s="75"/>
      <c r="D126" s="123"/>
      <c r="E126" s="123"/>
      <c r="F126" s="123"/>
      <c r="G126" s="123"/>
      <c r="H126" s="123"/>
      <c r="I126" s="64"/>
      <c r="J126" s="121"/>
      <c r="K126" s="123"/>
      <c r="L126" s="123"/>
      <c r="M126" s="123"/>
      <c r="N126" s="123"/>
      <c r="O126" s="123"/>
      <c r="P126" s="123"/>
      <c r="Q126" s="123"/>
      <c r="R126" s="117">
        <f>-S126</f>
        <v>4890</v>
      </c>
      <c r="S126" s="65">
        <f>-SUM(S104:S125)</f>
        <v>-4890</v>
      </c>
    </row>
    <row r="127" spans="2:19">
      <c r="B127" s="2" t="s">
        <v>35</v>
      </c>
      <c r="C127" s="24">
        <f t="shared" ref="C127:S127" si="10">SUM(C103:C126)</f>
        <v>649</v>
      </c>
      <c r="D127" s="25">
        <f t="shared" si="10"/>
        <v>6000</v>
      </c>
      <c r="E127" s="25">
        <f t="shared" si="10"/>
        <v>7000</v>
      </c>
      <c r="F127" s="25">
        <f t="shared" si="10"/>
        <v>1000</v>
      </c>
      <c r="G127" s="25">
        <f t="shared" si="10"/>
        <v>0</v>
      </c>
      <c r="H127" s="25">
        <f t="shared" si="10"/>
        <v>15000</v>
      </c>
      <c r="I127" s="26">
        <f t="shared" si="10"/>
        <v>-400</v>
      </c>
      <c r="J127" s="24">
        <f t="shared" si="10"/>
        <v>8000</v>
      </c>
      <c r="K127" s="25">
        <f t="shared" si="10"/>
        <v>1300</v>
      </c>
      <c r="L127" s="25">
        <f t="shared" si="10"/>
        <v>0</v>
      </c>
      <c r="M127" s="25">
        <f t="shared" si="10"/>
        <v>3260</v>
      </c>
      <c r="N127" s="25">
        <f t="shared" si="10"/>
        <v>0</v>
      </c>
      <c r="O127" s="25">
        <f t="shared" si="10"/>
        <v>1956</v>
      </c>
      <c r="P127" s="25">
        <f t="shared" si="10"/>
        <v>13000</v>
      </c>
      <c r="Q127" s="25">
        <f t="shared" si="10"/>
        <v>0</v>
      </c>
      <c r="R127" s="25">
        <f t="shared" si="10"/>
        <v>1733</v>
      </c>
      <c r="S127" s="57">
        <f t="shared" si="10"/>
        <v>0</v>
      </c>
    </row>
    <row r="130" spans="3:9">
      <c r="C130" s="1" t="s">
        <v>19</v>
      </c>
      <c r="E130" s="1">
        <f>SUM(C127:I127)</f>
        <v>29249</v>
      </c>
      <c r="I130" s="78"/>
    </row>
    <row r="131" spans="3:9">
      <c r="C131" s="1" t="s">
        <v>20</v>
      </c>
      <c r="E131" s="1">
        <f>+SUM(J127:S127)</f>
        <v>29249</v>
      </c>
      <c r="I131" s="7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6"/>
  <sheetViews>
    <sheetView workbookViewId="0"/>
  </sheetViews>
  <sheetFormatPr defaultRowHeight="15"/>
  <sheetData>
    <row r="2" spans="2:11" ht="105">
      <c r="B2" s="216" t="s">
        <v>39</v>
      </c>
      <c r="C2" s="217"/>
      <c r="D2" s="217"/>
      <c r="E2" s="217"/>
      <c r="F2" s="217"/>
      <c r="G2" s="217"/>
      <c r="H2" s="218"/>
    </row>
    <row r="3" spans="2:11">
      <c r="B3" s="31" t="s">
        <v>19</v>
      </c>
      <c r="C3" s="32">
        <v>41670</v>
      </c>
      <c r="D3" s="32">
        <v>41698</v>
      </c>
      <c r="E3" s="32">
        <v>41729</v>
      </c>
      <c r="F3" s="32">
        <v>41759</v>
      </c>
      <c r="G3" s="32">
        <v>41790</v>
      </c>
      <c r="H3" s="33">
        <v>41820</v>
      </c>
    </row>
    <row r="4" spans="2:11" ht="30">
      <c r="B4" s="34" t="s">
        <v>40</v>
      </c>
      <c r="C4" s="22">
        <f>+'Exercício inicial - lançamentos'!C5</f>
        <v>3000</v>
      </c>
      <c r="D4" s="22">
        <f>+'Exercício inicial - lançamentos'!C13</f>
        <v>1500</v>
      </c>
      <c r="E4" s="22">
        <f>+'Exercício inicial - lançamentos'!C37</f>
        <v>100</v>
      </c>
      <c r="F4" s="22">
        <f>+'Exercício inicial - lançamentos'!C64</f>
        <v>200</v>
      </c>
      <c r="G4" s="22">
        <f>+'Exercício inicial - lançamentos'!C93</f>
        <v>16800</v>
      </c>
      <c r="H4" s="23">
        <f>+'Exercício inicial - lançamentos'!C127</f>
        <v>649</v>
      </c>
    </row>
    <row r="5" spans="2:11" ht="30">
      <c r="B5" s="34" t="s">
        <v>23</v>
      </c>
      <c r="C5" s="22">
        <v>0</v>
      </c>
      <c r="D5" s="22">
        <v>0</v>
      </c>
      <c r="E5" s="22">
        <f>+'Exercício inicial - lançamentos'!D37</f>
        <v>1500</v>
      </c>
      <c r="F5" s="22">
        <f>+'Exercício inicial - lançamentos'!D64</f>
        <v>5000</v>
      </c>
      <c r="G5" s="22">
        <f>+'Exercício inicial - lançamentos'!D93</f>
        <v>2000</v>
      </c>
      <c r="H5" s="23">
        <f>+'Exercício inicial - lançamentos'!D127</f>
        <v>6000</v>
      </c>
    </row>
    <row r="6" spans="2:11">
      <c r="B6" s="34" t="s">
        <v>29</v>
      </c>
      <c r="C6" s="22">
        <f>+'Exercício inicial - lançamentos'!E5</f>
        <v>4000</v>
      </c>
      <c r="D6" s="22">
        <f>+'Exercício inicial - lançamentos'!E13</f>
        <v>24000</v>
      </c>
      <c r="E6" s="22">
        <f>+'Exercício inicial - lançamentos'!E37</f>
        <v>11000</v>
      </c>
      <c r="F6" s="22">
        <f>+'Exercício inicial - lançamentos'!E64</f>
        <v>10000</v>
      </c>
      <c r="G6" s="22">
        <f>+'Exercício inicial - lançamentos'!E93</f>
        <v>12000</v>
      </c>
      <c r="H6" s="23">
        <f>+'Exercício inicial - lançamentos'!E127</f>
        <v>7000</v>
      </c>
    </row>
    <row r="7" spans="2:11" ht="45">
      <c r="B7" s="34" t="s">
        <v>130</v>
      </c>
      <c r="C7" s="22">
        <v>0</v>
      </c>
      <c r="D7" s="22">
        <v>0</v>
      </c>
      <c r="E7" s="22">
        <v>0</v>
      </c>
      <c r="F7" s="22">
        <v>0</v>
      </c>
      <c r="G7" s="22">
        <f>+'Exercício inicial - lançamentos'!F93</f>
        <v>1100</v>
      </c>
      <c r="H7" s="23">
        <f>+'Exercício inicial - lançamentos'!F127</f>
        <v>1000</v>
      </c>
      <c r="J7" s="124" t="s">
        <v>143</v>
      </c>
      <c r="K7" s="124" t="s">
        <v>144</v>
      </c>
    </row>
    <row r="8" spans="2:11">
      <c r="B8" s="34" t="s">
        <v>62</v>
      </c>
      <c r="C8" s="22">
        <f>+'Exercício inicial - lançamentos'!F5</f>
        <v>8000</v>
      </c>
      <c r="D8" s="22">
        <f>+C8</f>
        <v>8000</v>
      </c>
      <c r="E8" s="22">
        <f>+'Exercício inicial - lançamentos'!F37</f>
        <v>8000</v>
      </c>
      <c r="F8" s="22">
        <f>+'Exercício inicial - lançamentos'!F64</f>
        <v>8000</v>
      </c>
      <c r="G8" s="22">
        <v>0</v>
      </c>
      <c r="H8" s="23">
        <v>0</v>
      </c>
      <c r="I8" s="1" t="s">
        <v>145</v>
      </c>
      <c r="J8" s="1">
        <f>+G4</f>
        <v>16800</v>
      </c>
      <c r="K8" s="1">
        <f>15000-12000*0.666666666666667</f>
        <v>7000</v>
      </c>
    </row>
    <row r="9" spans="2:11">
      <c r="B9" s="34" t="s">
        <v>64</v>
      </c>
      <c r="C9" s="22">
        <v>0</v>
      </c>
      <c r="D9" s="22">
        <v>10000</v>
      </c>
      <c r="E9" s="22">
        <f>+'Exercício inicial - lançamentos'!G37</f>
        <v>10000</v>
      </c>
      <c r="F9" s="22">
        <f>+'Exercício inicial - lançamentos'!G64</f>
        <v>10000</v>
      </c>
      <c r="G9" s="22">
        <f>+'Exercício inicial - lançamentos'!H93</f>
        <v>10000</v>
      </c>
      <c r="H9" s="23">
        <f>+'Exercício inicial - lançamentos'!H127</f>
        <v>15000</v>
      </c>
      <c r="J9" s="1">
        <v>2000</v>
      </c>
      <c r="K9" s="1">
        <f>12000-7000</f>
        <v>5000</v>
      </c>
    </row>
    <row r="10" spans="2:11" ht="45">
      <c r="B10" s="34" t="s">
        <v>69</v>
      </c>
      <c r="C10" s="22">
        <v>0</v>
      </c>
      <c r="D10" s="22">
        <v>0</v>
      </c>
      <c r="E10" s="22">
        <f>+'Exercício inicial - lançamentos'!H37</f>
        <v>-100</v>
      </c>
      <c r="F10" s="22">
        <f>+'Exercício inicial - lançamentos'!H64</f>
        <v>-200</v>
      </c>
      <c r="G10" s="22">
        <f>+'Exercício inicial - lançamentos'!I93</f>
        <v>-300</v>
      </c>
      <c r="H10" s="23">
        <f>+'Exercício inicial - lançamentos'!I127</f>
        <v>-400</v>
      </c>
      <c r="J10" s="1">
        <f>-SUM(G14:G15,G17,G19)</f>
        <v>-5845</v>
      </c>
      <c r="K10" s="1">
        <v>-2000</v>
      </c>
    </row>
    <row r="11" spans="2:11">
      <c r="B11" s="34"/>
      <c r="C11" s="22"/>
      <c r="D11" s="22"/>
      <c r="E11" s="22"/>
      <c r="F11" s="22"/>
      <c r="G11" s="22"/>
      <c r="H11" s="23"/>
      <c r="J11" s="1">
        <v>-3500</v>
      </c>
      <c r="K11" s="1">
        <v>-1500</v>
      </c>
    </row>
    <row r="12" spans="2:11">
      <c r="B12" s="35" t="s">
        <v>41</v>
      </c>
      <c r="C12" s="36">
        <f>SUM(C4:C11)</f>
        <v>15000</v>
      </c>
      <c r="D12" s="36">
        <f>SUM(D4:D11)</f>
        <v>43500</v>
      </c>
      <c r="E12" s="36">
        <f t="shared" ref="E12:H12" si="0">SUM(E4:E11)</f>
        <v>30500</v>
      </c>
      <c r="F12" s="36">
        <f t="shared" si="0"/>
        <v>33000</v>
      </c>
      <c r="G12" s="36">
        <f t="shared" si="0"/>
        <v>41600</v>
      </c>
      <c r="H12" s="37">
        <f t="shared" si="0"/>
        <v>29249</v>
      </c>
      <c r="J12" s="1">
        <v>-2000</v>
      </c>
      <c r="K12" s="1">
        <v>-150</v>
      </c>
    </row>
    <row r="13" spans="2:11" ht="30">
      <c r="B13" s="90" t="s">
        <v>33</v>
      </c>
      <c r="C13" s="32">
        <f>+C3</f>
        <v>41670</v>
      </c>
      <c r="D13" s="32">
        <f t="shared" ref="D13:H13" si="1">+D3</f>
        <v>41698</v>
      </c>
      <c r="E13" s="32">
        <f t="shared" si="1"/>
        <v>41729</v>
      </c>
      <c r="F13" s="32">
        <f t="shared" si="1"/>
        <v>41759</v>
      </c>
      <c r="G13" s="32">
        <f t="shared" si="1"/>
        <v>41790</v>
      </c>
      <c r="H13" s="33">
        <f t="shared" si="1"/>
        <v>41820</v>
      </c>
      <c r="J13" s="1">
        <v>6000</v>
      </c>
      <c r="K13" s="1">
        <v>-100</v>
      </c>
    </row>
    <row r="14" spans="2:11" ht="45">
      <c r="B14" s="34" t="s">
        <v>42</v>
      </c>
      <c r="C14" s="22">
        <f>+'Exercício inicial - lançamentos'!I5</f>
        <v>0</v>
      </c>
      <c r="D14" s="22">
        <f>+'Exercício inicial - lançamentos'!I13</f>
        <v>17000</v>
      </c>
      <c r="E14" s="22">
        <f>+'Exercício inicial - lançamentos'!I37</f>
        <v>18000</v>
      </c>
      <c r="F14" s="22">
        <f>+'Exercício inicial - lançamentos'!I64</f>
        <v>9000</v>
      </c>
      <c r="G14" s="22">
        <f>+'Exercício inicial - lançamentos'!J93</f>
        <v>2000</v>
      </c>
      <c r="H14" s="23">
        <f>+'Exercício inicial - lançamentos'!J127</f>
        <v>8000</v>
      </c>
      <c r="J14" s="1">
        <v>-1200</v>
      </c>
      <c r="K14" s="1">
        <v>-100</v>
      </c>
    </row>
    <row r="15" spans="2:11" ht="30">
      <c r="B15" s="34" t="s">
        <v>37</v>
      </c>
      <c r="C15" s="22">
        <f>+'Exercício inicial - lançamentos'!J5</f>
        <v>0</v>
      </c>
      <c r="D15" s="22">
        <f>+'Exercício inicial - lançamentos'!J13</f>
        <v>2000</v>
      </c>
      <c r="E15" s="22">
        <f>+'Exercício inicial - lançamentos'!J37</f>
        <v>2800</v>
      </c>
      <c r="F15" s="22">
        <f>+'Exercício inicial - lançamentos'!J64</f>
        <v>5000</v>
      </c>
      <c r="G15" s="22">
        <f>+'Exercício inicial - lançamentos'!K93</f>
        <v>1700</v>
      </c>
      <c r="H15" s="23">
        <f>+'Exercício inicial - lançamentos'!K127</f>
        <v>1300</v>
      </c>
      <c r="J15" s="1">
        <v>-1000</v>
      </c>
    </row>
    <row r="16" spans="2:11" ht="45">
      <c r="B16" s="34" t="s">
        <v>131</v>
      </c>
      <c r="C16" s="22">
        <v>0</v>
      </c>
      <c r="D16" s="22">
        <v>0</v>
      </c>
      <c r="E16" s="22">
        <v>0</v>
      </c>
      <c r="F16" s="22">
        <v>0</v>
      </c>
      <c r="G16" s="22">
        <f>+'Exercício inicial - lançamentos'!L93</f>
        <v>15000</v>
      </c>
      <c r="H16" s="23">
        <f>+'Exercício inicial - lançamentos'!L127</f>
        <v>0</v>
      </c>
      <c r="J16" s="1">
        <v>-150</v>
      </c>
    </row>
    <row r="17" spans="2:11" ht="30">
      <c r="B17" s="34" t="s">
        <v>128</v>
      </c>
      <c r="C17" s="22">
        <v>0</v>
      </c>
      <c r="D17" s="22">
        <v>0</v>
      </c>
      <c r="E17" s="22">
        <v>0</v>
      </c>
      <c r="F17" s="22">
        <v>0</v>
      </c>
      <c r="G17" s="22">
        <f>+'Exercício inicial - lançamentos'!M93</f>
        <v>1560</v>
      </c>
      <c r="H17" s="23">
        <f>+'Exercício inicial - lançamentos'!M127</f>
        <v>3260</v>
      </c>
      <c r="J17" s="1">
        <v>-3500</v>
      </c>
    </row>
    <row r="18" spans="2:11" ht="45">
      <c r="B18" s="34" t="s">
        <v>43</v>
      </c>
      <c r="C18" s="22">
        <f>+'Exercício inicial - lançamentos'!K5</f>
        <v>5000</v>
      </c>
      <c r="D18" s="22">
        <f>+'Exercício inicial - lançamentos'!K13</f>
        <v>11500</v>
      </c>
      <c r="E18" s="22">
        <f>+'Exercício inicial - lançamentos'!K37</f>
        <v>11000</v>
      </c>
      <c r="F18" s="22">
        <f>+'Exercício inicial - lançamentos'!K64</f>
        <v>7000</v>
      </c>
      <c r="G18" s="22">
        <f>+'Exercício inicial - lançamentos'!N93</f>
        <v>7000</v>
      </c>
      <c r="H18" s="23">
        <v>0</v>
      </c>
      <c r="J18" s="1">
        <v>-5000</v>
      </c>
    </row>
    <row r="19" spans="2:11" ht="45">
      <c r="B19" s="34" t="s">
        <v>129</v>
      </c>
      <c r="C19" s="22">
        <v>0</v>
      </c>
      <c r="D19" s="22">
        <v>0</v>
      </c>
      <c r="E19" s="22">
        <v>0</v>
      </c>
      <c r="F19" s="22">
        <v>0</v>
      </c>
      <c r="G19" s="22">
        <f>+'Exercício inicial - lançamentos'!O93</f>
        <v>585</v>
      </c>
      <c r="H19" s="23">
        <f>+'Exercício inicial - lançamentos'!O127</f>
        <v>1956</v>
      </c>
      <c r="K19" s="1">
        <f>-SUM(K8:K18)*0.4</f>
        <v>-3260</v>
      </c>
    </row>
    <row r="20" spans="2:11" ht="30">
      <c r="B20" s="34" t="s">
        <v>24</v>
      </c>
      <c r="C20" s="22">
        <f>+'Exercício inicial - lançamentos'!L5</f>
        <v>10000</v>
      </c>
      <c r="D20" s="22">
        <f>+'Exercício inicial - lançamentos'!L13</f>
        <v>13000</v>
      </c>
      <c r="E20" s="22">
        <f>+'Exercício inicial - lançamentos'!L37</f>
        <v>13000</v>
      </c>
      <c r="F20" s="22">
        <f>+'Exercício inicial - lançamentos'!L64</f>
        <v>13000</v>
      </c>
      <c r="G20" s="22">
        <f>+'Exercício inicial - lançamentos'!P93</f>
        <v>13000</v>
      </c>
      <c r="H20" s="23">
        <f>+'Exercício inicial - lançamentos'!P127</f>
        <v>13000</v>
      </c>
    </row>
    <row r="21" spans="2:11">
      <c r="B21" s="34" t="s">
        <v>70</v>
      </c>
      <c r="C21" s="22">
        <v>0</v>
      </c>
      <c r="D21" s="22">
        <v>0</v>
      </c>
      <c r="E21" s="22">
        <v>0</v>
      </c>
      <c r="F21" s="22">
        <v>0</v>
      </c>
      <c r="G21" s="22">
        <f>+'Exercício inicial - lançamentos'!R93</f>
        <v>755</v>
      </c>
      <c r="H21" s="23">
        <f>+'Exercício inicial - lançamentos'!R127</f>
        <v>1733</v>
      </c>
      <c r="J21" s="124">
        <f>SUM(J8:J20)</f>
        <v>2605</v>
      </c>
      <c r="K21" s="124">
        <f>SUM(K8:K20)</f>
        <v>4890</v>
      </c>
    </row>
    <row r="22" spans="2:11" ht="45">
      <c r="B22" s="34" t="s">
        <v>72</v>
      </c>
      <c r="C22" s="22">
        <v>0</v>
      </c>
      <c r="D22" s="22">
        <v>0</v>
      </c>
      <c r="E22" s="22">
        <f>+'Exercício inicial - lançamentos'!N37</f>
        <v>-14300</v>
      </c>
      <c r="F22" s="22">
        <f>+'Exercício inicial - lançamentos'!N64</f>
        <v>-1000</v>
      </c>
      <c r="G22" s="22">
        <v>0</v>
      </c>
      <c r="H22" s="23">
        <v>0</v>
      </c>
    </row>
    <row r="23" spans="2:11">
      <c r="B23" s="34"/>
      <c r="C23" s="22"/>
      <c r="D23" s="22"/>
      <c r="E23" s="22"/>
      <c r="F23" s="22"/>
      <c r="G23" s="22"/>
      <c r="H23" s="23"/>
    </row>
    <row r="24" spans="2:11">
      <c r="B24" s="35" t="s">
        <v>41</v>
      </c>
      <c r="C24" s="36">
        <f t="shared" ref="C24:H24" si="2">SUM(C14:C23)</f>
        <v>15000</v>
      </c>
      <c r="D24" s="36">
        <f t="shared" si="2"/>
        <v>43500</v>
      </c>
      <c r="E24" s="36">
        <f t="shared" si="2"/>
        <v>30500</v>
      </c>
      <c r="F24" s="36">
        <f t="shared" si="2"/>
        <v>33000</v>
      </c>
      <c r="G24" s="36">
        <f t="shared" si="2"/>
        <v>41600</v>
      </c>
      <c r="H24" s="37">
        <f t="shared" si="2"/>
        <v>29249</v>
      </c>
    </row>
    <row r="26" spans="2:11" ht="168.75">
      <c r="B26" s="228" t="s">
        <v>54</v>
      </c>
      <c r="C26" s="229"/>
      <c r="D26" s="229"/>
      <c r="E26" s="229"/>
      <c r="F26" s="229"/>
      <c r="G26" s="229"/>
      <c r="H26" s="230"/>
    </row>
    <row r="27" spans="2:11">
      <c r="B27" s="118"/>
      <c r="C27" s="32" t="str">
        <f>+C51</f>
        <v>JAN</v>
      </c>
      <c r="D27" s="32" t="str">
        <f t="shared" ref="D27:E27" si="3">+D51</f>
        <v>FEV</v>
      </c>
      <c r="E27" s="32" t="str">
        <f t="shared" si="3"/>
        <v>MAR</v>
      </c>
      <c r="F27" s="32" t="s">
        <v>97</v>
      </c>
      <c r="G27" s="32" t="s">
        <v>125</v>
      </c>
      <c r="H27" s="33" t="s">
        <v>142</v>
      </c>
    </row>
    <row r="28" spans="2:11" ht="30">
      <c r="B28" s="50" t="s">
        <v>13</v>
      </c>
      <c r="C28" s="19">
        <v>0</v>
      </c>
      <c r="D28" s="19">
        <v>0</v>
      </c>
      <c r="E28" s="19">
        <f>+'Exercício inicial - lançamentos'!O24</f>
        <v>6500</v>
      </c>
      <c r="F28" s="19">
        <f>+'Exercício inicial - lançamentos'!O49</f>
        <v>30000</v>
      </c>
      <c r="G28" s="19">
        <f>+'Exercício inicial - lançamentos'!S77</f>
        <v>15000</v>
      </c>
      <c r="H28" s="20">
        <f>+'Exercício inicial - lançamentos'!S111+'Exercício inicial - lançamentos'!S114</f>
        <v>27000</v>
      </c>
    </row>
    <row r="29" spans="2:11">
      <c r="B29" s="51" t="s">
        <v>14</v>
      </c>
      <c r="C29" s="52">
        <v>0</v>
      </c>
      <c r="D29" s="52">
        <v>0</v>
      </c>
      <c r="E29" s="52">
        <f>+'Exercício inicial - lançamentos'!O25</f>
        <v>-18000</v>
      </c>
      <c r="F29" s="52">
        <f>+'Exercício inicial - lançamentos'!O50</f>
        <v>-11000</v>
      </c>
      <c r="G29" s="52">
        <f>+'Exercício inicial - lançamentos'!S78</f>
        <v>-10000</v>
      </c>
      <c r="H29" s="53">
        <f>+'Exercício inicial - lançamentos'!S112+'Exercício inicial - lançamentos'!S115</f>
        <v>-15000</v>
      </c>
    </row>
    <row r="30" spans="2:11" ht="30">
      <c r="B30" s="50" t="s">
        <v>55</v>
      </c>
      <c r="C30" s="19">
        <f>+SUM(C28:C29)</f>
        <v>0</v>
      </c>
      <c r="D30" s="19">
        <f t="shared" ref="D30:H30" si="4">+SUM(D28:D29)</f>
        <v>0</v>
      </c>
      <c r="E30" s="19">
        <f t="shared" si="4"/>
        <v>-11500</v>
      </c>
      <c r="F30" s="19">
        <f t="shared" si="4"/>
        <v>19000</v>
      </c>
      <c r="G30" s="19">
        <f t="shared" si="4"/>
        <v>5000</v>
      </c>
      <c r="H30" s="20">
        <f t="shared" si="4"/>
        <v>12000</v>
      </c>
    </row>
    <row r="31" spans="2:11" ht="75">
      <c r="B31" s="51" t="s">
        <v>56</v>
      </c>
      <c r="C31" s="52">
        <v>0</v>
      </c>
      <c r="D31" s="52">
        <v>0</v>
      </c>
      <c r="E31" s="52">
        <f>+'Exercício inicial - lançamentos'!O28</f>
        <v>-1500</v>
      </c>
      <c r="F31" s="52">
        <f>+'Exercício inicial - lançamentos'!O56</f>
        <v>-3000</v>
      </c>
      <c r="G31" s="52">
        <f>+'Exercício inicial - lançamentos'!S80</f>
        <v>-1500</v>
      </c>
      <c r="H31" s="53">
        <f>+'Exercício inicial - lançamentos'!S116</f>
        <v>-2000</v>
      </c>
    </row>
    <row r="32" spans="2:11" ht="75">
      <c r="B32" s="51" t="s">
        <v>57</v>
      </c>
      <c r="C32" s="52">
        <v>0</v>
      </c>
      <c r="D32" s="52">
        <v>0</v>
      </c>
      <c r="E32" s="52">
        <f>+'Exercício inicial - lançamentos'!O29</f>
        <v>-1000</v>
      </c>
      <c r="F32" s="52">
        <f>+'Exercício inicial - lançamentos'!O57</f>
        <v>-2000</v>
      </c>
      <c r="G32" s="52">
        <f>+'Exercício inicial - lançamentos'!S81</f>
        <v>-1200</v>
      </c>
      <c r="H32" s="53">
        <f>+'Exercício inicial - lançamentos'!S117</f>
        <v>-1500</v>
      </c>
    </row>
    <row r="33" spans="2:8" ht="45">
      <c r="B33" s="51" t="s">
        <v>132</v>
      </c>
      <c r="C33" s="52">
        <v>0</v>
      </c>
      <c r="D33" s="52">
        <v>0</v>
      </c>
      <c r="E33" s="52">
        <v>0</v>
      </c>
      <c r="F33" s="52">
        <v>0</v>
      </c>
      <c r="G33" s="52">
        <f>+'Exercício inicial - lançamentos'!S86</f>
        <v>-100</v>
      </c>
      <c r="H33" s="53">
        <f>+'Exercício inicial - lançamentos'!S121</f>
        <v>-100</v>
      </c>
    </row>
    <row r="34" spans="2:8" ht="45">
      <c r="B34" s="51" t="s">
        <v>58</v>
      </c>
      <c r="C34" s="52">
        <v>0</v>
      </c>
      <c r="D34" s="52">
        <v>0</v>
      </c>
      <c r="E34" s="52">
        <f>+'Exercício inicial - lançamentos'!O35</f>
        <v>-100</v>
      </c>
      <c r="F34" s="52">
        <f>+'Exercício inicial - lançamentos'!O61</f>
        <v>-100</v>
      </c>
      <c r="G34" s="52">
        <f>+'Exercício inicial - lançamentos'!S84</f>
        <v>-100</v>
      </c>
      <c r="H34" s="53">
        <f>+'Exercício inicial - lançamentos'!S120</f>
        <v>-100</v>
      </c>
    </row>
    <row r="35" spans="2:8" ht="60">
      <c r="B35" s="50" t="s">
        <v>16</v>
      </c>
      <c r="C35" s="19">
        <f>SUM(C30:C34)</f>
        <v>0</v>
      </c>
      <c r="D35" s="19">
        <f t="shared" ref="D35:H35" si="5">SUM(D30:D34)</f>
        <v>0</v>
      </c>
      <c r="E35" s="19">
        <f t="shared" si="5"/>
        <v>-14100</v>
      </c>
      <c r="F35" s="19">
        <f t="shared" si="5"/>
        <v>13900</v>
      </c>
      <c r="G35" s="19">
        <f t="shared" si="5"/>
        <v>2100</v>
      </c>
      <c r="H35" s="20">
        <f t="shared" si="5"/>
        <v>8300</v>
      </c>
    </row>
    <row r="36" spans="2:8" ht="45">
      <c r="B36" s="51" t="s">
        <v>71</v>
      </c>
      <c r="C36" s="52">
        <v>0</v>
      </c>
      <c r="D36" s="52">
        <v>0</v>
      </c>
      <c r="E36" s="52">
        <f>+'Exercício inicial - lançamentos'!O30</f>
        <v>-200</v>
      </c>
      <c r="F36" s="52">
        <f>+'Exercício inicial - lançamentos'!O58</f>
        <v>-300</v>
      </c>
      <c r="G36" s="52">
        <f>+'Exercício inicial - lançamentos'!S82</f>
        <v>-200</v>
      </c>
      <c r="H36" s="53">
        <f>+'Exercício inicial - lançamentos'!S118</f>
        <v>-150</v>
      </c>
    </row>
    <row r="37" spans="2:8" ht="45">
      <c r="B37" s="51" t="s">
        <v>133</v>
      </c>
      <c r="C37" s="52">
        <v>0</v>
      </c>
      <c r="D37" s="52">
        <v>0</v>
      </c>
      <c r="E37" s="52">
        <v>0</v>
      </c>
      <c r="F37" s="52">
        <v>0</v>
      </c>
      <c r="G37" s="52">
        <f>+SUM('Exercício inicial - lançamentos'!S88:S89)</f>
        <v>2000</v>
      </c>
      <c r="H37" s="53">
        <v>0</v>
      </c>
    </row>
    <row r="38" spans="2:8" ht="30">
      <c r="B38" s="50" t="s">
        <v>134</v>
      </c>
      <c r="C38" s="19">
        <f>SUM(C35:C37)</f>
        <v>0</v>
      </c>
      <c r="D38" s="19">
        <f t="shared" ref="D38:H38" si="6">SUM(D35:D37)</f>
        <v>0</v>
      </c>
      <c r="E38" s="19">
        <f t="shared" si="6"/>
        <v>-14300</v>
      </c>
      <c r="F38" s="19">
        <f t="shared" si="6"/>
        <v>13600</v>
      </c>
      <c r="G38" s="19">
        <f t="shared" si="6"/>
        <v>3900</v>
      </c>
      <c r="H38" s="20">
        <f t="shared" si="6"/>
        <v>8150</v>
      </c>
    </row>
    <row r="39" spans="2:8" ht="30">
      <c r="B39" s="51" t="s">
        <v>135</v>
      </c>
      <c r="C39" s="52">
        <v>0</v>
      </c>
      <c r="D39" s="52">
        <v>0</v>
      </c>
      <c r="E39" s="52">
        <v>0</v>
      </c>
      <c r="F39" s="52">
        <v>0</v>
      </c>
      <c r="G39" s="52">
        <f>+'Exercício inicial - lançamentos'!S90</f>
        <v>-1560</v>
      </c>
      <c r="H39" s="53">
        <f>+'Exercício inicial - lançamentos'!S124</f>
        <v>-3260</v>
      </c>
    </row>
    <row r="40" spans="2:8" ht="45">
      <c r="B40" s="35" t="s">
        <v>59</v>
      </c>
      <c r="C40" s="36">
        <f>+SUM(C38:C39)</f>
        <v>0</v>
      </c>
      <c r="D40" s="36">
        <f t="shared" ref="D40:H40" si="7">+SUM(D38:D39)</f>
        <v>0</v>
      </c>
      <c r="E40" s="36">
        <f t="shared" si="7"/>
        <v>-14300</v>
      </c>
      <c r="F40" s="36">
        <f t="shared" si="7"/>
        <v>13600</v>
      </c>
      <c r="G40" s="36">
        <f t="shared" si="7"/>
        <v>2340</v>
      </c>
      <c r="H40" s="37">
        <f t="shared" si="7"/>
        <v>4890</v>
      </c>
    </row>
    <row r="42" spans="2:8" ht="131.25">
      <c r="B42" s="231" t="s">
        <v>87</v>
      </c>
      <c r="C42" s="232"/>
      <c r="D42" s="232"/>
      <c r="E42" s="232"/>
      <c r="F42" s="232"/>
      <c r="G42" s="232"/>
      <c r="H42" s="232"/>
    </row>
    <row r="43" spans="2:8">
      <c r="B43" s="54"/>
      <c r="C43" s="32" t="str">
        <f>+C64</f>
        <v>JAN</v>
      </c>
      <c r="D43" s="32" t="str">
        <f t="shared" ref="D43:E43" si="8">+D64</f>
        <v>FEV</v>
      </c>
      <c r="E43" s="32" t="str">
        <f t="shared" si="8"/>
        <v>MAR</v>
      </c>
      <c r="F43" s="32" t="s">
        <v>97</v>
      </c>
      <c r="G43" s="32" t="s">
        <v>125</v>
      </c>
      <c r="H43" s="33" t="str">
        <f>+H27</f>
        <v>JUN</v>
      </c>
    </row>
    <row r="44" spans="2:8" ht="45">
      <c r="B44" s="50" t="s">
        <v>88</v>
      </c>
      <c r="C44" s="19">
        <v>0</v>
      </c>
      <c r="D44" s="19">
        <f>+C48</f>
        <v>10000</v>
      </c>
      <c r="E44" s="19">
        <f>+D48</f>
        <v>13000</v>
      </c>
      <c r="F44" s="19">
        <f>+E48</f>
        <v>-1300</v>
      </c>
      <c r="G44" s="19">
        <f>+SUM(F20:F22)</f>
        <v>12000</v>
      </c>
      <c r="H44" s="20">
        <f>+SUM(G20:G22)</f>
        <v>13755</v>
      </c>
    </row>
    <row r="45" spans="2:8" ht="60">
      <c r="B45" s="51" t="s">
        <v>89</v>
      </c>
      <c r="C45" s="52">
        <f>+C20</f>
        <v>10000</v>
      </c>
      <c r="D45" s="52">
        <f>+D20-C20</f>
        <v>3000</v>
      </c>
      <c r="E45" s="52">
        <f>+E20-D20</f>
        <v>0</v>
      </c>
      <c r="F45" s="52">
        <f>+F20-E20</f>
        <v>0</v>
      </c>
      <c r="G45" s="52">
        <v>0</v>
      </c>
      <c r="H45" s="53">
        <v>0</v>
      </c>
    </row>
    <row r="46" spans="2:8" ht="60">
      <c r="B46" s="51" t="s">
        <v>90</v>
      </c>
      <c r="C46" s="52">
        <f t="shared" ref="C46:H46" si="9">+C40</f>
        <v>0</v>
      </c>
      <c r="D46" s="52">
        <f t="shared" si="9"/>
        <v>0</v>
      </c>
      <c r="E46" s="52">
        <f t="shared" si="9"/>
        <v>-14300</v>
      </c>
      <c r="F46" s="52">
        <f t="shared" si="9"/>
        <v>13600</v>
      </c>
      <c r="G46" s="52">
        <f t="shared" si="9"/>
        <v>2340</v>
      </c>
      <c r="H46" s="53">
        <f t="shared" si="9"/>
        <v>4890</v>
      </c>
    </row>
    <row r="47" spans="2:8" ht="45">
      <c r="B47" s="51" t="s">
        <v>91</v>
      </c>
      <c r="C47" s="52">
        <v>0</v>
      </c>
      <c r="D47" s="52">
        <v>0</v>
      </c>
      <c r="E47" s="52">
        <v>0</v>
      </c>
      <c r="F47" s="52">
        <f>+'Exercício inicial - lançamentos'!N62</f>
        <v>-300</v>
      </c>
      <c r="G47" s="52">
        <f>+'Exercício inicial - lançamentos'!S91</f>
        <v>-585</v>
      </c>
      <c r="H47" s="53">
        <f>+'Exercício inicial - lançamentos'!R125</f>
        <v>-3912</v>
      </c>
    </row>
    <row r="48" spans="2:8" ht="45">
      <c r="B48" s="77" t="s">
        <v>92</v>
      </c>
      <c r="C48" s="25">
        <f>SUM(C44:C47)</f>
        <v>10000</v>
      </c>
      <c r="D48" s="25">
        <f t="shared" ref="D48:H48" si="10">SUM(D44:D47)</f>
        <v>13000</v>
      </c>
      <c r="E48" s="25">
        <f t="shared" si="10"/>
        <v>-1300</v>
      </c>
      <c r="F48" s="25">
        <f t="shared" si="10"/>
        <v>12000</v>
      </c>
      <c r="G48" s="25">
        <f t="shared" si="10"/>
        <v>13755</v>
      </c>
      <c r="H48" s="26">
        <f t="shared" si="10"/>
        <v>14733</v>
      </c>
    </row>
    <row r="50" spans="2:8" ht="187.5">
      <c r="B50" s="228" t="s">
        <v>49</v>
      </c>
      <c r="C50" s="229"/>
      <c r="D50" s="229"/>
      <c r="E50" s="229"/>
      <c r="F50" s="229"/>
      <c r="G50" s="229"/>
      <c r="H50" s="230"/>
    </row>
    <row r="51" spans="2:8" ht="45">
      <c r="B51" s="38" t="s">
        <v>44</v>
      </c>
      <c r="C51" s="119" t="s">
        <v>45</v>
      </c>
      <c r="D51" s="119" t="s">
        <v>46</v>
      </c>
      <c r="E51" s="119" t="s">
        <v>60</v>
      </c>
      <c r="F51" s="119" t="s">
        <v>97</v>
      </c>
      <c r="G51" s="119" t="s">
        <v>125</v>
      </c>
      <c r="H51" s="120" t="str">
        <f>+H43</f>
        <v>JUN</v>
      </c>
    </row>
    <row r="52" spans="2:8" ht="60">
      <c r="B52" s="39" t="s">
        <v>73</v>
      </c>
      <c r="C52" s="40">
        <v>0</v>
      </c>
      <c r="D52" s="40">
        <v>0</v>
      </c>
      <c r="E52" s="40">
        <f>+'Exercício inicial - lançamentos'!C24</f>
        <v>5000</v>
      </c>
      <c r="F52" s="40">
        <f>+'Exercício inicial - lançamentos'!C48+'Exercício inicial - lançamentos'!C49</f>
        <v>26500</v>
      </c>
      <c r="G52" s="40">
        <f>+'Exercício inicial - lançamentos'!C75+'Exercício inicial - lançamentos'!C76+'Exercício inicial - lançamentos'!C77</f>
        <v>33000</v>
      </c>
      <c r="H52" s="41">
        <f>+'Exercício inicial - lançamentos'!C104+'Exercício inicial - lançamentos'!C114</f>
        <v>8000</v>
      </c>
    </row>
    <row r="53" spans="2:8" ht="60">
      <c r="B53" s="39" t="s">
        <v>53</v>
      </c>
      <c r="C53" s="40">
        <v>-4000</v>
      </c>
      <c r="D53" s="40">
        <v>-3000</v>
      </c>
      <c r="E53" s="40">
        <f>+'Exercício inicial - lançamentos'!C27+'Exercício inicial - lançamentos'!C32</f>
        <v>-4000</v>
      </c>
      <c r="F53" s="40">
        <f>+'Exercício inicial - lançamentos'!I51+'Exercício inicial - lançamentos'!C55</f>
        <v>-19000</v>
      </c>
      <c r="G53" s="40">
        <f>+'Exercício inicial - lançamentos'!J79+'Exercício inicial - lançamentos'!C87</f>
        <v>-19000</v>
      </c>
      <c r="H53" s="41">
        <f>+'Exercício inicial - lançamentos'!J105+'Exercício inicial - lançamentos'!C113</f>
        <v>-4000</v>
      </c>
    </row>
    <row r="54" spans="2:8" ht="60">
      <c r="B54" s="39" t="s">
        <v>74</v>
      </c>
      <c r="C54" s="40">
        <v>0</v>
      </c>
      <c r="D54" s="40">
        <v>0</v>
      </c>
      <c r="E54" s="40">
        <f>+'Exercício inicial - lançamentos'!C28+'Exercício inicial - lançamentos'!C29</f>
        <v>-700</v>
      </c>
      <c r="F54" s="40">
        <f>+'Exercício inicial - lançamentos'!J53</f>
        <v>-1800</v>
      </c>
      <c r="G54" s="40">
        <f>+'Exercício inicial - lançamentos'!K79+'Exercício inicial - lançamentos'!C80+'Exercício inicial - lançamentos'!C85</f>
        <v>-7200</v>
      </c>
      <c r="H54" s="41">
        <f>+'Exercício inicial - lançamentos'!K106+'Exercício inicial - lançamentos'!C116+'Exercício inicial - lançamentos'!C117</f>
        <v>-3900</v>
      </c>
    </row>
    <row r="55" spans="2:8">
      <c r="B55" s="39" t="s">
        <v>147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f>+'Exercício inicial - lançamentos'!M107</f>
        <v>-1560</v>
      </c>
    </row>
    <row r="56" spans="2:8">
      <c r="B56" s="39"/>
      <c r="C56" s="40"/>
      <c r="D56" s="40"/>
      <c r="E56" s="40"/>
      <c r="F56" s="40"/>
      <c r="G56" s="40"/>
      <c r="H56" s="41"/>
    </row>
    <row r="57" spans="2:8">
      <c r="B57" s="35" t="s">
        <v>41</v>
      </c>
      <c r="C57" s="36">
        <f>+SUM(C52:C56)</f>
        <v>-4000</v>
      </c>
      <c r="D57" s="36">
        <f t="shared" ref="D57:H57" si="11">+SUM(D52:D56)</f>
        <v>-3000</v>
      </c>
      <c r="E57" s="36">
        <f t="shared" si="11"/>
        <v>300</v>
      </c>
      <c r="F57" s="36">
        <f t="shared" si="11"/>
        <v>5700</v>
      </c>
      <c r="G57" s="36">
        <f t="shared" si="11"/>
        <v>6800</v>
      </c>
      <c r="H57" s="37">
        <f t="shared" si="11"/>
        <v>-1460</v>
      </c>
    </row>
    <row r="58" spans="2:8" ht="45">
      <c r="B58" s="38" t="s">
        <v>47</v>
      </c>
      <c r="C58" s="119" t="str">
        <f>+C51</f>
        <v>JAN</v>
      </c>
      <c r="D58" s="119" t="str">
        <f t="shared" ref="D58:F58" si="12">+D51</f>
        <v>FEV</v>
      </c>
      <c r="E58" s="119" t="str">
        <f t="shared" si="12"/>
        <v>MAR</v>
      </c>
      <c r="F58" s="119" t="str">
        <f t="shared" si="12"/>
        <v>ABR</v>
      </c>
      <c r="G58" s="119" t="s">
        <v>125</v>
      </c>
      <c r="H58" s="120" t="str">
        <f>+H51</f>
        <v>JUN</v>
      </c>
    </row>
    <row r="59" spans="2:8" ht="30">
      <c r="B59" s="39" t="s">
        <v>52</v>
      </c>
      <c r="C59" s="40">
        <v>-8000</v>
      </c>
      <c r="D59" s="40">
        <f>+'Exercício inicial - lançamentos'!C8</f>
        <v>-8000</v>
      </c>
      <c r="E59" s="40">
        <f>'Exercício inicial - lançamentos'!C33</f>
        <v>-1000</v>
      </c>
      <c r="F59" s="40">
        <f>+'Exercício inicial - lançamentos'!J52</f>
        <v>-1000</v>
      </c>
      <c r="G59" s="40">
        <f>+'Exercício inicial - lançamentos'!C88</f>
        <v>10000</v>
      </c>
      <c r="H59" s="41">
        <f>'Exercício inicial - lançamentos'!C123</f>
        <v>-5000</v>
      </c>
    </row>
    <row r="60" spans="2:8">
      <c r="B60" s="39"/>
      <c r="C60" s="40"/>
      <c r="D60" s="40"/>
      <c r="E60" s="40"/>
      <c r="F60" s="40"/>
      <c r="G60" s="40"/>
      <c r="H60" s="41"/>
    </row>
    <row r="61" spans="2:8">
      <c r="B61" s="39"/>
      <c r="C61" s="40"/>
      <c r="D61" s="40"/>
      <c r="E61" s="40"/>
      <c r="F61" s="40"/>
      <c r="G61" s="40"/>
      <c r="H61" s="41"/>
    </row>
    <row r="62" spans="2:8">
      <c r="B62" s="39"/>
      <c r="C62" s="40"/>
      <c r="D62" s="40"/>
      <c r="E62" s="40"/>
      <c r="F62" s="40"/>
      <c r="G62" s="40"/>
      <c r="H62" s="41"/>
    </row>
    <row r="63" spans="2:8">
      <c r="B63" s="35" t="s">
        <v>41</v>
      </c>
      <c r="C63" s="36">
        <f>+SUM(C59:C62)</f>
        <v>-8000</v>
      </c>
      <c r="D63" s="36">
        <f t="shared" ref="D63" si="13">+SUM(D59:D62)</f>
        <v>-8000</v>
      </c>
      <c r="E63" s="36">
        <f t="shared" ref="E63" si="14">+SUM(E59:E62)</f>
        <v>-1000</v>
      </c>
      <c r="F63" s="36">
        <f t="shared" ref="F63" si="15">+SUM(F59:F62)</f>
        <v>-1000</v>
      </c>
      <c r="G63" s="36">
        <f t="shared" ref="G63:H63" si="16">+SUM(G59:G62)</f>
        <v>10000</v>
      </c>
      <c r="H63" s="37">
        <f t="shared" si="16"/>
        <v>-5000</v>
      </c>
    </row>
    <row r="64" spans="2:8" ht="60">
      <c r="B64" s="38" t="s">
        <v>48</v>
      </c>
      <c r="C64" s="119" t="str">
        <f>+C58</f>
        <v>JAN</v>
      </c>
      <c r="D64" s="119" t="str">
        <f t="shared" ref="D64:F64" si="17">+D58</f>
        <v>FEV</v>
      </c>
      <c r="E64" s="119" t="str">
        <f t="shared" si="17"/>
        <v>MAR</v>
      </c>
      <c r="F64" s="119" t="str">
        <f t="shared" si="17"/>
        <v>ABR</v>
      </c>
      <c r="G64" s="119" t="s">
        <v>125</v>
      </c>
      <c r="H64" s="120" t="str">
        <f>+H58</f>
        <v>JUN</v>
      </c>
    </row>
    <row r="65" spans="2:8" ht="45">
      <c r="B65" s="39" t="s">
        <v>51</v>
      </c>
      <c r="C65" s="40">
        <v>10000</v>
      </c>
      <c r="D65" s="40">
        <v>3000</v>
      </c>
      <c r="E65" s="40">
        <v>0</v>
      </c>
      <c r="F65" s="40"/>
      <c r="G65" s="40"/>
      <c r="H65" s="41"/>
    </row>
    <row r="66" spans="2:8" ht="30">
      <c r="B66" s="39" t="s">
        <v>50</v>
      </c>
      <c r="C66" s="40">
        <v>5000</v>
      </c>
      <c r="D66" s="40">
        <f>8000-1500</f>
        <v>6500</v>
      </c>
      <c r="E66" s="40">
        <f>'Exercício inicial - lançamentos'!C34</f>
        <v>-500</v>
      </c>
      <c r="F66" s="40">
        <f>+'Exercício inicial - lançamentos'!C60</f>
        <v>-4000</v>
      </c>
      <c r="G66" s="40"/>
      <c r="H66" s="41">
        <f>+'Exercício inicial - lançamentos'!C110+'Exercício inicial - lançamentos'!C122</f>
        <v>-7000</v>
      </c>
    </row>
    <row r="67" spans="2:8">
      <c r="B67" s="39" t="s">
        <v>75</v>
      </c>
      <c r="C67" s="40">
        <v>0</v>
      </c>
      <c r="D67" s="40">
        <v>0</v>
      </c>
      <c r="E67" s="40">
        <f>+'Exercício inicial - lançamentos'!C31</f>
        <v>-200</v>
      </c>
      <c r="F67" s="40">
        <f>+'Exercício inicial - lançamentos'!C59</f>
        <v>-300</v>
      </c>
      <c r="G67" s="40">
        <f>+'Exercício inicial - lançamentos'!C83</f>
        <v>-200</v>
      </c>
      <c r="H67" s="41">
        <f>+'Exercício inicial - lançamentos'!C119</f>
        <v>-150</v>
      </c>
    </row>
    <row r="68" spans="2:8" ht="30">
      <c r="B68" s="39" t="s">
        <v>98</v>
      </c>
      <c r="C68" s="40">
        <v>0</v>
      </c>
      <c r="D68" s="40">
        <v>0</v>
      </c>
      <c r="E68" s="40">
        <v>0</v>
      </c>
      <c r="F68" s="40">
        <f>+'Exercício inicial - lançamentos'!C62</f>
        <v>-300</v>
      </c>
      <c r="G68" s="40"/>
      <c r="H68" s="41">
        <f>+'Exercício inicial - lançamentos'!O108+'Exercício inicial - lançamentos'!C125</f>
        <v>-2541</v>
      </c>
    </row>
    <row r="69" spans="2:8">
      <c r="B69" s="35" t="s">
        <v>41</v>
      </c>
      <c r="C69" s="36">
        <f>+SUM(C65:C68)</f>
        <v>15000</v>
      </c>
      <c r="D69" s="36">
        <f t="shared" ref="D69" si="18">+SUM(D65:D68)</f>
        <v>9500</v>
      </c>
      <c r="E69" s="36">
        <f t="shared" ref="E69" si="19">+SUM(E65:E68)</f>
        <v>-700</v>
      </c>
      <c r="F69" s="36">
        <f t="shared" ref="F69" si="20">+SUM(F65:F68)</f>
        <v>-4600</v>
      </c>
      <c r="G69" s="36">
        <f t="shared" ref="G69:H69" si="21">+SUM(G65:G68)</f>
        <v>-200</v>
      </c>
      <c r="H69" s="37">
        <f t="shared" si="21"/>
        <v>-9691</v>
      </c>
    </row>
    <row r="70" spans="2:8" ht="30">
      <c r="B70" s="44" t="s">
        <v>5</v>
      </c>
      <c r="C70" s="42">
        <f>+C57+C63+C69</f>
        <v>3000</v>
      </c>
      <c r="D70" s="42">
        <f t="shared" ref="D70:H70" si="22">+D57+D63+D69</f>
        <v>-1500</v>
      </c>
      <c r="E70" s="42">
        <f t="shared" si="22"/>
        <v>-1400</v>
      </c>
      <c r="F70" s="42">
        <f t="shared" si="22"/>
        <v>100</v>
      </c>
      <c r="G70" s="42">
        <f t="shared" si="22"/>
        <v>16600</v>
      </c>
      <c r="H70" s="43">
        <f t="shared" si="22"/>
        <v>-16151</v>
      </c>
    </row>
    <row r="72" spans="2:8" ht="45">
      <c r="B72" s="45" t="s">
        <v>9</v>
      </c>
      <c r="C72" s="46">
        <v>0</v>
      </c>
      <c r="D72" s="46">
        <f>+C73</f>
        <v>3000</v>
      </c>
      <c r="E72" s="46">
        <f t="shared" ref="E72:F72" si="23">+D73</f>
        <v>1500</v>
      </c>
      <c r="F72" s="46">
        <f t="shared" si="23"/>
        <v>100</v>
      </c>
      <c r="G72" s="46">
        <f>+F73</f>
        <v>200</v>
      </c>
      <c r="H72" s="47">
        <f>+G73</f>
        <v>16800</v>
      </c>
    </row>
    <row r="73" spans="2:8" ht="45">
      <c r="B73" s="48" t="s">
        <v>10</v>
      </c>
      <c r="C73" s="40">
        <f t="shared" ref="C73:H73" si="24">+C4</f>
        <v>3000</v>
      </c>
      <c r="D73" s="40">
        <f t="shared" si="24"/>
        <v>1500</v>
      </c>
      <c r="E73" s="40">
        <f t="shared" si="24"/>
        <v>100</v>
      </c>
      <c r="F73" s="40">
        <f t="shared" si="24"/>
        <v>200</v>
      </c>
      <c r="G73" s="40">
        <f t="shared" si="24"/>
        <v>16800</v>
      </c>
      <c r="H73" s="41">
        <f t="shared" si="24"/>
        <v>649</v>
      </c>
    </row>
    <row r="74" spans="2:8" ht="30">
      <c r="B74" s="49" t="s">
        <v>5</v>
      </c>
      <c r="C74" s="36">
        <f>+C73-C72</f>
        <v>3000</v>
      </c>
      <c r="D74" s="36">
        <f t="shared" ref="D74:G74" si="25">+D73-D72</f>
        <v>-1500</v>
      </c>
      <c r="E74" s="36">
        <f t="shared" si="25"/>
        <v>-1400</v>
      </c>
      <c r="F74" s="36">
        <f t="shared" si="25"/>
        <v>100</v>
      </c>
      <c r="G74" s="36">
        <f t="shared" si="25"/>
        <v>16600</v>
      </c>
      <c r="H74" s="37">
        <f t="shared" ref="H74" si="26">+H73-H72</f>
        <v>-16151</v>
      </c>
    </row>
    <row r="76" spans="2:8" ht="206.25">
      <c r="B76" s="228" t="s">
        <v>76</v>
      </c>
      <c r="C76" s="229"/>
      <c r="D76" s="229"/>
      <c r="E76" s="229"/>
      <c r="F76" s="229"/>
      <c r="G76" s="229"/>
      <c r="H76" s="230"/>
    </row>
    <row r="77" spans="2:8" ht="45">
      <c r="B77" s="38" t="s">
        <v>44</v>
      </c>
      <c r="C77" s="119" t="s">
        <v>45</v>
      </c>
      <c r="D77" s="119" t="s">
        <v>46</v>
      </c>
      <c r="E77" s="119" t="s">
        <v>60</v>
      </c>
      <c r="F77" s="119" t="s">
        <v>97</v>
      </c>
      <c r="G77" s="119" t="s">
        <v>125</v>
      </c>
      <c r="H77" s="120" t="str">
        <f>+H51</f>
        <v>JUN</v>
      </c>
    </row>
    <row r="78" spans="2:8" ht="60">
      <c r="B78" s="39" t="s">
        <v>77</v>
      </c>
      <c r="C78" s="40">
        <f t="shared" ref="C78:H78" si="27">+C40</f>
        <v>0</v>
      </c>
      <c r="D78" s="40">
        <f t="shared" si="27"/>
        <v>0</v>
      </c>
      <c r="E78" s="40">
        <f t="shared" si="27"/>
        <v>-14300</v>
      </c>
      <c r="F78" s="40">
        <f t="shared" si="27"/>
        <v>13600</v>
      </c>
      <c r="G78" s="40">
        <f t="shared" si="27"/>
        <v>2340</v>
      </c>
      <c r="H78" s="41">
        <f t="shared" si="27"/>
        <v>4890</v>
      </c>
    </row>
    <row r="79" spans="2:8" ht="45">
      <c r="B79" s="39" t="s">
        <v>78</v>
      </c>
      <c r="C79" s="40">
        <f t="shared" ref="C79:H79" si="28">-C34</f>
        <v>0</v>
      </c>
      <c r="D79" s="40">
        <f t="shared" si="28"/>
        <v>0</v>
      </c>
      <c r="E79" s="40">
        <f t="shared" si="28"/>
        <v>100</v>
      </c>
      <c r="F79" s="40">
        <f t="shared" si="28"/>
        <v>100</v>
      </c>
      <c r="G79" s="40">
        <f t="shared" si="28"/>
        <v>100</v>
      </c>
      <c r="H79" s="41">
        <f t="shared" si="28"/>
        <v>100</v>
      </c>
    </row>
    <row r="80" spans="2:8" ht="30">
      <c r="B80" s="39" t="s">
        <v>79</v>
      </c>
      <c r="C80" s="40">
        <f t="shared" ref="C80:H80" si="29">-C36</f>
        <v>0</v>
      </c>
      <c r="D80" s="40">
        <f t="shared" si="29"/>
        <v>0</v>
      </c>
      <c r="E80" s="40">
        <f t="shared" si="29"/>
        <v>200</v>
      </c>
      <c r="F80" s="40">
        <f t="shared" si="29"/>
        <v>300</v>
      </c>
      <c r="G80" s="40">
        <f t="shared" si="29"/>
        <v>200</v>
      </c>
      <c r="H80" s="41">
        <f t="shared" si="29"/>
        <v>150</v>
      </c>
    </row>
    <row r="81" spans="2:8" ht="60">
      <c r="B81" s="39" t="s">
        <v>136</v>
      </c>
      <c r="C81" s="40">
        <v>0</v>
      </c>
      <c r="D81" s="40">
        <v>0</v>
      </c>
      <c r="E81" s="40">
        <v>0</v>
      </c>
      <c r="F81" s="40">
        <v>0</v>
      </c>
      <c r="G81" s="40">
        <f>-G37</f>
        <v>-2000</v>
      </c>
      <c r="H81" s="41">
        <v>0</v>
      </c>
    </row>
    <row r="82" spans="2:8" ht="60">
      <c r="B82" s="39" t="s">
        <v>86</v>
      </c>
      <c r="C82" s="40">
        <v>0</v>
      </c>
      <c r="D82" s="40">
        <v>0</v>
      </c>
      <c r="E82" s="40">
        <f t="shared" ref="E82:H83" si="30">+D5-E5</f>
        <v>-1500</v>
      </c>
      <c r="F82" s="40">
        <f t="shared" si="30"/>
        <v>-3500</v>
      </c>
      <c r="G82" s="40">
        <f t="shared" si="30"/>
        <v>3000</v>
      </c>
      <c r="H82" s="41">
        <f t="shared" si="30"/>
        <v>-4000</v>
      </c>
    </row>
    <row r="83" spans="2:8" ht="45">
      <c r="B83" s="39" t="s">
        <v>80</v>
      </c>
      <c r="C83" s="40">
        <f>-C6</f>
        <v>-4000</v>
      </c>
      <c r="D83" s="40">
        <f>+C6-D6</f>
        <v>-20000</v>
      </c>
      <c r="E83" s="40">
        <f t="shared" si="30"/>
        <v>13000</v>
      </c>
      <c r="F83" s="40">
        <f t="shared" si="30"/>
        <v>1000</v>
      </c>
      <c r="G83" s="40">
        <f t="shared" si="30"/>
        <v>-2000</v>
      </c>
      <c r="H83" s="41">
        <f t="shared" si="30"/>
        <v>5000</v>
      </c>
    </row>
    <row r="84" spans="2:8" ht="60">
      <c r="B84" s="39" t="s">
        <v>140</v>
      </c>
      <c r="C84" s="40">
        <v>0</v>
      </c>
      <c r="D84" s="40">
        <v>0</v>
      </c>
      <c r="E84" s="40">
        <v>0</v>
      </c>
      <c r="F84" s="40">
        <v>0</v>
      </c>
      <c r="G84" s="40">
        <f>+F7-G7</f>
        <v>-1100</v>
      </c>
      <c r="H84" s="41">
        <f>+G7-H7</f>
        <v>100</v>
      </c>
    </row>
    <row r="85" spans="2:8" ht="60">
      <c r="B85" s="39" t="s">
        <v>84</v>
      </c>
      <c r="C85" s="40">
        <v>0</v>
      </c>
      <c r="D85" s="40">
        <f>+D14-C14</f>
        <v>17000</v>
      </c>
      <c r="E85" s="40">
        <f>+E14-D14</f>
        <v>1000</v>
      </c>
      <c r="F85" s="40">
        <f>+F14-E14</f>
        <v>-9000</v>
      </c>
      <c r="G85" s="40">
        <f>+G14-F14</f>
        <v>-7000</v>
      </c>
      <c r="H85" s="41">
        <f>+H14-G14</f>
        <v>6000</v>
      </c>
    </row>
    <row r="86" spans="2:8" ht="60">
      <c r="B86" s="39" t="s">
        <v>85</v>
      </c>
      <c r="C86" s="40">
        <v>0</v>
      </c>
      <c r="D86" s="40">
        <f>+D15-C15</f>
        <v>2000</v>
      </c>
      <c r="E86" s="40">
        <f>+E15-D15</f>
        <v>800</v>
      </c>
      <c r="F86" s="40">
        <f>+F15-E15+1000</f>
        <v>3200</v>
      </c>
      <c r="G86" s="40">
        <f t="shared" ref="G86:H88" si="31">+G15-F15</f>
        <v>-3300</v>
      </c>
      <c r="H86" s="41">
        <f t="shared" si="31"/>
        <v>-400</v>
      </c>
    </row>
    <row r="87" spans="2:8" ht="60">
      <c r="B87" s="39" t="s">
        <v>137</v>
      </c>
      <c r="C87" s="40"/>
      <c r="D87" s="40"/>
      <c r="E87" s="40"/>
      <c r="F87" s="40"/>
      <c r="G87" s="40">
        <f t="shared" si="31"/>
        <v>15000</v>
      </c>
      <c r="H87" s="41">
        <f t="shared" si="31"/>
        <v>-15000</v>
      </c>
    </row>
    <row r="88" spans="2:8" ht="45">
      <c r="B88" s="39" t="s">
        <v>138</v>
      </c>
      <c r="C88" s="40"/>
      <c r="D88" s="40"/>
      <c r="E88" s="40"/>
      <c r="F88" s="40"/>
      <c r="G88" s="40">
        <f t="shared" si="31"/>
        <v>1560</v>
      </c>
      <c r="H88" s="41">
        <f t="shared" si="31"/>
        <v>1700</v>
      </c>
    </row>
    <row r="89" spans="2:8">
      <c r="B89" s="39"/>
      <c r="C89" s="40"/>
      <c r="D89" s="40"/>
      <c r="E89" s="40"/>
      <c r="F89" s="40"/>
      <c r="G89" s="40"/>
      <c r="H89" s="41"/>
    </row>
    <row r="90" spans="2:8">
      <c r="B90" s="35" t="s">
        <v>41</v>
      </c>
      <c r="C90" s="36">
        <f t="shared" ref="C90:H90" si="32">+SUM(C78:C89)</f>
        <v>-4000</v>
      </c>
      <c r="D90" s="36">
        <f t="shared" si="32"/>
        <v>-1000</v>
      </c>
      <c r="E90" s="36">
        <f t="shared" si="32"/>
        <v>-700</v>
      </c>
      <c r="F90" s="36">
        <f t="shared" si="32"/>
        <v>5700</v>
      </c>
      <c r="G90" s="36">
        <f t="shared" si="32"/>
        <v>6800</v>
      </c>
      <c r="H90" s="37">
        <f t="shared" si="32"/>
        <v>-1460</v>
      </c>
    </row>
    <row r="91" spans="2:8" ht="45">
      <c r="B91" s="38" t="s">
        <v>47</v>
      </c>
      <c r="C91" s="119" t="str">
        <f>+C77</f>
        <v>JAN</v>
      </c>
      <c r="D91" s="119" t="str">
        <f>+D77</f>
        <v>FEV</v>
      </c>
      <c r="E91" s="119" t="str">
        <f>+E77</f>
        <v>MAR</v>
      </c>
      <c r="F91" s="119" t="str">
        <f>+F77</f>
        <v>ABR</v>
      </c>
      <c r="G91" s="119" t="s">
        <v>125</v>
      </c>
      <c r="H91" s="120" t="str">
        <f>+H77</f>
        <v>JUN</v>
      </c>
    </row>
    <row r="92" spans="2:8" ht="45">
      <c r="B92" s="39" t="s">
        <v>81</v>
      </c>
      <c r="C92" s="40">
        <f>-C8</f>
        <v>-8000</v>
      </c>
      <c r="D92" s="40">
        <f>+SUM(C8:C9)-SUM(D8:D9)</f>
        <v>-10000</v>
      </c>
      <c r="E92" s="40">
        <f>+SUM(D8:D9)-SUM(E8:E9)</f>
        <v>0</v>
      </c>
      <c r="F92" s="40">
        <v>-1000</v>
      </c>
      <c r="G92" s="40">
        <f>-G81</f>
        <v>2000</v>
      </c>
      <c r="H92" s="41">
        <f>+G9-H9</f>
        <v>-5000</v>
      </c>
    </row>
    <row r="93" spans="2:8" ht="45">
      <c r="B93" s="39" t="s">
        <v>139</v>
      </c>
      <c r="C93" s="40">
        <v>0</v>
      </c>
      <c r="D93" s="40">
        <v>0</v>
      </c>
      <c r="E93" s="40">
        <v>0</v>
      </c>
      <c r="F93" s="40">
        <v>0</v>
      </c>
      <c r="G93" s="40">
        <f>-'Exercício inicial - lançamentos'!S89</f>
        <v>8000</v>
      </c>
      <c r="H93" s="41">
        <v>0</v>
      </c>
    </row>
    <row r="94" spans="2:8">
      <c r="B94" s="39"/>
      <c r="C94" s="40"/>
      <c r="D94" s="40"/>
      <c r="E94" s="40"/>
      <c r="F94" s="40"/>
      <c r="G94" s="40"/>
      <c r="H94" s="41"/>
    </row>
    <row r="95" spans="2:8">
      <c r="B95" s="35" t="s">
        <v>41</v>
      </c>
      <c r="C95" s="36">
        <f t="shared" ref="C95:H95" si="33">+SUM(C92:C94)</f>
        <v>-8000</v>
      </c>
      <c r="D95" s="36">
        <f t="shared" si="33"/>
        <v>-10000</v>
      </c>
      <c r="E95" s="36">
        <f t="shared" si="33"/>
        <v>0</v>
      </c>
      <c r="F95" s="36">
        <f t="shared" si="33"/>
        <v>-1000</v>
      </c>
      <c r="G95" s="36">
        <f t="shared" si="33"/>
        <v>10000</v>
      </c>
      <c r="H95" s="37">
        <f t="shared" si="33"/>
        <v>-5000</v>
      </c>
    </row>
    <row r="96" spans="2:8" ht="60">
      <c r="B96" s="38" t="s">
        <v>48</v>
      </c>
      <c r="C96" s="125" t="str">
        <f>+C91</f>
        <v>JAN</v>
      </c>
      <c r="D96" s="125" t="str">
        <f>+D91</f>
        <v>FEV</v>
      </c>
      <c r="E96" s="125" t="str">
        <f>+E91</f>
        <v>MAR</v>
      </c>
      <c r="F96" s="125" t="str">
        <f>+F91</f>
        <v>ABR</v>
      </c>
      <c r="G96" s="125" t="s">
        <v>125</v>
      </c>
      <c r="H96" s="126" t="str">
        <f>+H91</f>
        <v>JUN</v>
      </c>
    </row>
    <row r="97" spans="2:8" ht="60">
      <c r="B97" s="39" t="s">
        <v>82</v>
      </c>
      <c r="C97" s="40">
        <f>+C18</f>
        <v>5000</v>
      </c>
      <c r="D97" s="40">
        <f>+D18-C18</f>
        <v>6500</v>
      </c>
      <c r="E97" s="40">
        <f>+E18-D18</f>
        <v>-500</v>
      </c>
      <c r="F97" s="40">
        <f>+F18-E18</f>
        <v>-4000</v>
      </c>
      <c r="G97" s="40">
        <v>0</v>
      </c>
      <c r="H97" s="41">
        <f>+H18-G18</f>
        <v>-7000</v>
      </c>
    </row>
    <row r="98" spans="2:8" ht="60">
      <c r="B98" s="39" t="s">
        <v>83</v>
      </c>
      <c r="C98" s="40">
        <f>+C20</f>
        <v>10000</v>
      </c>
      <c r="D98" s="40">
        <f>+D20-C20</f>
        <v>3000</v>
      </c>
      <c r="E98" s="40">
        <f>+E20-D20</f>
        <v>0</v>
      </c>
      <c r="F98" s="40">
        <f>+F20-E20</f>
        <v>0</v>
      </c>
      <c r="G98" s="40">
        <v>0</v>
      </c>
      <c r="H98" s="41">
        <v>0</v>
      </c>
    </row>
    <row r="99" spans="2:8" ht="45">
      <c r="B99" s="39" t="s">
        <v>71</v>
      </c>
      <c r="C99" s="40">
        <f>-C80</f>
        <v>0</v>
      </c>
      <c r="D99" s="40">
        <v>0</v>
      </c>
      <c r="E99" s="40">
        <f>-E80</f>
        <v>-200</v>
      </c>
      <c r="F99" s="40">
        <f>-F80</f>
        <v>-300</v>
      </c>
      <c r="G99" s="40">
        <f>-G80</f>
        <v>-200</v>
      </c>
      <c r="H99" s="41">
        <f>-H80</f>
        <v>-150</v>
      </c>
    </row>
    <row r="100" spans="2:8" ht="45">
      <c r="B100" s="39" t="s">
        <v>141</v>
      </c>
      <c r="C100" s="40">
        <v>0</v>
      </c>
      <c r="D100" s="40">
        <v>0</v>
      </c>
      <c r="E100" s="40">
        <v>0</v>
      </c>
      <c r="F100" s="40">
        <v>-300</v>
      </c>
      <c r="G100" s="40">
        <v>0</v>
      </c>
      <c r="H100" s="41">
        <f>+H68</f>
        <v>-2541</v>
      </c>
    </row>
    <row r="101" spans="2:8">
      <c r="B101" s="35" t="s">
        <v>41</v>
      </c>
      <c r="C101" s="36">
        <f t="shared" ref="C101:E101" si="34">+SUM(C97:C100)</f>
        <v>15000</v>
      </c>
      <c r="D101" s="36">
        <f t="shared" si="34"/>
        <v>9500</v>
      </c>
      <c r="E101" s="36">
        <f t="shared" si="34"/>
        <v>-700</v>
      </c>
      <c r="F101" s="36">
        <f>+SUM(F97:F100)</f>
        <v>-4600</v>
      </c>
      <c r="G101" s="36">
        <f>+SUM(G97:G100)</f>
        <v>-200</v>
      </c>
      <c r="H101" s="37">
        <f>+SUM(H97:H100)</f>
        <v>-9691</v>
      </c>
    </row>
    <row r="102" spans="2:8" ht="30">
      <c r="B102" s="44" t="s">
        <v>5</v>
      </c>
      <c r="C102" s="42">
        <f t="shared" ref="C102:H102" si="35">+C90+C95+C101</f>
        <v>3000</v>
      </c>
      <c r="D102" s="42">
        <f t="shared" si="35"/>
        <v>-1500</v>
      </c>
      <c r="E102" s="42">
        <f t="shared" si="35"/>
        <v>-1400</v>
      </c>
      <c r="F102" s="42">
        <f t="shared" si="35"/>
        <v>100</v>
      </c>
      <c r="G102" s="42">
        <f t="shared" si="35"/>
        <v>16600</v>
      </c>
      <c r="H102" s="43">
        <f t="shared" si="35"/>
        <v>-16151</v>
      </c>
    </row>
    <row r="104" spans="2:8" ht="45">
      <c r="B104" s="45" t="s">
        <v>9</v>
      </c>
      <c r="C104" s="46">
        <v>0</v>
      </c>
      <c r="D104" s="46">
        <f>+C105</f>
        <v>3000</v>
      </c>
      <c r="E104" s="46">
        <f t="shared" ref="E104" si="36">+D105</f>
        <v>1500</v>
      </c>
      <c r="F104" s="46">
        <f t="shared" ref="F104" si="37">+E105</f>
        <v>100</v>
      </c>
      <c r="G104" s="46">
        <f>+F105</f>
        <v>200</v>
      </c>
      <c r="H104" s="47">
        <f>+G105</f>
        <v>16800</v>
      </c>
    </row>
    <row r="105" spans="2:8" ht="45">
      <c r="B105" s="48" t="s">
        <v>10</v>
      </c>
      <c r="C105" s="40">
        <f>+C104+C102</f>
        <v>3000</v>
      </c>
      <c r="D105" s="40">
        <f t="shared" ref="D105:G105" si="38">+D104+D102</f>
        <v>1500</v>
      </c>
      <c r="E105" s="40">
        <f t="shared" si="38"/>
        <v>100</v>
      </c>
      <c r="F105" s="40">
        <f t="shared" si="38"/>
        <v>200</v>
      </c>
      <c r="G105" s="40">
        <f t="shared" si="38"/>
        <v>16800</v>
      </c>
      <c r="H105" s="41">
        <f t="shared" ref="H105" si="39">+H104+H102</f>
        <v>649</v>
      </c>
    </row>
    <row r="106" spans="2:8" ht="30">
      <c r="B106" s="49" t="s">
        <v>5</v>
      </c>
      <c r="C106" s="36">
        <f>+C105-C104</f>
        <v>3000</v>
      </c>
      <c r="D106" s="36">
        <f t="shared" ref="D106:G106" si="40">+D105-D104</f>
        <v>-1500</v>
      </c>
      <c r="E106" s="36">
        <f t="shared" si="40"/>
        <v>-1400</v>
      </c>
      <c r="F106" s="36">
        <f t="shared" si="40"/>
        <v>100</v>
      </c>
      <c r="G106" s="36">
        <f t="shared" si="40"/>
        <v>16600</v>
      </c>
      <c r="H106" s="37">
        <f t="shared" ref="H106" si="41">+H105-H104</f>
        <v>-16151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5"/>
  <sheetViews>
    <sheetView workbookViewId="0"/>
  </sheetViews>
  <sheetFormatPr defaultRowHeight="15"/>
  <sheetData>
    <row r="2" spans="2:18">
      <c r="B2" s="237" t="s">
        <v>0</v>
      </c>
      <c r="C2" s="238"/>
      <c r="D2" s="93" t="s">
        <v>99</v>
      </c>
      <c r="E2" s="93" t="s">
        <v>100</v>
      </c>
      <c r="F2" s="93" t="s">
        <v>101</v>
      </c>
      <c r="G2" s="94"/>
      <c r="I2" s="234" t="s">
        <v>113</v>
      </c>
      <c r="J2" s="235"/>
      <c r="K2" s="235"/>
      <c r="L2" s="235"/>
      <c r="M2" s="236"/>
    </row>
    <row r="3" spans="2:18" ht="30">
      <c r="B3" s="239" t="s">
        <v>1</v>
      </c>
      <c r="C3" s="95" t="s">
        <v>103</v>
      </c>
      <c r="D3" s="99">
        <v>0</v>
      </c>
      <c r="E3" s="99"/>
      <c r="F3" s="99">
        <v>0</v>
      </c>
      <c r="G3" s="97"/>
      <c r="I3" s="49" t="s">
        <v>112</v>
      </c>
      <c r="J3" s="36" t="s">
        <v>117</v>
      </c>
      <c r="K3" s="36" t="s">
        <v>114</v>
      </c>
      <c r="L3" s="36" t="s">
        <v>115</v>
      </c>
      <c r="M3" s="37" t="s">
        <v>116</v>
      </c>
      <c r="P3" s="108"/>
      <c r="Q3" s="108"/>
      <c r="R3" s="108"/>
    </row>
    <row r="4" spans="2:18" ht="75">
      <c r="B4" s="239"/>
      <c r="C4" s="95" t="s">
        <v>104</v>
      </c>
      <c r="D4" s="95">
        <v>200</v>
      </c>
      <c r="E4" s="96">
        <v>14</v>
      </c>
      <c r="F4" s="95">
        <f>+D4*E4</f>
        <v>2800</v>
      </c>
      <c r="G4" s="97"/>
      <c r="I4" s="225" t="s">
        <v>1</v>
      </c>
      <c r="J4" s="104" t="s">
        <v>119</v>
      </c>
      <c r="K4" s="104">
        <v>0</v>
      </c>
      <c r="L4" s="109">
        <v>0</v>
      </c>
      <c r="M4" s="110">
        <v>0</v>
      </c>
    </row>
    <row r="5" spans="2:18" ht="75">
      <c r="B5" s="239"/>
      <c r="C5" s="95" t="s">
        <v>105</v>
      </c>
      <c r="D5" s="95">
        <v>300</v>
      </c>
      <c r="E5" s="96">
        <v>18</v>
      </c>
      <c r="F5" s="95">
        <f>+D5*E5</f>
        <v>5400</v>
      </c>
      <c r="G5" s="98"/>
      <c r="I5" s="227"/>
      <c r="J5" s="22" t="s">
        <v>118</v>
      </c>
      <c r="K5" s="22">
        <v>200</v>
      </c>
      <c r="L5" s="106">
        <v>14</v>
      </c>
      <c r="M5" s="23">
        <f t="shared" ref="M5:M10" si="0">+K5*L5</f>
        <v>2800</v>
      </c>
    </row>
    <row r="6" spans="2:18">
      <c r="B6" s="239"/>
      <c r="C6" s="95" t="s">
        <v>102</v>
      </c>
      <c r="D6" s="99">
        <f>SUM(D4:D5)</f>
        <v>500</v>
      </c>
      <c r="E6" s="96"/>
      <c r="F6" s="99">
        <f>SUM(F4:F5)</f>
        <v>8200</v>
      </c>
      <c r="G6" s="100">
        <f>+F6/D6</f>
        <v>16</v>
      </c>
      <c r="I6" s="227"/>
      <c r="J6" s="22" t="s">
        <v>118</v>
      </c>
      <c r="K6" s="22">
        <f>+D5</f>
        <v>300</v>
      </c>
      <c r="L6" s="106">
        <f>+E5</f>
        <v>18</v>
      </c>
      <c r="M6" s="23">
        <f t="shared" si="0"/>
        <v>5400</v>
      </c>
    </row>
    <row r="7" spans="2:18" ht="105">
      <c r="B7" s="240"/>
      <c r="C7" s="233" t="s">
        <v>106</v>
      </c>
      <c r="D7" s="233"/>
      <c r="E7" s="233"/>
      <c r="F7" s="233"/>
      <c r="G7" s="101"/>
      <c r="I7" s="227"/>
      <c r="J7" s="22" t="s">
        <v>121</v>
      </c>
      <c r="K7" s="22">
        <v>-400</v>
      </c>
      <c r="L7" s="106">
        <f>SUM(M5:M6)/SUM(K5:K6)</f>
        <v>16</v>
      </c>
      <c r="M7" s="23">
        <f t="shared" si="0"/>
        <v>-6559</v>
      </c>
    </row>
    <row r="8" spans="2:18" ht="30">
      <c r="I8" s="226"/>
      <c r="J8" s="25" t="s">
        <v>120</v>
      </c>
      <c r="K8" s="25">
        <f>SUM(K5:K7)</f>
        <v>100</v>
      </c>
      <c r="L8" s="111">
        <f>+L7</f>
        <v>16</v>
      </c>
      <c r="M8" s="26">
        <f t="shared" si="0"/>
        <v>1639</v>
      </c>
    </row>
    <row r="9" spans="2:18" ht="30">
      <c r="B9" s="237" t="s">
        <v>0</v>
      </c>
      <c r="C9" s="238"/>
      <c r="D9" s="93" t="s">
        <v>99</v>
      </c>
      <c r="E9" s="93" t="s">
        <v>100</v>
      </c>
      <c r="F9" s="93" t="s">
        <v>101</v>
      </c>
      <c r="G9" s="94"/>
      <c r="I9" s="225" t="s">
        <v>2</v>
      </c>
      <c r="J9" s="104" t="s">
        <v>119</v>
      </c>
      <c r="K9" s="104">
        <f>+K8</f>
        <v>100</v>
      </c>
      <c r="L9" s="109">
        <f>+L8</f>
        <v>16</v>
      </c>
      <c r="M9" s="110">
        <f t="shared" si="0"/>
        <v>1639</v>
      </c>
    </row>
    <row r="10" spans="2:18" ht="30">
      <c r="B10" s="239" t="s">
        <v>2</v>
      </c>
      <c r="C10" s="95" t="s">
        <v>103</v>
      </c>
      <c r="D10" s="99">
        <v>100</v>
      </c>
      <c r="E10" s="99"/>
      <c r="F10" s="99">
        <v>0</v>
      </c>
      <c r="G10" s="97"/>
      <c r="I10" s="227"/>
      <c r="J10" s="22" t="s">
        <v>118</v>
      </c>
      <c r="K10" s="22">
        <v>300</v>
      </c>
      <c r="L10" s="106">
        <v>20</v>
      </c>
      <c r="M10" s="23">
        <f t="shared" si="0"/>
        <v>6000</v>
      </c>
    </row>
    <row r="11" spans="2:18" ht="75">
      <c r="B11" s="239"/>
      <c r="C11" s="95" t="s">
        <v>104</v>
      </c>
      <c r="D11" s="95">
        <v>300</v>
      </c>
      <c r="E11" s="96">
        <v>20</v>
      </c>
      <c r="F11" s="95">
        <f>+D11*E11</f>
        <v>6000</v>
      </c>
      <c r="G11" s="97"/>
      <c r="I11" s="227"/>
      <c r="J11" s="22" t="s">
        <v>102</v>
      </c>
      <c r="K11" s="22">
        <f>+SUM(K9:K10)</f>
        <v>400</v>
      </c>
      <c r="L11" s="106">
        <f>+M11/K11</f>
        <v>19</v>
      </c>
      <c r="M11" s="23">
        <f>SUM(M9:M10)</f>
        <v>7640</v>
      </c>
    </row>
    <row r="12" spans="2:18" ht="30">
      <c r="B12" s="239"/>
      <c r="C12" s="95"/>
      <c r="D12" s="95"/>
      <c r="E12" s="96"/>
      <c r="F12" s="95"/>
      <c r="G12" s="98"/>
      <c r="I12" s="227"/>
      <c r="J12" s="22" t="s">
        <v>121</v>
      </c>
      <c r="K12" s="22">
        <v>-400</v>
      </c>
      <c r="L12" s="106">
        <f>+L11</f>
        <v>19</v>
      </c>
      <c r="M12" s="23">
        <f>+K12*L12</f>
        <v>-7640</v>
      </c>
    </row>
    <row r="13" spans="2:18" ht="30">
      <c r="B13" s="239"/>
      <c r="C13" s="95"/>
      <c r="D13" s="99"/>
      <c r="E13" s="96"/>
      <c r="F13" s="99"/>
      <c r="G13" s="100"/>
      <c r="I13" s="226"/>
      <c r="J13" s="25" t="s">
        <v>120</v>
      </c>
      <c r="K13" s="25">
        <f>+K9+K10+K12</f>
        <v>0</v>
      </c>
      <c r="L13" s="111">
        <v>0</v>
      </c>
      <c r="M13" s="26">
        <f>+K13*L13</f>
        <v>0</v>
      </c>
    </row>
    <row r="14" spans="2:18" ht="105">
      <c r="B14" s="240"/>
      <c r="C14" s="233" t="s">
        <v>122</v>
      </c>
      <c r="D14" s="233"/>
      <c r="E14" s="233"/>
      <c r="F14" s="233"/>
      <c r="G14" s="101"/>
    </row>
    <row r="15" spans="2:18">
      <c r="I15" s="234" t="s">
        <v>110</v>
      </c>
      <c r="J15" s="235"/>
      <c r="K15" s="235"/>
      <c r="L15" s="235"/>
      <c r="M15" s="236"/>
    </row>
    <row r="16" spans="2:18" ht="30">
      <c r="I16" s="49" t="s">
        <v>112</v>
      </c>
      <c r="J16" s="36" t="s">
        <v>117</v>
      </c>
      <c r="K16" s="36" t="s">
        <v>114</v>
      </c>
      <c r="L16" s="36" t="s">
        <v>115</v>
      </c>
      <c r="M16" s="37" t="s">
        <v>116</v>
      </c>
    </row>
    <row r="17" spans="3:13" ht="30">
      <c r="I17" s="225" t="str">
        <f>+I4</f>
        <v>MÊS 1</v>
      </c>
      <c r="J17" s="59" t="s">
        <v>119</v>
      </c>
      <c r="K17" s="59">
        <v>0</v>
      </c>
      <c r="L17" s="105">
        <v>0</v>
      </c>
      <c r="M17" s="60">
        <v>0</v>
      </c>
    </row>
    <row r="18" spans="3:13" ht="60">
      <c r="C18" s="87" t="s">
        <v>108</v>
      </c>
      <c r="D18" s="88" t="s">
        <v>107</v>
      </c>
      <c r="E18" s="88" t="s">
        <v>123</v>
      </c>
      <c r="F18" s="88" t="s">
        <v>41</v>
      </c>
      <c r="G18" s="47"/>
      <c r="I18" s="227"/>
      <c r="J18" s="59" t="s">
        <v>118</v>
      </c>
      <c r="K18" s="59">
        <v>200</v>
      </c>
      <c r="L18" s="105">
        <v>14</v>
      </c>
      <c r="M18" s="60">
        <f t="shared" ref="M18:M29" si="1">+K18*L18</f>
        <v>2800</v>
      </c>
    </row>
    <row r="19" spans="3:13" ht="30">
      <c r="C19" s="103" t="s">
        <v>13</v>
      </c>
      <c r="D19" s="104">
        <f>400*20</f>
        <v>8000</v>
      </c>
      <c r="E19" s="104">
        <f>400*25</f>
        <v>10000</v>
      </c>
      <c r="F19" s="104">
        <f>SUM(D19:E19)</f>
        <v>18000</v>
      </c>
      <c r="G19" s="60"/>
      <c r="I19" s="227"/>
      <c r="J19" s="63" t="s">
        <v>118</v>
      </c>
      <c r="K19" s="63">
        <v>300</v>
      </c>
      <c r="L19" s="107">
        <v>18</v>
      </c>
      <c r="M19" s="64">
        <f t="shared" si="1"/>
        <v>5400</v>
      </c>
    </row>
    <row r="20" spans="3:13" ht="30">
      <c r="C20" s="34" t="s">
        <v>14</v>
      </c>
      <c r="D20" s="22">
        <f>-G6*400</f>
        <v>-6559</v>
      </c>
      <c r="E20" s="22">
        <f>+M12</f>
        <v>-7640</v>
      </c>
      <c r="F20" s="22">
        <f>SUM(D20:E20)</f>
        <v>-14200</v>
      </c>
      <c r="G20" s="23"/>
      <c r="I20" s="227"/>
      <c r="J20" s="59" t="s">
        <v>121</v>
      </c>
      <c r="K20" s="59">
        <v>-200</v>
      </c>
      <c r="L20" s="105">
        <f>+L18</f>
        <v>14</v>
      </c>
      <c r="M20" s="60">
        <f t="shared" si="1"/>
        <v>-2800</v>
      </c>
    </row>
    <row r="21" spans="3:13" ht="30">
      <c r="C21" s="77" t="s">
        <v>55</v>
      </c>
      <c r="D21" s="25">
        <f>SUM(D19:D20)</f>
        <v>1440</v>
      </c>
      <c r="E21" s="25">
        <f>SUM(E19:E20)</f>
        <v>2359</v>
      </c>
      <c r="F21" s="25">
        <f>SUM(F19:F20)</f>
        <v>3800</v>
      </c>
      <c r="G21" s="64"/>
      <c r="I21" s="227"/>
      <c r="J21" s="63" t="s">
        <v>121</v>
      </c>
      <c r="K21" s="63">
        <v>-200</v>
      </c>
      <c r="L21" s="107">
        <f>+L19</f>
        <v>18</v>
      </c>
      <c r="M21" s="64">
        <f t="shared" si="1"/>
        <v>-3600</v>
      </c>
    </row>
    <row r="22" spans="3:13" ht="30">
      <c r="C22" s="77" t="s">
        <v>109</v>
      </c>
      <c r="D22" s="25">
        <f>+G6*100</f>
        <v>1639</v>
      </c>
      <c r="E22" s="25">
        <f>+M13</f>
        <v>0</v>
      </c>
      <c r="F22" s="63"/>
      <c r="G22" s="64"/>
      <c r="I22" s="226"/>
      <c r="J22" s="80" t="s">
        <v>120</v>
      </c>
      <c r="K22" s="80">
        <v>100</v>
      </c>
      <c r="L22" s="113">
        <v>18</v>
      </c>
      <c r="M22" s="81">
        <f t="shared" si="1"/>
        <v>1800</v>
      </c>
    </row>
    <row r="23" spans="3:13" ht="30">
      <c r="C23" s="102"/>
      <c r="I23" s="84" t="str">
        <f>+I9</f>
        <v>MÊS 2</v>
      </c>
      <c r="J23" s="104" t="s">
        <v>119</v>
      </c>
      <c r="K23" s="104">
        <f>+K22</f>
        <v>100</v>
      </c>
      <c r="L23" s="109">
        <f>+L22</f>
        <v>18</v>
      </c>
      <c r="M23" s="81">
        <f t="shared" si="1"/>
        <v>1800</v>
      </c>
    </row>
    <row r="24" spans="3:13">
      <c r="C24" s="87" t="s">
        <v>110</v>
      </c>
      <c r="D24" s="88" t="str">
        <f>+D18</f>
        <v>Mês 1</v>
      </c>
      <c r="E24" s="88" t="str">
        <f>+E18</f>
        <v>Mês 2</v>
      </c>
      <c r="F24" s="88" t="s">
        <v>41</v>
      </c>
      <c r="G24" s="47"/>
      <c r="I24" s="86"/>
      <c r="J24" s="67" t="s">
        <v>118</v>
      </c>
      <c r="K24" s="67">
        <v>300</v>
      </c>
      <c r="L24" s="112">
        <v>20</v>
      </c>
      <c r="M24" s="68">
        <f t="shared" si="1"/>
        <v>6000</v>
      </c>
    </row>
    <row r="25" spans="3:13" ht="30">
      <c r="C25" s="103" t="s">
        <v>13</v>
      </c>
      <c r="D25" s="104">
        <f>400*20</f>
        <v>8000</v>
      </c>
      <c r="E25" s="104">
        <f>400*25</f>
        <v>10000</v>
      </c>
      <c r="F25" s="104">
        <f>SUM(D25:E25)</f>
        <v>18000</v>
      </c>
      <c r="G25" s="60"/>
      <c r="I25" s="86"/>
      <c r="J25" s="22" t="s">
        <v>102</v>
      </c>
      <c r="K25" s="22">
        <f>+K23</f>
        <v>100</v>
      </c>
      <c r="L25" s="106">
        <f>+L23</f>
        <v>18</v>
      </c>
      <c r="M25" s="60">
        <f t="shared" si="1"/>
        <v>1800</v>
      </c>
    </row>
    <row r="26" spans="3:13">
      <c r="C26" s="34" t="s">
        <v>14</v>
      </c>
      <c r="D26" s="22">
        <f>-(D4*E4+200*E5)</f>
        <v>-6400</v>
      </c>
      <c r="E26" s="22">
        <f>+SUM(M27:M28)</f>
        <v>-7800</v>
      </c>
      <c r="F26" s="22">
        <f>SUM(D26:E26)</f>
        <v>-14200</v>
      </c>
      <c r="G26" s="23"/>
      <c r="I26" s="86"/>
      <c r="J26" s="63"/>
      <c r="K26" s="63">
        <f>+K24</f>
        <v>300</v>
      </c>
      <c r="L26" s="107">
        <f>+L24</f>
        <v>20</v>
      </c>
      <c r="M26" s="64">
        <f t="shared" si="1"/>
        <v>6000</v>
      </c>
    </row>
    <row r="27" spans="3:13" ht="30">
      <c r="C27" s="77" t="s">
        <v>55</v>
      </c>
      <c r="D27" s="25">
        <f>SUM(D25:D26)</f>
        <v>1600</v>
      </c>
      <c r="E27" s="25">
        <f>SUM(E25:E26)</f>
        <v>2200</v>
      </c>
      <c r="F27" s="25">
        <f>SUM(F25:F26)</f>
        <v>3800</v>
      </c>
      <c r="G27" s="64"/>
      <c r="I27" s="86"/>
      <c r="J27" s="241" t="s">
        <v>124</v>
      </c>
      <c r="K27" s="59">
        <v>-100</v>
      </c>
      <c r="L27" s="105">
        <v>18</v>
      </c>
      <c r="M27" s="60">
        <f t="shared" si="1"/>
        <v>-1800</v>
      </c>
    </row>
    <row r="28" spans="3:13" ht="30">
      <c r="C28" s="77" t="s">
        <v>109</v>
      </c>
      <c r="D28" s="25">
        <f>100*E5</f>
        <v>1800</v>
      </c>
      <c r="E28" s="63">
        <v>0</v>
      </c>
      <c r="F28" s="63"/>
      <c r="G28" s="64"/>
      <c r="I28" s="86"/>
      <c r="J28" s="242"/>
      <c r="K28" s="63">
        <v>-300</v>
      </c>
      <c r="L28" s="107">
        <v>20</v>
      </c>
      <c r="M28" s="64">
        <f t="shared" si="1"/>
        <v>-6000</v>
      </c>
    </row>
    <row r="29" spans="3:13" ht="30">
      <c r="I29" s="85"/>
      <c r="J29" s="25" t="s">
        <v>120</v>
      </c>
      <c r="K29" s="25">
        <v>0</v>
      </c>
      <c r="L29" s="111">
        <v>0</v>
      </c>
      <c r="M29" s="26">
        <f t="shared" si="1"/>
        <v>0</v>
      </c>
    </row>
    <row r="30" spans="3:13">
      <c r="C30" s="87" t="s">
        <v>111</v>
      </c>
      <c r="D30" s="88" t="str">
        <f>+D24</f>
        <v>Mês 1</v>
      </c>
      <c r="E30" s="88" t="str">
        <f>+E24</f>
        <v>Mês 2</v>
      </c>
      <c r="F30" s="88" t="s">
        <v>41</v>
      </c>
      <c r="G30" s="47"/>
    </row>
    <row r="31" spans="3:13" ht="30">
      <c r="C31" s="103" t="s">
        <v>13</v>
      </c>
      <c r="D31" s="104">
        <f>400*20</f>
        <v>8000</v>
      </c>
      <c r="E31" s="104">
        <f>+E25</f>
        <v>10000</v>
      </c>
      <c r="F31" s="104">
        <f>SUM(D31:E31)</f>
        <v>18000</v>
      </c>
      <c r="G31" s="60"/>
      <c r="I31" s="234" t="s">
        <v>111</v>
      </c>
      <c r="J31" s="235"/>
      <c r="K31" s="235"/>
      <c r="L31" s="235"/>
      <c r="M31" s="236"/>
    </row>
    <row r="32" spans="3:13" ht="30">
      <c r="C32" s="34" t="s">
        <v>14</v>
      </c>
      <c r="D32" s="22">
        <f>-(D5*E5+100*E4)</f>
        <v>-6800</v>
      </c>
      <c r="E32" s="22">
        <f>+SUM(M43:M44)</f>
        <v>-7400</v>
      </c>
      <c r="F32" s="22">
        <f>SUM(D32:E32)</f>
        <v>-14200</v>
      </c>
      <c r="G32" s="23"/>
      <c r="I32" s="49" t="s">
        <v>112</v>
      </c>
      <c r="J32" s="36" t="s">
        <v>117</v>
      </c>
      <c r="K32" s="36" t="s">
        <v>114</v>
      </c>
      <c r="L32" s="36" t="s">
        <v>115</v>
      </c>
      <c r="M32" s="37" t="s">
        <v>116</v>
      </c>
    </row>
    <row r="33" spans="3:13" ht="30">
      <c r="C33" s="77" t="s">
        <v>55</v>
      </c>
      <c r="D33" s="25">
        <f>SUM(D31:D32)</f>
        <v>1200</v>
      </c>
      <c r="E33" s="25">
        <f>SUM(E31:E32)</f>
        <v>2600</v>
      </c>
      <c r="F33" s="25">
        <f>SUM(F31:F32)</f>
        <v>3800</v>
      </c>
      <c r="G33" s="64"/>
      <c r="I33" s="225" t="str">
        <f>+I17</f>
        <v>MÊS 1</v>
      </c>
      <c r="J33" s="59" t="s">
        <v>119</v>
      </c>
      <c r="K33" s="59">
        <v>0</v>
      </c>
      <c r="L33" s="105">
        <v>0</v>
      </c>
      <c r="M33" s="60">
        <v>0</v>
      </c>
    </row>
    <row r="34" spans="3:13" ht="30">
      <c r="C34" s="77" t="s">
        <v>109</v>
      </c>
      <c r="D34" s="25">
        <f>100*E4</f>
        <v>1400</v>
      </c>
      <c r="E34" s="25">
        <v>0</v>
      </c>
      <c r="F34" s="63"/>
      <c r="G34" s="64"/>
      <c r="I34" s="227"/>
      <c r="J34" s="59" t="s">
        <v>118</v>
      </c>
      <c r="K34" s="59">
        <v>200</v>
      </c>
      <c r="L34" s="105">
        <v>14</v>
      </c>
      <c r="M34" s="60">
        <f t="shared" ref="M34:M45" si="2">+K34*L34</f>
        <v>2800</v>
      </c>
    </row>
    <row r="35" spans="3:13">
      <c r="I35" s="227"/>
      <c r="J35" s="63" t="s">
        <v>118</v>
      </c>
      <c r="K35" s="63">
        <v>300</v>
      </c>
      <c r="L35" s="107">
        <v>18</v>
      </c>
      <c r="M35" s="64">
        <f t="shared" si="2"/>
        <v>5400</v>
      </c>
    </row>
    <row r="36" spans="3:13" ht="30">
      <c r="I36" s="227"/>
      <c r="J36" s="59" t="s">
        <v>121</v>
      </c>
      <c r="K36" s="59">
        <v>-300</v>
      </c>
      <c r="L36" s="105">
        <v>18</v>
      </c>
      <c r="M36" s="60">
        <f t="shared" si="2"/>
        <v>-5400</v>
      </c>
    </row>
    <row r="37" spans="3:13" ht="30">
      <c r="I37" s="227"/>
      <c r="J37" s="63" t="s">
        <v>121</v>
      </c>
      <c r="K37" s="63">
        <v>-100</v>
      </c>
      <c r="L37" s="107">
        <v>14</v>
      </c>
      <c r="M37" s="64">
        <f t="shared" si="2"/>
        <v>-1400</v>
      </c>
    </row>
    <row r="38" spans="3:13" ht="30">
      <c r="I38" s="227"/>
      <c r="J38" s="104" t="s">
        <v>120</v>
      </c>
      <c r="K38" s="104">
        <v>100</v>
      </c>
      <c r="L38" s="109">
        <v>14</v>
      </c>
      <c r="M38" s="110">
        <f t="shared" si="2"/>
        <v>1400</v>
      </c>
    </row>
    <row r="39" spans="3:13" ht="30">
      <c r="I39" s="225" t="str">
        <f>+I23</f>
        <v>MÊS 2</v>
      </c>
      <c r="J39" s="80" t="s">
        <v>119</v>
      </c>
      <c r="K39" s="80">
        <f>+K38</f>
        <v>100</v>
      </c>
      <c r="L39" s="113">
        <f>+L38</f>
        <v>14</v>
      </c>
      <c r="M39" s="81">
        <f t="shared" si="2"/>
        <v>1400</v>
      </c>
    </row>
    <row r="40" spans="3:13">
      <c r="I40" s="227"/>
      <c r="J40" s="67" t="s">
        <v>118</v>
      </c>
      <c r="K40" s="67">
        <v>300</v>
      </c>
      <c r="L40" s="112">
        <v>20</v>
      </c>
      <c r="M40" s="68">
        <f t="shared" si="2"/>
        <v>6000</v>
      </c>
    </row>
    <row r="41" spans="3:13">
      <c r="I41" s="227"/>
      <c r="J41" s="22" t="s">
        <v>102</v>
      </c>
      <c r="K41" s="22">
        <f>+K39</f>
        <v>100</v>
      </c>
      <c r="L41" s="106">
        <f>+L39</f>
        <v>14</v>
      </c>
      <c r="M41" s="23">
        <f t="shared" si="2"/>
        <v>1400</v>
      </c>
    </row>
    <row r="42" spans="3:13">
      <c r="I42" s="227"/>
      <c r="J42" s="63"/>
      <c r="K42" s="63">
        <f>+K40</f>
        <v>300</v>
      </c>
      <c r="L42" s="107">
        <f>+L40</f>
        <v>20</v>
      </c>
      <c r="M42" s="64">
        <f t="shared" si="2"/>
        <v>6000</v>
      </c>
    </row>
    <row r="43" spans="3:13" ht="30">
      <c r="I43" s="227"/>
      <c r="J43" s="59" t="s">
        <v>121</v>
      </c>
      <c r="K43" s="22">
        <f>-K42</f>
        <v>-300</v>
      </c>
      <c r="L43" s="106">
        <f>+L42</f>
        <v>20</v>
      </c>
      <c r="M43" s="23">
        <f t="shared" si="2"/>
        <v>-6000</v>
      </c>
    </row>
    <row r="44" spans="3:13" ht="30">
      <c r="I44" s="227"/>
      <c r="J44" s="63" t="s">
        <v>121</v>
      </c>
      <c r="K44" s="63">
        <f>-K41</f>
        <v>-100</v>
      </c>
      <c r="L44" s="107">
        <f>+L41</f>
        <v>14</v>
      </c>
      <c r="M44" s="64">
        <f t="shared" si="2"/>
        <v>-1400</v>
      </c>
    </row>
    <row r="45" spans="3:13" ht="30">
      <c r="I45" s="226"/>
      <c r="J45" s="25" t="s">
        <v>120</v>
      </c>
      <c r="K45" s="25">
        <v>0</v>
      </c>
      <c r="L45" s="111">
        <v>0</v>
      </c>
      <c r="M45" s="26">
        <f t="shared" si="2"/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35"/>
  <sheetViews>
    <sheetView workbookViewId="0"/>
  </sheetViews>
  <sheetFormatPr defaultRowHeight="15"/>
  <sheetData>
    <row r="2" spans="2:16" ht="42">
      <c r="C2" s="222" t="s">
        <v>148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</row>
    <row r="3" spans="2:16" ht="30">
      <c r="C3" s="27"/>
      <c r="D3" s="219" t="s">
        <v>19</v>
      </c>
      <c r="E3" s="220"/>
      <c r="F3" s="220"/>
      <c r="G3" s="220"/>
      <c r="H3" s="220"/>
      <c r="I3" s="221"/>
      <c r="J3" s="219" t="s">
        <v>33</v>
      </c>
      <c r="K3" s="220"/>
      <c r="L3" s="220"/>
      <c r="M3" s="220"/>
      <c r="N3" s="220"/>
      <c r="O3" s="220"/>
      <c r="P3" s="221"/>
    </row>
    <row r="4" spans="2:16" ht="25.5">
      <c r="C4" s="28"/>
      <c r="D4" s="28" t="s">
        <v>28</v>
      </c>
      <c r="E4" s="29"/>
      <c r="F4" s="29" t="s">
        <v>29</v>
      </c>
      <c r="G4" s="29" t="s">
        <v>62</v>
      </c>
      <c r="H4" s="29" t="s">
        <v>30</v>
      </c>
      <c r="I4" s="30"/>
      <c r="J4" s="28" t="s">
        <v>36</v>
      </c>
      <c r="K4" s="29" t="s">
        <v>37</v>
      </c>
      <c r="L4" s="29" t="s">
        <v>31</v>
      </c>
      <c r="M4" s="29" t="s">
        <v>32</v>
      </c>
      <c r="N4" s="29"/>
      <c r="O4" s="29"/>
      <c r="P4" s="30"/>
    </row>
    <row r="5" spans="2:16">
      <c r="C5" s="186" t="s">
        <v>34</v>
      </c>
      <c r="D5" s="18">
        <v>0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18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0">
        <v>0</v>
      </c>
    </row>
    <row r="6" spans="2:16">
      <c r="C6" s="83">
        <v>1</v>
      </c>
      <c r="D6" s="66">
        <v>100000</v>
      </c>
      <c r="E6" s="67"/>
      <c r="F6" s="67"/>
      <c r="G6" s="67"/>
      <c r="H6" s="67"/>
      <c r="I6" s="68"/>
      <c r="J6" s="66"/>
      <c r="K6" s="67"/>
      <c r="L6" s="67"/>
      <c r="M6" s="67">
        <v>100000</v>
      </c>
      <c r="N6" s="67"/>
      <c r="O6" s="67"/>
      <c r="P6" s="68"/>
    </row>
    <row r="7" spans="2:16">
      <c r="C7" s="83">
        <v>2</v>
      </c>
      <c r="D7" s="66">
        <v>-20000</v>
      </c>
      <c r="E7" s="67"/>
      <c r="F7" s="67"/>
      <c r="G7" s="67">
        <v>20000</v>
      </c>
      <c r="H7" s="67"/>
      <c r="I7" s="68"/>
      <c r="J7" s="66"/>
      <c r="K7" s="67"/>
      <c r="L7" s="67"/>
      <c r="M7" s="67"/>
      <c r="N7" s="67"/>
      <c r="O7" s="67"/>
      <c r="P7" s="68"/>
    </row>
    <row r="8" spans="2:16">
      <c r="C8" s="83">
        <v>3</v>
      </c>
      <c r="D8" s="66">
        <v>-20000</v>
      </c>
      <c r="E8" s="67"/>
      <c r="F8" s="67">
        <v>50000</v>
      </c>
      <c r="G8" s="67"/>
      <c r="H8" s="67"/>
      <c r="I8" s="68"/>
      <c r="J8" s="66">
        <v>30000</v>
      </c>
      <c r="K8" s="67"/>
      <c r="L8" s="67"/>
      <c r="M8" s="67"/>
      <c r="N8" s="67"/>
      <c r="O8" s="67"/>
      <c r="P8" s="68"/>
    </row>
    <row r="9" spans="2:16">
      <c r="C9" s="83">
        <v>4</v>
      </c>
      <c r="D9" s="66">
        <v>150000</v>
      </c>
      <c r="E9" s="67"/>
      <c r="F9" s="67"/>
      <c r="G9" s="67"/>
      <c r="H9" s="67"/>
      <c r="I9" s="68"/>
      <c r="J9" s="66"/>
      <c r="K9" s="67"/>
      <c r="L9" s="67">
        <v>150000</v>
      </c>
      <c r="M9" s="67"/>
      <c r="N9" s="67"/>
      <c r="O9" s="67"/>
      <c r="P9" s="68"/>
    </row>
    <row r="10" spans="2:16">
      <c r="C10" s="187" t="s">
        <v>35</v>
      </c>
      <c r="D10" s="24">
        <f>SUM(D5:D9)</f>
        <v>210000</v>
      </c>
      <c r="E10" s="25"/>
      <c r="F10" s="25">
        <f t="shared" ref="F10:P10" si="0">SUM(F5:F9)</f>
        <v>50000</v>
      </c>
      <c r="G10" s="25">
        <f t="shared" si="0"/>
        <v>20000</v>
      </c>
      <c r="H10" s="25">
        <f t="shared" si="0"/>
        <v>0</v>
      </c>
      <c r="I10" s="26">
        <f t="shared" si="0"/>
        <v>0</v>
      </c>
      <c r="J10" s="24">
        <f t="shared" si="0"/>
        <v>30000</v>
      </c>
      <c r="K10" s="25">
        <f t="shared" si="0"/>
        <v>0</v>
      </c>
      <c r="L10" s="25">
        <f t="shared" si="0"/>
        <v>150000</v>
      </c>
      <c r="M10" s="25">
        <f t="shared" si="0"/>
        <v>100000</v>
      </c>
      <c r="N10" s="25">
        <f t="shared" si="0"/>
        <v>0</v>
      </c>
      <c r="O10" s="25">
        <f t="shared" si="0"/>
        <v>0</v>
      </c>
      <c r="P10" s="26">
        <f t="shared" si="0"/>
        <v>0</v>
      </c>
    </row>
    <row r="13" spans="2:16" ht="42">
      <c r="B13" s="222" t="s">
        <v>38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4"/>
    </row>
    <row r="14" spans="2:16" ht="30">
      <c r="B14" s="27"/>
      <c r="C14" s="219" t="s">
        <v>19</v>
      </c>
      <c r="D14" s="220"/>
      <c r="E14" s="220"/>
      <c r="F14" s="220"/>
      <c r="G14" s="220"/>
      <c r="H14" s="221"/>
      <c r="I14" s="219" t="s">
        <v>33</v>
      </c>
      <c r="J14" s="220"/>
      <c r="K14" s="220"/>
      <c r="L14" s="220"/>
      <c r="M14" s="220"/>
      <c r="N14" s="221"/>
    </row>
    <row r="15" spans="2:16" ht="25.5">
      <c r="B15" s="28"/>
      <c r="C15" s="28" t="s">
        <v>28</v>
      </c>
      <c r="D15" s="29" t="s">
        <v>23</v>
      </c>
      <c r="E15" s="29" t="s">
        <v>29</v>
      </c>
      <c r="F15" s="29" t="str">
        <f>+G4</f>
        <v>Terreno</v>
      </c>
      <c r="G15" s="29" t="s">
        <v>64</v>
      </c>
      <c r="H15" s="30"/>
      <c r="I15" s="28" t="s">
        <v>36</v>
      </c>
      <c r="J15" s="29" t="s">
        <v>37</v>
      </c>
      <c r="K15" s="29" t="s">
        <v>31</v>
      </c>
      <c r="L15" s="29" t="s">
        <v>32</v>
      </c>
      <c r="M15" s="29" t="s">
        <v>70</v>
      </c>
      <c r="N15" s="30" t="s">
        <v>11</v>
      </c>
      <c r="O15" s="1"/>
    </row>
    <row r="16" spans="2:16">
      <c r="B16" s="18" t="s">
        <v>34</v>
      </c>
      <c r="C16" s="18">
        <f>+D10</f>
        <v>210000</v>
      </c>
      <c r="D16" s="19">
        <f t="shared" ref="D16:L16" si="1">+E10</f>
        <v>0</v>
      </c>
      <c r="E16" s="19">
        <f t="shared" si="1"/>
        <v>50000</v>
      </c>
      <c r="F16" s="19">
        <f t="shared" si="1"/>
        <v>20000</v>
      </c>
      <c r="G16" s="19">
        <f t="shared" si="1"/>
        <v>0</v>
      </c>
      <c r="H16" s="20">
        <f t="shared" si="1"/>
        <v>0</v>
      </c>
      <c r="I16" s="18">
        <f t="shared" si="1"/>
        <v>30000</v>
      </c>
      <c r="J16" s="19">
        <f t="shared" si="1"/>
        <v>0</v>
      </c>
      <c r="K16" s="19">
        <f t="shared" si="1"/>
        <v>150000</v>
      </c>
      <c r="L16" s="19">
        <f t="shared" si="1"/>
        <v>100000</v>
      </c>
      <c r="M16" s="19">
        <f>+O10</f>
        <v>0</v>
      </c>
      <c r="N16" s="20">
        <f>+P10</f>
        <v>0</v>
      </c>
    </row>
    <row r="17" spans="2:14">
      <c r="B17" s="213">
        <v>1</v>
      </c>
      <c r="C17" s="136">
        <v>50000</v>
      </c>
      <c r="D17" s="141">
        <v>10000</v>
      </c>
      <c r="E17" s="141"/>
      <c r="F17" s="141"/>
      <c r="G17" s="141"/>
      <c r="H17" s="60"/>
      <c r="I17" s="136"/>
      <c r="J17" s="141"/>
      <c r="K17" s="141"/>
      <c r="L17" s="141"/>
      <c r="M17" s="141"/>
      <c r="N17" s="60">
        <v>60000</v>
      </c>
    </row>
    <row r="18" spans="2:14">
      <c r="B18" s="214"/>
      <c r="C18" s="137"/>
      <c r="D18" s="142"/>
      <c r="E18" s="142">
        <f>-E16*0.8</f>
        <v>-40000</v>
      </c>
      <c r="F18" s="142"/>
      <c r="G18" s="142"/>
      <c r="H18" s="64"/>
      <c r="I18" s="137"/>
      <c r="J18" s="142"/>
      <c r="K18" s="142"/>
      <c r="L18" s="142"/>
      <c r="M18" s="142"/>
      <c r="N18" s="64">
        <f>+E18</f>
        <v>-40000</v>
      </c>
    </row>
    <row r="19" spans="2:14">
      <c r="B19" s="66">
        <v>2</v>
      </c>
      <c r="C19" s="66">
        <v>-10000</v>
      </c>
      <c r="D19" s="67"/>
      <c r="E19" s="67">
        <v>80000</v>
      </c>
      <c r="F19" s="67"/>
      <c r="G19" s="67"/>
      <c r="H19" s="68"/>
      <c r="I19" s="66">
        <v>70000</v>
      </c>
      <c r="J19" s="67"/>
      <c r="K19" s="67"/>
      <c r="L19" s="67"/>
      <c r="M19" s="67"/>
      <c r="N19" s="68"/>
    </row>
    <row r="20" spans="2:14">
      <c r="B20" s="66">
        <v>3</v>
      </c>
      <c r="C20" s="66">
        <v>-30000</v>
      </c>
      <c r="D20" s="67"/>
      <c r="E20" s="67"/>
      <c r="F20" s="67"/>
      <c r="G20" s="67"/>
      <c r="H20" s="68"/>
      <c r="I20" s="66">
        <v>-30000</v>
      </c>
      <c r="J20" s="67"/>
      <c r="K20" s="67"/>
      <c r="L20" s="67"/>
      <c r="M20" s="67"/>
      <c r="N20" s="68"/>
    </row>
    <row r="21" spans="2:14">
      <c r="B21" s="66">
        <v>4</v>
      </c>
      <c r="C21" s="66">
        <v>-180000</v>
      </c>
      <c r="D21" s="67"/>
      <c r="E21" s="67"/>
      <c r="F21" s="67"/>
      <c r="G21" s="67">
        <v>180000</v>
      </c>
      <c r="H21" s="68"/>
      <c r="I21" s="66"/>
      <c r="J21" s="67"/>
      <c r="K21" s="67"/>
      <c r="L21" s="67"/>
      <c r="M21" s="67"/>
      <c r="N21" s="68"/>
    </row>
    <row r="22" spans="2:14">
      <c r="B22" s="213">
        <v>5</v>
      </c>
      <c r="C22" s="136"/>
      <c r="D22" s="141"/>
      <c r="E22" s="141"/>
      <c r="F22" s="141"/>
      <c r="G22" s="141"/>
      <c r="H22" s="60"/>
      <c r="I22" s="136"/>
      <c r="J22" s="141"/>
      <c r="K22" s="141">
        <v>3000</v>
      </c>
      <c r="L22" s="141"/>
      <c r="M22" s="141"/>
      <c r="N22" s="60">
        <v>-3000</v>
      </c>
    </row>
    <row r="23" spans="2:14">
      <c r="B23" s="214"/>
      <c r="C23" s="137">
        <v>-3000</v>
      </c>
      <c r="D23" s="142"/>
      <c r="E23" s="142"/>
      <c r="F23" s="142"/>
      <c r="G23" s="142"/>
      <c r="H23" s="64"/>
      <c r="I23" s="137"/>
      <c r="J23" s="142"/>
      <c r="K23" s="142">
        <v>-3000</v>
      </c>
      <c r="L23" s="142"/>
      <c r="M23" s="142"/>
      <c r="N23" s="64"/>
    </row>
    <row r="24" spans="2:14">
      <c r="B24" s="66"/>
      <c r="C24" s="66"/>
      <c r="D24" s="67"/>
      <c r="E24" s="67"/>
      <c r="F24" s="67"/>
      <c r="G24" s="67"/>
      <c r="H24" s="68"/>
      <c r="I24" s="66"/>
      <c r="J24" s="67"/>
      <c r="K24" s="67"/>
      <c r="L24" s="67"/>
      <c r="M24" s="67">
        <f>-N24</f>
        <v>17000</v>
      </c>
      <c r="N24" s="68">
        <f>-SUM(N17:N23)</f>
        <v>-17000</v>
      </c>
    </row>
    <row r="25" spans="2:14">
      <c r="B25" s="2" t="s">
        <v>35</v>
      </c>
      <c r="C25" s="24">
        <f t="shared" ref="C25:N25" si="2">SUM(C16:C24)</f>
        <v>37000</v>
      </c>
      <c r="D25" s="25">
        <f t="shared" si="2"/>
        <v>10000</v>
      </c>
      <c r="E25" s="25">
        <f t="shared" si="2"/>
        <v>90000</v>
      </c>
      <c r="F25" s="25">
        <f t="shared" si="2"/>
        <v>20000</v>
      </c>
      <c r="G25" s="25">
        <f t="shared" si="2"/>
        <v>180000</v>
      </c>
      <c r="H25" s="26">
        <f t="shared" si="2"/>
        <v>0</v>
      </c>
      <c r="I25" s="24">
        <f t="shared" si="2"/>
        <v>70000</v>
      </c>
      <c r="J25" s="25">
        <f t="shared" si="2"/>
        <v>0</v>
      </c>
      <c r="K25" s="25">
        <f t="shared" si="2"/>
        <v>150000</v>
      </c>
      <c r="L25" s="25">
        <f t="shared" si="2"/>
        <v>100000</v>
      </c>
      <c r="M25" s="25">
        <f t="shared" si="2"/>
        <v>17000</v>
      </c>
      <c r="N25" s="26">
        <f t="shared" si="2"/>
        <v>0</v>
      </c>
    </row>
    <row r="28" spans="2:14">
      <c r="C28" s="1" t="s">
        <v>19</v>
      </c>
      <c r="E28" s="1">
        <f>+SUM(C25:H25)</f>
        <v>337000</v>
      </c>
    </row>
    <row r="29" spans="2:14">
      <c r="C29" s="1" t="s">
        <v>20</v>
      </c>
      <c r="E29" s="1">
        <f>+SUM(I25:N25)</f>
        <v>337000</v>
      </c>
    </row>
    <row r="32" spans="2:14" ht="42">
      <c r="B32" s="222" t="s">
        <v>61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</row>
    <row r="33" spans="2:14" ht="30">
      <c r="B33" s="27"/>
      <c r="C33" s="219" t="s">
        <v>19</v>
      </c>
      <c r="D33" s="220"/>
      <c r="E33" s="220"/>
      <c r="F33" s="220"/>
      <c r="G33" s="220"/>
      <c r="H33" s="221"/>
      <c r="I33" s="219" t="s">
        <v>33</v>
      </c>
      <c r="J33" s="220"/>
      <c r="K33" s="220"/>
      <c r="L33" s="220"/>
      <c r="M33" s="220"/>
      <c r="N33" s="221"/>
    </row>
    <row r="34" spans="2:14" ht="25.5">
      <c r="B34" s="28"/>
      <c r="C34" s="28" t="s">
        <v>28</v>
      </c>
      <c r="D34" s="29" t="s">
        <v>67</v>
      </c>
      <c r="E34" s="29" t="s">
        <v>29</v>
      </c>
      <c r="F34" s="29" t="s">
        <v>62</v>
      </c>
      <c r="G34" s="29" t="s">
        <v>63</v>
      </c>
      <c r="H34" s="30" t="s">
        <v>68</v>
      </c>
      <c r="I34" s="28" t="s">
        <v>36</v>
      </c>
      <c r="J34" s="29" t="s">
        <v>37</v>
      </c>
      <c r="K34" s="29" t="s">
        <v>31</v>
      </c>
      <c r="L34" s="29" t="s">
        <v>32</v>
      </c>
      <c r="M34" s="29" t="s">
        <v>66</v>
      </c>
      <c r="N34" s="30" t="s">
        <v>65</v>
      </c>
    </row>
    <row r="35" spans="2:14">
      <c r="B35" s="188" t="s">
        <v>34</v>
      </c>
      <c r="C35" s="79">
        <f>+C25</f>
        <v>37000</v>
      </c>
      <c r="D35" s="80">
        <f t="shared" ref="D35:N35" si="3">+D25</f>
        <v>10000</v>
      </c>
      <c r="E35" s="80">
        <f t="shared" si="3"/>
        <v>90000</v>
      </c>
      <c r="F35" s="80">
        <f t="shared" si="3"/>
        <v>20000</v>
      </c>
      <c r="G35" s="80">
        <f t="shared" si="3"/>
        <v>180000</v>
      </c>
      <c r="H35" s="81">
        <f t="shared" si="3"/>
        <v>0</v>
      </c>
      <c r="I35" s="79">
        <f t="shared" si="3"/>
        <v>70000</v>
      </c>
      <c r="J35" s="80">
        <f t="shared" si="3"/>
        <v>0</v>
      </c>
      <c r="K35" s="80">
        <f t="shared" si="3"/>
        <v>150000</v>
      </c>
      <c r="L35" s="80">
        <f t="shared" si="3"/>
        <v>100000</v>
      </c>
      <c r="M35" s="80">
        <f t="shared" si="3"/>
        <v>17000</v>
      </c>
      <c r="N35" s="81">
        <f t="shared" si="3"/>
        <v>0</v>
      </c>
    </row>
    <row r="36" spans="2:14">
      <c r="B36" s="83">
        <v>1</v>
      </c>
      <c r="C36" s="67">
        <v>10000</v>
      </c>
      <c r="D36" s="67">
        <v>-10000</v>
      </c>
      <c r="E36" s="67"/>
      <c r="F36" s="67"/>
      <c r="G36" s="67"/>
      <c r="H36" s="68"/>
      <c r="I36" s="67"/>
      <c r="J36" s="67"/>
      <c r="K36" s="67"/>
      <c r="L36" s="67"/>
      <c r="M36" s="67"/>
      <c r="N36" s="68"/>
    </row>
    <row r="37" spans="2:14">
      <c r="B37" s="213">
        <v>2</v>
      </c>
      <c r="C37" s="141">
        <v>130000</v>
      </c>
      <c r="D37" s="141">
        <v>20000</v>
      </c>
      <c r="E37" s="141"/>
      <c r="F37" s="141"/>
      <c r="G37" s="141"/>
      <c r="H37" s="60"/>
      <c r="I37" s="141"/>
      <c r="J37" s="141"/>
      <c r="K37" s="141"/>
      <c r="L37" s="141"/>
      <c r="M37" s="141"/>
      <c r="N37" s="60">
        <v>150000</v>
      </c>
    </row>
    <row r="38" spans="2:14">
      <c r="B38" s="214"/>
      <c r="C38" s="142"/>
      <c r="D38" s="142"/>
      <c r="E38" s="142">
        <v>-90000</v>
      </c>
      <c r="F38" s="142"/>
      <c r="G38" s="142"/>
      <c r="H38" s="64"/>
      <c r="I38" s="142"/>
      <c r="J38" s="142"/>
      <c r="K38" s="142"/>
      <c r="L38" s="142"/>
      <c r="M38" s="142"/>
      <c r="N38" s="64">
        <v>-90000</v>
      </c>
    </row>
    <row r="39" spans="2:14">
      <c r="B39" s="83">
        <v>3</v>
      </c>
      <c r="C39" s="67">
        <v>-70000</v>
      </c>
      <c r="D39" s="67"/>
      <c r="E39" s="67"/>
      <c r="F39" s="67"/>
      <c r="G39" s="67"/>
      <c r="H39" s="68"/>
      <c r="I39" s="67">
        <v>-70000</v>
      </c>
      <c r="J39" s="67"/>
      <c r="K39" s="67"/>
      <c r="L39" s="67"/>
      <c r="M39" s="67"/>
      <c r="N39" s="68"/>
    </row>
    <row r="40" spans="2:14">
      <c r="B40" s="213">
        <v>4</v>
      </c>
      <c r="C40" s="141"/>
      <c r="D40" s="141"/>
      <c r="E40" s="141"/>
      <c r="F40" s="141"/>
      <c r="G40" s="141"/>
      <c r="H40" s="60"/>
      <c r="I40" s="141"/>
      <c r="J40" s="141"/>
      <c r="K40" s="141">
        <v>2000</v>
      </c>
      <c r="L40" s="141"/>
      <c r="M40" s="141"/>
      <c r="N40" s="60">
        <v>-2000</v>
      </c>
    </row>
    <row r="41" spans="2:14">
      <c r="B41" s="214"/>
      <c r="C41" s="142">
        <v>-2000</v>
      </c>
      <c r="D41" s="142"/>
      <c r="E41" s="142"/>
      <c r="F41" s="142"/>
      <c r="G41" s="142"/>
      <c r="H41" s="64"/>
      <c r="I41" s="142"/>
      <c r="J41" s="142"/>
      <c r="K41" s="142">
        <v>-2000</v>
      </c>
      <c r="L41" s="142"/>
      <c r="M41" s="142"/>
      <c r="N41" s="64"/>
    </row>
    <row r="42" spans="2:14">
      <c r="B42" s="83">
        <v>5</v>
      </c>
      <c r="C42" s="67">
        <v>-10000</v>
      </c>
      <c r="D42" s="67"/>
      <c r="E42" s="67">
        <v>100000</v>
      </c>
      <c r="F42" s="67"/>
      <c r="G42" s="67"/>
      <c r="H42" s="68"/>
      <c r="I42" s="67">
        <v>90000</v>
      </c>
      <c r="J42" s="67"/>
      <c r="K42" s="67"/>
      <c r="L42" s="67"/>
      <c r="M42" s="67"/>
      <c r="N42" s="68"/>
    </row>
    <row r="43" spans="2:14">
      <c r="B43" s="83">
        <v>6</v>
      </c>
      <c r="C43" s="67">
        <v>-50000</v>
      </c>
      <c r="D43" s="67"/>
      <c r="E43" s="67"/>
      <c r="F43" s="67"/>
      <c r="G43" s="67"/>
      <c r="H43" s="68"/>
      <c r="I43" s="67"/>
      <c r="J43" s="67"/>
      <c r="K43" s="67">
        <f>-150000/3</f>
        <v>-50000</v>
      </c>
      <c r="L43" s="67"/>
      <c r="M43" s="67"/>
      <c r="N43" s="68"/>
    </row>
    <row r="44" spans="2:14">
      <c r="B44" s="83">
        <v>7</v>
      </c>
      <c r="C44" s="67"/>
      <c r="D44" s="67"/>
      <c r="E44" s="67"/>
      <c r="F44" s="67"/>
      <c r="G44" s="67"/>
      <c r="H44" s="68">
        <v>-3000</v>
      </c>
      <c r="I44" s="67"/>
      <c r="J44" s="67"/>
      <c r="K44" s="67"/>
      <c r="L44" s="67"/>
      <c r="M44" s="67"/>
      <c r="N44" s="68">
        <v>-3000</v>
      </c>
    </row>
    <row r="45" spans="2:14">
      <c r="B45" s="83"/>
      <c r="C45" s="67"/>
      <c r="D45" s="67"/>
      <c r="E45" s="67"/>
      <c r="F45" s="67"/>
      <c r="G45" s="67"/>
      <c r="H45" s="68"/>
      <c r="I45" s="67"/>
      <c r="J45" s="67"/>
      <c r="K45" s="67"/>
      <c r="L45" s="67"/>
      <c r="M45" s="72">
        <f>-N45</f>
        <v>55000</v>
      </c>
      <c r="N45" s="69">
        <f>-SUM(N35:N44)</f>
        <v>-55000</v>
      </c>
    </row>
    <row r="46" spans="2:14">
      <c r="B46" s="187" t="s">
        <v>35</v>
      </c>
      <c r="C46" s="24">
        <f t="shared" ref="C46:N46" si="4">SUM(C35:C45)</f>
        <v>45000</v>
      </c>
      <c r="D46" s="25">
        <f t="shared" si="4"/>
        <v>20000</v>
      </c>
      <c r="E46" s="25">
        <f t="shared" si="4"/>
        <v>100000</v>
      </c>
      <c r="F46" s="25">
        <f t="shared" si="4"/>
        <v>20000</v>
      </c>
      <c r="G46" s="25">
        <f t="shared" si="4"/>
        <v>180000</v>
      </c>
      <c r="H46" s="26">
        <f t="shared" si="4"/>
        <v>-3000</v>
      </c>
      <c r="I46" s="24">
        <f t="shared" si="4"/>
        <v>90000</v>
      </c>
      <c r="J46" s="25">
        <f t="shared" si="4"/>
        <v>0</v>
      </c>
      <c r="K46" s="25">
        <f t="shared" si="4"/>
        <v>100000</v>
      </c>
      <c r="L46" s="25">
        <f t="shared" si="4"/>
        <v>100000</v>
      </c>
      <c r="M46" s="25">
        <f t="shared" si="4"/>
        <v>72000</v>
      </c>
      <c r="N46" s="26">
        <f t="shared" si="4"/>
        <v>0</v>
      </c>
    </row>
    <row r="49" spans="2:15">
      <c r="C49" s="1" t="s">
        <v>19</v>
      </c>
      <c r="E49" s="1">
        <f>+SUM(C46:H46)</f>
        <v>362000</v>
      </c>
    </row>
    <row r="50" spans="2:15">
      <c r="C50" s="1" t="s">
        <v>20</v>
      </c>
      <c r="E50" s="1">
        <f>+SUM(I46:N46)</f>
        <v>362000</v>
      </c>
    </row>
    <row r="53" spans="2:15" ht="21">
      <c r="B53" s="222" t="s">
        <v>93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4"/>
    </row>
    <row r="54" spans="2:15" ht="30">
      <c r="B54" s="27"/>
      <c r="C54" s="219" t="s">
        <v>19</v>
      </c>
      <c r="D54" s="220"/>
      <c r="E54" s="220"/>
      <c r="F54" s="220"/>
      <c r="G54" s="220"/>
      <c r="H54" s="221"/>
      <c r="I54" s="219" t="s">
        <v>33</v>
      </c>
      <c r="J54" s="220"/>
      <c r="K54" s="220"/>
      <c r="L54" s="220"/>
      <c r="M54" s="220"/>
      <c r="N54" s="220"/>
      <c r="O54" s="221"/>
    </row>
    <row r="55" spans="2:15" ht="25.5">
      <c r="B55" s="28"/>
      <c r="C55" s="28" t="s">
        <v>28</v>
      </c>
      <c r="D55" s="29" t="s">
        <v>67</v>
      </c>
      <c r="E55" s="29" t="s">
        <v>29</v>
      </c>
      <c r="F55" s="29" t="s">
        <v>62</v>
      </c>
      <c r="G55" s="29" t="s">
        <v>63</v>
      </c>
      <c r="H55" s="30" t="s">
        <v>68</v>
      </c>
      <c r="I55" s="28" t="s">
        <v>36</v>
      </c>
      <c r="J55" s="29" t="s">
        <v>37</v>
      </c>
      <c r="K55" s="29" t="s">
        <v>31</v>
      </c>
      <c r="L55" s="29" t="s">
        <v>32</v>
      </c>
      <c r="M55" s="29" t="s">
        <v>66</v>
      </c>
      <c r="N55" s="29"/>
      <c r="O55" s="30" t="s">
        <v>65</v>
      </c>
    </row>
    <row r="56" spans="2:15">
      <c r="B56" s="89" t="s">
        <v>34</v>
      </c>
      <c r="C56" s="89">
        <f>+C46</f>
        <v>45000</v>
      </c>
      <c r="D56" s="104">
        <f t="shared" ref="D56:H56" si="5">+D46</f>
        <v>20000</v>
      </c>
      <c r="E56" s="104">
        <f t="shared" si="5"/>
        <v>100000</v>
      </c>
      <c r="F56" s="104">
        <f t="shared" si="5"/>
        <v>20000</v>
      </c>
      <c r="G56" s="104">
        <f t="shared" si="5"/>
        <v>180000</v>
      </c>
      <c r="H56" s="104">
        <f t="shared" si="5"/>
        <v>-3000</v>
      </c>
      <c r="I56" s="89">
        <f t="shared" ref="I56:M56" si="6">+I46</f>
        <v>90000</v>
      </c>
      <c r="J56" s="104">
        <f t="shared" si="6"/>
        <v>0</v>
      </c>
      <c r="K56" s="104">
        <f t="shared" si="6"/>
        <v>100000</v>
      </c>
      <c r="L56" s="104">
        <f t="shared" si="6"/>
        <v>100000</v>
      </c>
      <c r="M56" s="104">
        <f t="shared" si="6"/>
        <v>72000</v>
      </c>
      <c r="N56" s="104"/>
      <c r="O56" s="116">
        <f>+N46</f>
        <v>0</v>
      </c>
    </row>
    <row r="57" spans="2:15">
      <c r="B57" s="83">
        <v>1</v>
      </c>
      <c r="C57" s="67">
        <v>20000</v>
      </c>
      <c r="D57" s="67">
        <v>-20000</v>
      </c>
      <c r="E57" s="67"/>
      <c r="F57" s="67"/>
      <c r="G57" s="67"/>
      <c r="H57" s="68"/>
      <c r="I57" s="67"/>
      <c r="J57" s="67"/>
      <c r="K57" s="67"/>
      <c r="L57" s="67"/>
      <c r="M57" s="67"/>
      <c r="N57" s="67"/>
      <c r="O57" s="69"/>
    </row>
    <row r="58" spans="2:15">
      <c r="B58" s="213">
        <v>2</v>
      </c>
      <c r="C58" s="184">
        <v>130000</v>
      </c>
      <c r="D58" s="184">
        <v>50000</v>
      </c>
      <c r="E58" s="184"/>
      <c r="F58" s="184"/>
      <c r="G58" s="184"/>
      <c r="H58" s="60"/>
      <c r="I58" s="184"/>
      <c r="J58" s="184"/>
      <c r="K58" s="184"/>
      <c r="L58" s="184"/>
      <c r="M58" s="184"/>
      <c r="N58" s="184"/>
      <c r="O58" s="61">
        <v>180000</v>
      </c>
    </row>
    <row r="59" spans="2:15">
      <c r="B59" s="214"/>
      <c r="C59" s="185"/>
      <c r="D59" s="185"/>
      <c r="E59" s="185">
        <v>-100000</v>
      </c>
      <c r="F59" s="185"/>
      <c r="G59" s="185"/>
      <c r="H59" s="64"/>
      <c r="I59" s="185"/>
      <c r="J59" s="185"/>
      <c r="K59" s="185"/>
      <c r="L59" s="185"/>
      <c r="M59" s="185"/>
      <c r="N59" s="185"/>
      <c r="O59" s="65">
        <v>-100000</v>
      </c>
    </row>
    <row r="60" spans="2:15">
      <c r="B60" s="83">
        <v>3</v>
      </c>
      <c r="C60" s="67">
        <v>-90000</v>
      </c>
      <c r="D60" s="67"/>
      <c r="E60" s="67"/>
      <c r="F60" s="67"/>
      <c r="G60" s="67"/>
      <c r="H60" s="68"/>
      <c r="I60" s="67">
        <v>-90000</v>
      </c>
      <c r="J60" s="67"/>
      <c r="K60" s="67"/>
      <c r="L60" s="67"/>
      <c r="M60" s="67"/>
      <c r="N60" s="67"/>
      <c r="O60" s="69"/>
    </row>
    <row r="61" spans="2:15">
      <c r="B61" s="213">
        <v>4</v>
      </c>
      <c r="C61" s="184"/>
      <c r="D61" s="184"/>
      <c r="E61" s="184"/>
      <c r="F61" s="184"/>
      <c r="G61" s="184"/>
      <c r="H61" s="60"/>
      <c r="I61" s="184"/>
      <c r="J61" s="184"/>
      <c r="K61" s="184">
        <v>2000</v>
      </c>
      <c r="L61" s="184"/>
      <c r="M61" s="184"/>
      <c r="N61" s="184"/>
      <c r="O61" s="61">
        <v>-2000</v>
      </c>
    </row>
    <row r="62" spans="2:15">
      <c r="B62" s="214"/>
      <c r="C62" s="185">
        <v>-2000</v>
      </c>
      <c r="D62" s="185"/>
      <c r="E62" s="185"/>
      <c r="F62" s="185"/>
      <c r="G62" s="185"/>
      <c r="H62" s="64"/>
      <c r="I62" s="185"/>
      <c r="J62" s="185"/>
      <c r="K62" s="185">
        <v>-2000</v>
      </c>
      <c r="L62" s="185"/>
      <c r="M62" s="185"/>
      <c r="N62" s="185"/>
      <c r="O62" s="65"/>
    </row>
    <row r="63" spans="2:15">
      <c r="B63" s="83">
        <v>5</v>
      </c>
      <c r="C63" s="67">
        <v>-100000</v>
      </c>
      <c r="D63" s="67"/>
      <c r="E63" s="67">
        <v>150000</v>
      </c>
      <c r="F63" s="67"/>
      <c r="G63" s="67"/>
      <c r="H63" s="68"/>
      <c r="I63" s="67">
        <v>50000</v>
      </c>
      <c r="J63" s="67"/>
      <c r="K63" s="67"/>
      <c r="L63" s="67"/>
      <c r="M63" s="67"/>
      <c r="N63" s="67"/>
      <c r="O63" s="69"/>
    </row>
    <row r="64" spans="2:15">
      <c r="B64" s="83">
        <v>6</v>
      </c>
      <c r="C64" s="67"/>
      <c r="D64" s="67"/>
      <c r="E64" s="67"/>
      <c r="F64" s="67"/>
      <c r="G64" s="67"/>
      <c r="H64" s="68">
        <f>+O64</f>
        <v>-3000</v>
      </c>
      <c r="I64" s="67"/>
      <c r="J64" s="67"/>
      <c r="K64" s="67"/>
      <c r="L64" s="67"/>
      <c r="M64" s="67"/>
      <c r="N64" s="67"/>
      <c r="O64" s="69">
        <f>-180000/60</f>
        <v>-3000</v>
      </c>
    </row>
    <row r="65" spans="2:19">
      <c r="B65" s="83">
        <v>7</v>
      </c>
      <c r="C65" s="67"/>
      <c r="D65" s="67"/>
      <c r="E65" s="67"/>
      <c r="F65" s="67"/>
      <c r="G65" s="67"/>
      <c r="H65" s="68"/>
      <c r="I65" s="67"/>
      <c r="J65" s="67">
        <v>10000</v>
      </c>
      <c r="K65" s="67"/>
      <c r="L65" s="67"/>
      <c r="M65" s="67"/>
      <c r="N65" s="67"/>
      <c r="O65" s="69">
        <v>-10000</v>
      </c>
    </row>
    <row r="66" spans="2:19">
      <c r="B66" s="83">
        <v>8</v>
      </c>
      <c r="C66" s="67"/>
      <c r="D66" s="67"/>
      <c r="E66" s="67"/>
      <c r="F66" s="67"/>
      <c r="G66" s="67"/>
      <c r="H66" s="68"/>
      <c r="I66" s="67"/>
      <c r="J66" s="67">
        <v>5000</v>
      </c>
      <c r="K66" s="67"/>
      <c r="L66" s="67"/>
      <c r="M66" s="67"/>
      <c r="N66" s="67"/>
      <c r="O66" s="69">
        <v>-5000</v>
      </c>
    </row>
    <row r="67" spans="2:19">
      <c r="B67" s="182" t="s">
        <v>95</v>
      </c>
      <c r="C67" s="183"/>
      <c r="D67" s="185"/>
      <c r="E67" s="185"/>
      <c r="F67" s="185"/>
      <c r="G67" s="185"/>
      <c r="H67" s="64"/>
      <c r="I67" s="183"/>
      <c r="J67" s="185"/>
      <c r="K67" s="185"/>
      <c r="L67" s="185"/>
      <c r="M67" s="117">
        <f>-O67</f>
        <v>60000</v>
      </c>
      <c r="O67" s="65">
        <f>-SUM(O57:O66)</f>
        <v>-60000</v>
      </c>
    </row>
    <row r="68" spans="2:19">
      <c r="B68" s="2" t="s">
        <v>35</v>
      </c>
      <c r="C68" s="24">
        <f t="shared" ref="C68:O68" si="7">SUM(C56:C67)</f>
        <v>3000</v>
      </c>
      <c r="D68" s="25">
        <f t="shared" si="7"/>
        <v>50000</v>
      </c>
      <c r="E68" s="25">
        <f t="shared" si="7"/>
        <v>150000</v>
      </c>
      <c r="F68" s="25">
        <f t="shared" si="7"/>
        <v>20000</v>
      </c>
      <c r="G68" s="25">
        <f t="shared" si="7"/>
        <v>180000</v>
      </c>
      <c r="H68" s="26">
        <f t="shared" si="7"/>
        <v>-6000</v>
      </c>
      <c r="I68" s="24">
        <f t="shared" si="7"/>
        <v>50000</v>
      </c>
      <c r="J68" s="25">
        <f t="shared" si="7"/>
        <v>15000</v>
      </c>
      <c r="K68" s="25">
        <f t="shared" si="7"/>
        <v>100000</v>
      </c>
      <c r="L68" s="25">
        <f t="shared" si="7"/>
        <v>100000</v>
      </c>
      <c r="M68" s="25">
        <f t="shared" si="7"/>
        <v>132000</v>
      </c>
      <c r="N68" s="25">
        <f t="shared" si="7"/>
        <v>0</v>
      </c>
      <c r="O68" s="57">
        <f t="shared" si="7"/>
        <v>0</v>
      </c>
    </row>
    <row r="71" spans="2:19">
      <c r="C71" s="1" t="s">
        <v>19</v>
      </c>
      <c r="E71" s="1">
        <f>SUM(C68:H68)</f>
        <v>397000</v>
      </c>
      <c r="I71" s="78">
        <v>37539</v>
      </c>
    </row>
    <row r="72" spans="2:19">
      <c r="C72" s="1" t="s">
        <v>20</v>
      </c>
      <c r="E72" s="1">
        <f>+SUM(I68:O68)</f>
        <v>397000</v>
      </c>
      <c r="I72" s="78">
        <v>35713</v>
      </c>
    </row>
    <row r="73" spans="2:19">
      <c r="I73" s="1">
        <f>+I72-I71</f>
        <v>-1826</v>
      </c>
      <c r="J73" s="1" t="s">
        <v>94</v>
      </c>
    </row>
    <row r="75" spans="2:19" ht="21">
      <c r="B75" s="216" t="s">
        <v>96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8"/>
    </row>
    <row r="76" spans="2:19" ht="30">
      <c r="B76" s="27"/>
      <c r="C76" s="219" t="s">
        <v>19</v>
      </c>
      <c r="D76" s="220"/>
      <c r="E76" s="220"/>
      <c r="F76" s="220"/>
      <c r="G76" s="220"/>
      <c r="H76" s="220"/>
      <c r="I76" s="221"/>
      <c r="J76" s="219" t="s">
        <v>33</v>
      </c>
      <c r="K76" s="220"/>
      <c r="L76" s="220"/>
      <c r="M76" s="220"/>
      <c r="N76" s="220"/>
      <c r="O76" s="220"/>
      <c r="P76" s="220"/>
      <c r="Q76" s="220"/>
      <c r="R76" s="220"/>
      <c r="S76" s="221"/>
    </row>
    <row r="77" spans="2:19" ht="25.5">
      <c r="B77" s="28"/>
      <c r="C77" s="28" t="s">
        <v>28</v>
      </c>
      <c r="D77" s="29" t="s">
        <v>67</v>
      </c>
      <c r="E77" s="29" t="s">
        <v>29</v>
      </c>
      <c r="F77" s="29" t="s">
        <v>127</v>
      </c>
      <c r="G77" s="29" t="s">
        <v>62</v>
      </c>
      <c r="H77" s="29" t="s">
        <v>63</v>
      </c>
      <c r="I77" s="30" t="s">
        <v>68</v>
      </c>
      <c r="J77" s="28" t="s">
        <v>36</v>
      </c>
      <c r="K77" s="29" t="s">
        <v>37</v>
      </c>
      <c r="L77" s="29" t="s">
        <v>126</v>
      </c>
      <c r="M77" s="29" t="s">
        <v>128</v>
      </c>
      <c r="N77" s="29" t="s">
        <v>31</v>
      </c>
      <c r="O77" s="29" t="s">
        <v>129</v>
      </c>
      <c r="P77" s="29" t="s">
        <v>32</v>
      </c>
      <c r="Q77" s="29"/>
      <c r="R77" s="29" t="s">
        <v>66</v>
      </c>
      <c r="S77" s="30" t="s">
        <v>65</v>
      </c>
    </row>
    <row r="78" spans="2:19">
      <c r="B78" s="89" t="s">
        <v>34</v>
      </c>
      <c r="C78" s="89">
        <f>+C68</f>
        <v>3000</v>
      </c>
      <c r="D78" s="104">
        <f t="shared" ref="D78:E78" si="8">+D68</f>
        <v>50000</v>
      </c>
      <c r="E78" s="104">
        <f t="shared" si="8"/>
        <v>150000</v>
      </c>
      <c r="F78" s="104">
        <v>0</v>
      </c>
      <c r="G78" s="104">
        <v>8000</v>
      </c>
      <c r="H78" s="104">
        <v>10000</v>
      </c>
      <c r="I78" s="110">
        <f>+H68</f>
        <v>-6000</v>
      </c>
      <c r="J78" s="89">
        <f>+I68</f>
        <v>50000</v>
      </c>
      <c r="K78" s="104">
        <f>+J68</f>
        <v>15000</v>
      </c>
      <c r="L78" s="104">
        <v>0</v>
      </c>
      <c r="M78" s="104">
        <v>0</v>
      </c>
      <c r="N78" s="104">
        <f>+K68</f>
        <v>100000</v>
      </c>
      <c r="O78" s="104">
        <v>0</v>
      </c>
      <c r="P78" s="104">
        <f>+L68</f>
        <v>100000</v>
      </c>
      <c r="Q78" s="104">
        <f>+M68</f>
        <v>132000</v>
      </c>
      <c r="R78" s="104">
        <f>+N68</f>
        <v>0</v>
      </c>
      <c r="S78" s="116">
        <f>+O68</f>
        <v>0</v>
      </c>
    </row>
    <row r="79" spans="2:19">
      <c r="B79" s="66">
        <v>1</v>
      </c>
      <c r="C79" s="76">
        <v>5000</v>
      </c>
      <c r="D79" s="67">
        <v>-5000</v>
      </c>
      <c r="E79" s="67"/>
      <c r="F79" s="67"/>
      <c r="G79" s="67"/>
      <c r="H79" s="67"/>
      <c r="I79" s="67"/>
      <c r="J79" s="66"/>
      <c r="K79" s="67"/>
      <c r="L79" s="67"/>
      <c r="M79" s="67"/>
      <c r="N79" s="67"/>
      <c r="O79" s="67"/>
      <c r="P79" s="67"/>
      <c r="Q79" s="67"/>
      <c r="R79" s="67"/>
      <c r="S79" s="69"/>
    </row>
    <row r="80" spans="2:19">
      <c r="B80" s="83">
        <v>2</v>
      </c>
      <c r="C80" s="76">
        <v>15000</v>
      </c>
      <c r="D80" s="67"/>
      <c r="E80" s="67"/>
      <c r="F80" s="67"/>
      <c r="G80" s="67"/>
      <c r="H80" s="67"/>
      <c r="I80" s="67"/>
      <c r="J80" s="66"/>
      <c r="K80" s="67"/>
      <c r="L80" s="67">
        <v>15000</v>
      </c>
      <c r="M80" s="67"/>
      <c r="N80" s="67"/>
      <c r="O80" s="67"/>
      <c r="P80" s="67"/>
      <c r="Q80" s="67"/>
      <c r="R80" s="67"/>
      <c r="S80" s="69"/>
    </row>
    <row r="81" spans="2:19">
      <c r="B81" s="213">
        <v>3</v>
      </c>
      <c r="C81" s="73">
        <v>13000</v>
      </c>
      <c r="D81" s="133">
        <v>2000</v>
      </c>
      <c r="E81" s="133"/>
      <c r="F81" s="133"/>
      <c r="G81" s="133"/>
      <c r="H81" s="133"/>
      <c r="I81" s="133"/>
      <c r="J81" s="131"/>
      <c r="K81" s="133"/>
      <c r="L81" s="133"/>
      <c r="M81" s="133"/>
      <c r="N81" s="133"/>
      <c r="O81" s="133"/>
      <c r="P81" s="133"/>
      <c r="Q81" s="133"/>
      <c r="R81" s="133"/>
      <c r="S81" s="61">
        <v>15000</v>
      </c>
    </row>
    <row r="82" spans="2:19">
      <c r="B82" s="214"/>
      <c r="C82" s="75"/>
      <c r="D82" s="134"/>
      <c r="E82" s="134">
        <v>-10000</v>
      </c>
      <c r="F82" s="134"/>
      <c r="G82" s="134"/>
      <c r="H82" s="134"/>
      <c r="I82" s="134"/>
      <c r="J82" s="132"/>
      <c r="K82" s="134"/>
      <c r="L82" s="134"/>
      <c r="M82" s="134"/>
      <c r="N82" s="134"/>
      <c r="O82" s="134"/>
      <c r="P82" s="134"/>
      <c r="Q82" s="134"/>
      <c r="R82" s="134"/>
      <c r="S82" s="65">
        <v>-10000</v>
      </c>
    </row>
    <row r="83" spans="2:19">
      <c r="B83" s="83">
        <v>4</v>
      </c>
      <c r="C83" s="76">
        <v>-14000</v>
      </c>
      <c r="D83" s="67"/>
      <c r="E83" s="67"/>
      <c r="F83" s="67"/>
      <c r="G83" s="67"/>
      <c r="H83" s="67"/>
      <c r="I83" s="67"/>
      <c r="J83" s="66">
        <v>-9000</v>
      </c>
      <c r="K83" s="67">
        <v>-5000</v>
      </c>
      <c r="L83" s="67"/>
      <c r="M83" s="67"/>
      <c r="N83" s="67"/>
      <c r="O83" s="67"/>
      <c r="P83" s="67"/>
      <c r="Q83" s="67"/>
      <c r="R83" s="67"/>
      <c r="S83" s="69"/>
    </row>
    <row r="84" spans="2:19">
      <c r="B84" s="83">
        <v>5</v>
      </c>
      <c r="C84" s="76">
        <v>-1000</v>
      </c>
      <c r="D84" s="67"/>
      <c r="E84" s="67"/>
      <c r="F84" s="67"/>
      <c r="G84" s="67"/>
      <c r="H84" s="67"/>
      <c r="I84" s="67"/>
      <c r="J84" s="66"/>
      <c r="K84" s="67">
        <v>500</v>
      </c>
      <c r="L84" s="67"/>
      <c r="M84" s="67"/>
      <c r="N84" s="67"/>
      <c r="O84" s="67"/>
      <c r="P84" s="67"/>
      <c r="Q84" s="67"/>
      <c r="R84" s="67"/>
      <c r="S84" s="69">
        <v>-1500</v>
      </c>
    </row>
    <row r="85" spans="2:19">
      <c r="B85" s="83">
        <v>6</v>
      </c>
      <c r="C85" s="76"/>
      <c r="D85" s="67"/>
      <c r="E85" s="67"/>
      <c r="F85" s="67"/>
      <c r="G85" s="67"/>
      <c r="H85" s="67"/>
      <c r="I85" s="67"/>
      <c r="J85" s="66"/>
      <c r="K85" s="67">
        <v>1200</v>
      </c>
      <c r="L85" s="67"/>
      <c r="M85" s="67"/>
      <c r="N85" s="67"/>
      <c r="O85" s="67"/>
      <c r="P85" s="67"/>
      <c r="Q85" s="67"/>
      <c r="R85" s="67"/>
      <c r="S85" s="69">
        <v>-1200</v>
      </c>
    </row>
    <row r="86" spans="2:19">
      <c r="B86" s="213">
        <v>7</v>
      </c>
      <c r="C86" s="73"/>
      <c r="D86" s="133"/>
      <c r="E86" s="133"/>
      <c r="F86" s="133"/>
      <c r="G86" s="133"/>
      <c r="H86" s="133"/>
      <c r="I86" s="133"/>
      <c r="J86" s="131"/>
      <c r="K86" s="133"/>
      <c r="L86" s="133"/>
      <c r="M86" s="133"/>
      <c r="N86" s="133">
        <v>200</v>
      </c>
      <c r="O86" s="133"/>
      <c r="P86" s="133"/>
      <c r="Q86" s="133"/>
      <c r="R86" s="133"/>
      <c r="S86" s="61">
        <v>-200</v>
      </c>
    </row>
    <row r="87" spans="2:19">
      <c r="B87" s="214"/>
      <c r="C87" s="75">
        <v>-200</v>
      </c>
      <c r="D87" s="134"/>
      <c r="E87" s="134"/>
      <c r="F87" s="134"/>
      <c r="G87" s="134"/>
      <c r="H87" s="134"/>
      <c r="I87" s="134"/>
      <c r="J87" s="132"/>
      <c r="K87" s="134"/>
      <c r="L87" s="134"/>
      <c r="M87" s="134"/>
      <c r="N87" s="134">
        <v>-200</v>
      </c>
      <c r="O87" s="134"/>
      <c r="P87" s="134"/>
      <c r="Q87" s="134"/>
      <c r="R87" s="134"/>
      <c r="S87" s="65"/>
    </row>
    <row r="88" spans="2:19">
      <c r="B88" s="83">
        <v>8</v>
      </c>
      <c r="C88" s="76"/>
      <c r="D88" s="67"/>
      <c r="E88" s="67"/>
      <c r="F88" s="67"/>
      <c r="G88" s="67"/>
      <c r="H88" s="67"/>
      <c r="I88" s="67">
        <v>-100</v>
      </c>
      <c r="J88" s="66"/>
      <c r="K88" s="67"/>
      <c r="L88" s="67"/>
      <c r="M88" s="67"/>
      <c r="N88" s="67"/>
      <c r="O88" s="67"/>
      <c r="P88" s="67"/>
      <c r="Q88" s="67"/>
      <c r="R88" s="67"/>
      <c r="S88" s="69">
        <v>-100</v>
      </c>
    </row>
    <row r="89" spans="2:19">
      <c r="B89" s="213">
        <v>9</v>
      </c>
      <c r="C89" s="73">
        <v>-1200</v>
      </c>
      <c r="D89" s="133"/>
      <c r="E89" s="133"/>
      <c r="F89" s="133">
        <v>1200</v>
      </c>
      <c r="G89" s="133"/>
      <c r="H89" s="133"/>
      <c r="I89" s="133"/>
      <c r="J89" s="131"/>
      <c r="K89" s="133"/>
      <c r="L89" s="133"/>
      <c r="M89" s="133"/>
      <c r="N89" s="133"/>
      <c r="O89" s="133"/>
      <c r="P89" s="133"/>
      <c r="Q89" s="133"/>
      <c r="R89" s="133"/>
      <c r="S89" s="61"/>
    </row>
    <row r="90" spans="2:19">
      <c r="B90" s="214"/>
      <c r="C90" s="75"/>
      <c r="D90" s="134"/>
      <c r="E90" s="134"/>
      <c r="F90" s="134">
        <v>-100</v>
      </c>
      <c r="G90" s="134"/>
      <c r="H90" s="134"/>
      <c r="I90" s="134"/>
      <c r="J90" s="132"/>
      <c r="K90" s="134"/>
      <c r="L90" s="134"/>
      <c r="M90" s="134"/>
      <c r="N90" s="134"/>
      <c r="O90" s="134"/>
      <c r="P90" s="134"/>
      <c r="Q90" s="134"/>
      <c r="R90" s="134"/>
      <c r="S90" s="65">
        <v>-100</v>
      </c>
    </row>
    <row r="91" spans="2:19">
      <c r="B91" s="66">
        <v>10</v>
      </c>
      <c r="C91" s="76">
        <v>-10000</v>
      </c>
      <c r="D91" s="67"/>
      <c r="E91" s="67">
        <v>12000</v>
      </c>
      <c r="F91" s="67"/>
      <c r="G91" s="67"/>
      <c r="H91" s="67"/>
      <c r="I91" s="67"/>
      <c r="J91" s="66">
        <v>2000</v>
      </c>
      <c r="K91" s="67"/>
      <c r="L91" s="67"/>
      <c r="M91" s="67"/>
      <c r="N91" s="67"/>
      <c r="O91" s="67"/>
      <c r="P91" s="67"/>
      <c r="Q91" s="67"/>
      <c r="R91" s="67"/>
      <c r="S91" s="69"/>
    </row>
    <row r="92" spans="2:19">
      <c r="B92" s="213">
        <v>11</v>
      </c>
      <c r="C92" s="73">
        <v>10000</v>
      </c>
      <c r="D92" s="133"/>
      <c r="E92" s="133"/>
      <c r="F92" s="133"/>
      <c r="G92" s="133"/>
      <c r="H92" s="133"/>
      <c r="I92" s="133"/>
      <c r="J92" s="131"/>
      <c r="K92" s="133"/>
      <c r="L92" s="133"/>
      <c r="M92" s="133"/>
      <c r="N92" s="133"/>
      <c r="O92" s="133"/>
      <c r="P92" s="133"/>
      <c r="Q92" s="133"/>
      <c r="R92" s="133"/>
      <c r="S92" s="61">
        <v>10000</v>
      </c>
    </row>
    <row r="93" spans="2:19">
      <c r="B93" s="214"/>
      <c r="C93" s="75"/>
      <c r="D93" s="134"/>
      <c r="E93" s="134"/>
      <c r="F93" s="134"/>
      <c r="G93" s="134">
        <v>-8000</v>
      </c>
      <c r="H93" s="134"/>
      <c r="I93" s="134"/>
      <c r="J93" s="132"/>
      <c r="K93" s="134"/>
      <c r="L93" s="134"/>
      <c r="M93" s="134"/>
      <c r="N93" s="134"/>
      <c r="O93" s="134"/>
      <c r="P93" s="134"/>
      <c r="Q93" s="134"/>
      <c r="R93" s="134"/>
      <c r="S93" s="65">
        <v>-8000</v>
      </c>
    </row>
    <row r="94" spans="2:19">
      <c r="B94" s="66">
        <v>12</v>
      </c>
      <c r="C94" s="76"/>
      <c r="D94" s="67"/>
      <c r="E94" s="67"/>
      <c r="F94" s="67"/>
      <c r="G94" s="67"/>
      <c r="H94" s="67"/>
      <c r="I94" s="67"/>
      <c r="J94" s="66"/>
      <c r="K94" s="67"/>
      <c r="L94" s="67"/>
      <c r="M94" s="67">
        <f>-S94</f>
        <v>1560</v>
      </c>
      <c r="N94" s="67"/>
      <c r="O94" s="67"/>
      <c r="P94" s="67"/>
      <c r="Q94" s="67"/>
      <c r="R94" s="67"/>
      <c r="S94" s="69">
        <f>-SUM(S81:S93)*40%</f>
        <v>-1560</v>
      </c>
    </row>
    <row r="95" spans="2:19">
      <c r="B95" s="66">
        <v>13</v>
      </c>
      <c r="C95" s="76"/>
      <c r="D95" s="67"/>
      <c r="E95" s="67"/>
      <c r="F95" s="67"/>
      <c r="G95" s="67"/>
      <c r="H95" s="67"/>
      <c r="I95" s="67"/>
      <c r="J95" s="66"/>
      <c r="K95" s="67"/>
      <c r="L95" s="67"/>
      <c r="M95" s="67"/>
      <c r="N95" s="67"/>
      <c r="O95" s="67">
        <f>-S95</f>
        <v>585</v>
      </c>
      <c r="P95" s="67"/>
      <c r="Q95" s="67"/>
      <c r="R95" s="67"/>
      <c r="S95" s="69">
        <f>-2340*0.25</f>
        <v>-585</v>
      </c>
    </row>
    <row r="96" spans="2:19">
      <c r="B96" s="132" t="s">
        <v>95</v>
      </c>
      <c r="C96" s="75"/>
      <c r="D96" s="134"/>
      <c r="E96" s="134"/>
      <c r="F96" s="134"/>
      <c r="G96" s="134"/>
      <c r="H96" s="134"/>
      <c r="I96" s="134"/>
      <c r="J96" s="132"/>
      <c r="K96" s="134"/>
      <c r="L96" s="134"/>
      <c r="M96" s="134"/>
      <c r="N96" s="134"/>
      <c r="O96" s="134"/>
      <c r="P96" s="134"/>
      <c r="Q96" s="134"/>
      <c r="R96" s="117">
        <f>-S96</f>
        <v>1755</v>
      </c>
      <c r="S96" s="65">
        <f>-SUM(S79:S95)</f>
        <v>-1755</v>
      </c>
    </row>
    <row r="97" spans="2:19">
      <c r="B97" s="2" t="s">
        <v>35</v>
      </c>
      <c r="C97" s="24">
        <f t="shared" ref="C97:S97" si="9">SUM(C78:C96)</f>
        <v>19600</v>
      </c>
      <c r="D97" s="25">
        <f t="shared" si="9"/>
        <v>47000</v>
      </c>
      <c r="E97" s="25">
        <f t="shared" si="9"/>
        <v>152000</v>
      </c>
      <c r="F97" s="25">
        <f t="shared" si="9"/>
        <v>1100</v>
      </c>
      <c r="G97" s="25">
        <f t="shared" si="9"/>
        <v>0</v>
      </c>
      <c r="H97" s="25">
        <f t="shared" si="9"/>
        <v>10000</v>
      </c>
      <c r="I97" s="26">
        <f t="shared" si="9"/>
        <v>-6100</v>
      </c>
      <c r="J97" s="24">
        <f t="shared" si="9"/>
        <v>43000</v>
      </c>
      <c r="K97" s="25">
        <f t="shared" si="9"/>
        <v>11700</v>
      </c>
      <c r="L97" s="25">
        <f t="shared" si="9"/>
        <v>15000</v>
      </c>
      <c r="M97" s="25">
        <f t="shared" si="9"/>
        <v>1560</v>
      </c>
      <c r="N97" s="25">
        <f t="shared" si="9"/>
        <v>100000</v>
      </c>
      <c r="O97" s="25">
        <f t="shared" si="9"/>
        <v>585</v>
      </c>
      <c r="P97" s="25">
        <f t="shared" si="9"/>
        <v>100000</v>
      </c>
      <c r="Q97" s="25">
        <f t="shared" si="9"/>
        <v>132000</v>
      </c>
      <c r="R97" s="25">
        <f t="shared" si="9"/>
        <v>1755</v>
      </c>
      <c r="S97" s="57">
        <f t="shared" si="9"/>
        <v>0</v>
      </c>
    </row>
    <row r="100" spans="2:19">
      <c r="C100" s="1" t="s">
        <v>19</v>
      </c>
      <c r="E100" s="1">
        <f>SUM(C97:I97)</f>
        <v>223600</v>
      </c>
      <c r="I100" s="78"/>
    </row>
    <row r="101" spans="2:19">
      <c r="C101" s="1" t="s">
        <v>20</v>
      </c>
      <c r="E101" s="1">
        <f>+SUM(J97:S97)</f>
        <v>405600</v>
      </c>
      <c r="I101" s="78"/>
    </row>
    <row r="104" spans="2:19" ht="42">
      <c r="B104" s="216" t="s">
        <v>146</v>
      </c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8"/>
    </row>
    <row r="105" spans="2:19" ht="30">
      <c r="B105" s="27"/>
      <c r="C105" s="219" t="s">
        <v>19</v>
      </c>
      <c r="D105" s="220"/>
      <c r="E105" s="220"/>
      <c r="F105" s="220"/>
      <c r="G105" s="220"/>
      <c r="H105" s="220"/>
      <c r="I105" s="221"/>
      <c r="J105" s="219" t="s">
        <v>33</v>
      </c>
      <c r="K105" s="220"/>
      <c r="L105" s="220"/>
      <c r="M105" s="220"/>
      <c r="N105" s="220"/>
      <c r="O105" s="220"/>
      <c r="P105" s="220"/>
      <c r="Q105" s="220"/>
      <c r="R105" s="220"/>
      <c r="S105" s="221"/>
    </row>
    <row r="106" spans="2:19" ht="25.5">
      <c r="B106" s="28"/>
      <c r="C106" s="28" t="s">
        <v>28</v>
      </c>
      <c r="D106" s="29" t="s">
        <v>67</v>
      </c>
      <c r="E106" s="29" t="s">
        <v>29</v>
      </c>
      <c r="F106" s="29" t="s">
        <v>127</v>
      </c>
      <c r="G106" s="29" t="s">
        <v>62</v>
      </c>
      <c r="H106" s="29" t="s">
        <v>63</v>
      </c>
      <c r="I106" s="30" t="s">
        <v>68</v>
      </c>
      <c r="J106" s="28" t="s">
        <v>36</v>
      </c>
      <c r="K106" s="29" t="s">
        <v>37</v>
      </c>
      <c r="L106" s="29" t="s">
        <v>126</v>
      </c>
      <c r="M106" s="29" t="s">
        <v>128</v>
      </c>
      <c r="N106" s="29" t="s">
        <v>31</v>
      </c>
      <c r="O106" s="29" t="s">
        <v>129</v>
      </c>
      <c r="P106" s="29" t="s">
        <v>32</v>
      </c>
      <c r="Q106" s="29"/>
      <c r="R106" s="29" t="s">
        <v>66</v>
      </c>
      <c r="S106" s="30" t="s">
        <v>65</v>
      </c>
    </row>
    <row r="107" spans="2:19">
      <c r="B107" s="89" t="s">
        <v>34</v>
      </c>
      <c r="C107" s="89">
        <f>+C97</f>
        <v>19600</v>
      </c>
      <c r="D107" s="104">
        <f t="shared" ref="D107:S107" si="10">+D97</f>
        <v>47000</v>
      </c>
      <c r="E107" s="104">
        <f t="shared" si="10"/>
        <v>152000</v>
      </c>
      <c r="F107" s="104">
        <f t="shared" si="10"/>
        <v>1100</v>
      </c>
      <c r="G107" s="104">
        <f t="shared" si="10"/>
        <v>0</v>
      </c>
      <c r="H107" s="104">
        <f t="shared" si="10"/>
        <v>10000</v>
      </c>
      <c r="I107" s="110">
        <f t="shared" si="10"/>
        <v>-6100</v>
      </c>
      <c r="J107" s="89">
        <f t="shared" si="10"/>
        <v>43000</v>
      </c>
      <c r="K107" s="104">
        <f t="shared" si="10"/>
        <v>11700</v>
      </c>
      <c r="L107" s="104">
        <f t="shared" si="10"/>
        <v>15000</v>
      </c>
      <c r="M107" s="104">
        <f t="shared" si="10"/>
        <v>1560</v>
      </c>
      <c r="N107" s="104">
        <f t="shared" si="10"/>
        <v>100000</v>
      </c>
      <c r="O107" s="104">
        <f t="shared" si="10"/>
        <v>585</v>
      </c>
      <c r="P107" s="104">
        <f t="shared" si="10"/>
        <v>100000</v>
      </c>
      <c r="Q107" s="104">
        <f t="shared" si="10"/>
        <v>132000</v>
      </c>
      <c r="R107" s="104">
        <f t="shared" si="10"/>
        <v>1755</v>
      </c>
      <c r="S107" s="116">
        <f t="shared" si="10"/>
        <v>0</v>
      </c>
    </row>
    <row r="108" spans="2:19">
      <c r="B108" s="83">
        <v>1</v>
      </c>
      <c r="C108" s="72">
        <v>2000</v>
      </c>
      <c r="D108" s="67">
        <v>-2000</v>
      </c>
      <c r="E108" s="67"/>
      <c r="F108" s="67"/>
      <c r="G108" s="67"/>
      <c r="H108" s="67"/>
      <c r="I108" s="68"/>
      <c r="J108" s="67"/>
      <c r="K108" s="67"/>
      <c r="L108" s="67"/>
      <c r="M108" s="67"/>
      <c r="N108" s="67"/>
      <c r="O108" s="67"/>
      <c r="P108" s="67"/>
      <c r="Q108" s="67"/>
      <c r="R108" s="67"/>
      <c r="S108" s="69"/>
    </row>
    <row r="109" spans="2:19">
      <c r="B109" s="213">
        <v>2</v>
      </c>
      <c r="C109" s="133"/>
      <c r="D109" s="133"/>
      <c r="E109" s="133"/>
      <c r="F109" s="133"/>
      <c r="G109" s="133"/>
      <c r="H109" s="133"/>
      <c r="I109" s="60"/>
      <c r="J109" s="133">
        <v>-2000</v>
      </c>
      <c r="K109" s="133"/>
      <c r="L109" s="133"/>
      <c r="M109" s="133"/>
      <c r="N109" s="133"/>
      <c r="O109" s="133"/>
      <c r="P109" s="133"/>
      <c r="Q109" s="133"/>
      <c r="R109" s="133"/>
      <c r="S109" s="61"/>
    </row>
    <row r="110" spans="2:19">
      <c r="B110" s="215"/>
      <c r="C110" s="22"/>
      <c r="D110" s="22"/>
      <c r="E110" s="22"/>
      <c r="F110" s="22"/>
      <c r="G110" s="22"/>
      <c r="H110" s="22"/>
      <c r="I110" s="23"/>
      <c r="J110" s="22"/>
      <c r="K110" s="22">
        <v>-1700</v>
      </c>
      <c r="L110" s="22"/>
      <c r="M110" s="22"/>
      <c r="N110" s="22"/>
      <c r="O110" s="22"/>
      <c r="P110" s="22"/>
      <c r="Q110" s="22"/>
      <c r="R110" s="22"/>
      <c r="S110" s="56"/>
    </row>
    <row r="111" spans="2:19">
      <c r="B111" s="215"/>
      <c r="C111" s="22"/>
      <c r="D111" s="22"/>
      <c r="E111" s="22"/>
      <c r="F111" s="22"/>
      <c r="G111" s="22"/>
      <c r="H111" s="22"/>
      <c r="I111" s="23"/>
      <c r="J111" s="22"/>
      <c r="K111" s="22"/>
      <c r="L111" s="22"/>
      <c r="M111" s="22">
        <v>-1560</v>
      </c>
      <c r="N111" s="22"/>
      <c r="O111" s="22"/>
      <c r="P111" s="22"/>
      <c r="Q111" s="22"/>
      <c r="R111" s="22"/>
      <c r="S111" s="56"/>
    </row>
    <row r="112" spans="2:19">
      <c r="B112" s="215"/>
      <c r="C112" s="22"/>
      <c r="D112" s="22"/>
      <c r="E112" s="22"/>
      <c r="F112" s="22"/>
      <c r="G112" s="22"/>
      <c r="H112" s="22"/>
      <c r="I112" s="23"/>
      <c r="J112" s="22"/>
      <c r="K112" s="22"/>
      <c r="L112" s="22"/>
      <c r="M112" s="22"/>
      <c r="N112" s="22"/>
      <c r="O112" s="22">
        <v>-585</v>
      </c>
      <c r="P112" s="22"/>
      <c r="Q112" s="22"/>
      <c r="R112" s="22"/>
      <c r="S112" s="56"/>
    </row>
    <row r="113" spans="2:19">
      <c r="B113" s="214"/>
      <c r="C113" s="117">
        <f>+SUM(J109:O113)</f>
        <v>-5845</v>
      </c>
      <c r="D113" s="134"/>
      <c r="E113" s="134"/>
      <c r="F113" s="134"/>
      <c r="G113" s="134"/>
      <c r="H113" s="134"/>
      <c r="I113" s="64"/>
      <c r="J113" s="134"/>
      <c r="K113" s="134"/>
      <c r="L113" s="134"/>
      <c r="M113" s="134"/>
      <c r="N113" s="134"/>
      <c r="O113" s="134"/>
      <c r="P113" s="134"/>
      <c r="Q113" s="134"/>
      <c r="R113" s="134"/>
      <c r="S113" s="65"/>
    </row>
    <row r="114" spans="2:19">
      <c r="B114" s="83">
        <v>3</v>
      </c>
      <c r="C114" s="72">
        <v>-3500</v>
      </c>
      <c r="D114" s="67"/>
      <c r="E114" s="67"/>
      <c r="F114" s="67"/>
      <c r="G114" s="67"/>
      <c r="H114" s="67"/>
      <c r="I114" s="68"/>
      <c r="J114" s="67"/>
      <c r="K114" s="67"/>
      <c r="L114" s="67"/>
      <c r="M114" s="67"/>
      <c r="N114" s="67">
        <v>-3500</v>
      </c>
      <c r="O114" s="67"/>
      <c r="P114" s="67"/>
      <c r="Q114" s="67"/>
      <c r="R114" s="67"/>
      <c r="S114" s="69"/>
    </row>
    <row r="115" spans="2:19">
      <c r="B115" s="213">
        <v>4</v>
      </c>
      <c r="C115" s="133"/>
      <c r="D115" s="133"/>
      <c r="E115" s="133"/>
      <c r="F115" s="133"/>
      <c r="G115" s="133"/>
      <c r="H115" s="133"/>
      <c r="I115" s="60"/>
      <c r="J115" s="133"/>
      <c r="K115" s="133"/>
      <c r="L115" s="133">
        <v>-15000</v>
      </c>
      <c r="M115" s="133"/>
      <c r="N115" s="133"/>
      <c r="O115" s="133"/>
      <c r="P115" s="133"/>
      <c r="Q115" s="133"/>
      <c r="R115" s="133"/>
      <c r="S115" s="61">
        <f>-L115</f>
        <v>15000</v>
      </c>
    </row>
    <row r="116" spans="2:19">
      <c r="B116" s="214"/>
      <c r="C116" s="134"/>
      <c r="D116" s="134"/>
      <c r="E116" s="134">
        <f>-E107/3*2</f>
        <v>-101333</v>
      </c>
      <c r="F116" s="134"/>
      <c r="G116" s="134"/>
      <c r="H116" s="134"/>
      <c r="I116" s="64"/>
      <c r="J116" s="134"/>
      <c r="K116" s="134"/>
      <c r="L116" s="134"/>
      <c r="M116" s="134"/>
      <c r="N116" s="134"/>
      <c r="O116" s="134"/>
      <c r="P116" s="134"/>
      <c r="Q116" s="134"/>
      <c r="R116" s="134"/>
      <c r="S116" s="65">
        <f>+E116</f>
        <v>-101333</v>
      </c>
    </row>
    <row r="117" spans="2:19">
      <c r="B117" s="83">
        <v>5</v>
      </c>
      <c r="C117" s="72">
        <v>-2000</v>
      </c>
      <c r="D117" s="67"/>
      <c r="E117" s="67">
        <v>10000</v>
      </c>
      <c r="F117" s="67"/>
      <c r="G117" s="67"/>
      <c r="H117" s="67"/>
      <c r="I117" s="68"/>
      <c r="J117" s="67">
        <v>8000</v>
      </c>
      <c r="K117" s="67"/>
      <c r="L117" s="67"/>
      <c r="M117" s="67"/>
      <c r="N117" s="67"/>
      <c r="O117" s="67"/>
      <c r="P117" s="67"/>
      <c r="Q117" s="67"/>
      <c r="R117" s="67"/>
      <c r="S117" s="69"/>
    </row>
    <row r="118" spans="2:19">
      <c r="B118" s="213">
        <v>6</v>
      </c>
      <c r="C118" s="135">
        <v>6000</v>
      </c>
      <c r="D118" s="133">
        <v>6000</v>
      </c>
      <c r="E118" s="133"/>
      <c r="F118" s="133"/>
      <c r="G118" s="133"/>
      <c r="H118" s="133"/>
      <c r="I118" s="60"/>
      <c r="J118" s="133"/>
      <c r="K118" s="133"/>
      <c r="L118" s="133"/>
      <c r="M118" s="133"/>
      <c r="N118" s="133"/>
      <c r="O118" s="133"/>
      <c r="P118" s="133"/>
      <c r="Q118" s="133"/>
      <c r="R118" s="133"/>
      <c r="S118" s="61">
        <v>12000</v>
      </c>
    </row>
    <row r="119" spans="2:19">
      <c r="B119" s="214"/>
      <c r="C119" s="134"/>
      <c r="D119" s="134"/>
      <c r="E119" s="134">
        <v>-7000</v>
      </c>
      <c r="F119" s="134"/>
      <c r="G119" s="134"/>
      <c r="H119" s="134"/>
      <c r="I119" s="64"/>
      <c r="J119" s="134"/>
      <c r="K119" s="134"/>
      <c r="L119" s="134"/>
      <c r="M119" s="134"/>
      <c r="N119" s="134"/>
      <c r="O119" s="134"/>
      <c r="P119" s="134"/>
      <c r="Q119" s="134"/>
      <c r="R119" s="134"/>
      <c r="S119" s="65">
        <v>-7000</v>
      </c>
    </row>
    <row r="120" spans="2:19">
      <c r="B120" s="83">
        <v>7</v>
      </c>
      <c r="C120" s="72">
        <v>-1200</v>
      </c>
      <c r="D120" s="67"/>
      <c r="E120" s="67"/>
      <c r="F120" s="67"/>
      <c r="G120" s="67"/>
      <c r="H120" s="67"/>
      <c r="I120" s="68"/>
      <c r="J120" s="67"/>
      <c r="K120" s="67">
        <v>800</v>
      </c>
      <c r="L120" s="67"/>
      <c r="M120" s="67"/>
      <c r="N120" s="67"/>
      <c r="O120" s="67"/>
      <c r="P120" s="67"/>
      <c r="Q120" s="67"/>
      <c r="R120" s="67"/>
      <c r="S120" s="69">
        <v>-2000</v>
      </c>
    </row>
    <row r="121" spans="2:19">
      <c r="B121" s="83">
        <v>8</v>
      </c>
      <c r="C121" s="72">
        <v>-1000</v>
      </c>
      <c r="D121" s="67"/>
      <c r="E121" s="67"/>
      <c r="F121" s="67"/>
      <c r="G121" s="67"/>
      <c r="H121" s="67"/>
      <c r="I121" s="68"/>
      <c r="J121" s="67"/>
      <c r="K121" s="67">
        <v>500</v>
      </c>
      <c r="L121" s="67"/>
      <c r="M121" s="67"/>
      <c r="N121" s="67"/>
      <c r="O121" s="67"/>
      <c r="P121" s="67"/>
      <c r="Q121" s="67"/>
      <c r="R121" s="67"/>
      <c r="S121" s="69">
        <v>-1500</v>
      </c>
    </row>
    <row r="122" spans="2:19">
      <c r="B122" s="213">
        <v>9</v>
      </c>
      <c r="C122" s="133"/>
      <c r="D122" s="133"/>
      <c r="E122" s="133"/>
      <c r="F122" s="133"/>
      <c r="G122" s="133"/>
      <c r="H122" s="133"/>
      <c r="I122" s="60"/>
      <c r="J122" s="133"/>
      <c r="K122" s="133"/>
      <c r="L122" s="133"/>
      <c r="M122" s="133"/>
      <c r="N122" s="133">
        <v>150</v>
      </c>
      <c r="O122" s="133"/>
      <c r="P122" s="133"/>
      <c r="Q122" s="133"/>
      <c r="R122" s="133"/>
      <c r="S122" s="61">
        <v>-150</v>
      </c>
    </row>
    <row r="123" spans="2:19">
      <c r="B123" s="214"/>
      <c r="C123" s="134">
        <v>-150</v>
      </c>
      <c r="D123" s="134"/>
      <c r="E123" s="134"/>
      <c r="F123" s="134"/>
      <c r="G123" s="134"/>
      <c r="H123" s="134"/>
      <c r="I123" s="64"/>
      <c r="J123" s="134"/>
      <c r="K123" s="134"/>
      <c r="L123" s="134"/>
      <c r="M123" s="134"/>
      <c r="N123" s="134">
        <v>-150</v>
      </c>
      <c r="O123" s="134"/>
      <c r="P123" s="134"/>
      <c r="Q123" s="134"/>
      <c r="R123" s="134"/>
      <c r="S123" s="65"/>
    </row>
    <row r="124" spans="2:19">
      <c r="B124" s="83">
        <v>10</v>
      </c>
      <c r="C124" s="67"/>
      <c r="D124" s="67"/>
      <c r="E124" s="67"/>
      <c r="F124" s="67"/>
      <c r="G124" s="67"/>
      <c r="H124" s="67"/>
      <c r="I124" s="68">
        <v>-100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9">
        <v>-100</v>
      </c>
    </row>
    <row r="125" spans="2:19">
      <c r="B125" s="83">
        <v>11</v>
      </c>
      <c r="C125" s="67"/>
      <c r="D125" s="67"/>
      <c r="E125" s="67"/>
      <c r="F125" s="67">
        <v>-100</v>
      </c>
      <c r="G125" s="67"/>
      <c r="H125" s="67"/>
      <c r="I125" s="68"/>
      <c r="J125" s="67"/>
      <c r="K125" s="67"/>
      <c r="L125" s="67"/>
      <c r="M125" s="67"/>
      <c r="N125" s="67"/>
      <c r="O125" s="67"/>
      <c r="P125" s="67"/>
      <c r="Q125" s="67"/>
      <c r="R125" s="67"/>
      <c r="S125" s="69">
        <v>-100</v>
      </c>
    </row>
    <row r="126" spans="2:19">
      <c r="B126" s="83">
        <v>12</v>
      </c>
      <c r="C126" s="67">
        <v>-3500</v>
      </c>
      <c r="D126" s="67"/>
      <c r="E126" s="67"/>
      <c r="F126" s="67"/>
      <c r="G126" s="67"/>
      <c r="H126" s="67"/>
      <c r="I126" s="68"/>
      <c r="J126" s="67"/>
      <c r="K126" s="67"/>
      <c r="L126" s="67"/>
      <c r="M126" s="67"/>
      <c r="N126" s="67">
        <v>-3500</v>
      </c>
      <c r="O126" s="67"/>
      <c r="P126" s="67"/>
      <c r="Q126" s="67"/>
      <c r="R126" s="67"/>
      <c r="S126" s="69"/>
    </row>
    <row r="127" spans="2:19">
      <c r="B127" s="83">
        <v>13</v>
      </c>
      <c r="C127" s="67">
        <v>-5000</v>
      </c>
      <c r="D127" s="67"/>
      <c r="E127" s="67"/>
      <c r="F127" s="67"/>
      <c r="G127" s="67"/>
      <c r="H127" s="67">
        <v>5000</v>
      </c>
      <c r="I127" s="68"/>
      <c r="J127" s="67"/>
      <c r="K127" s="67"/>
      <c r="L127" s="67"/>
      <c r="M127" s="67"/>
      <c r="N127" s="67"/>
      <c r="O127" s="67"/>
      <c r="P127" s="67"/>
      <c r="Q127" s="67"/>
      <c r="R127" s="67"/>
      <c r="S127" s="69"/>
    </row>
    <row r="128" spans="2:19">
      <c r="B128" s="83">
        <v>14</v>
      </c>
      <c r="C128" s="67"/>
      <c r="D128" s="67"/>
      <c r="E128" s="67"/>
      <c r="F128" s="67"/>
      <c r="G128" s="67"/>
      <c r="H128" s="67"/>
      <c r="I128" s="68"/>
      <c r="J128" s="67"/>
      <c r="K128" s="67"/>
      <c r="L128" s="67"/>
      <c r="M128" s="67">
        <f>-S128</f>
        <v>-34073</v>
      </c>
      <c r="N128" s="67"/>
      <c r="O128" s="67"/>
      <c r="P128" s="67"/>
      <c r="Q128" s="67"/>
      <c r="R128" s="67"/>
      <c r="S128" s="69">
        <f>-40%*SUM(S108:S127)</f>
        <v>34073</v>
      </c>
    </row>
    <row r="129" spans="2:19">
      <c r="B129" s="83">
        <v>15</v>
      </c>
      <c r="C129" s="67">
        <f>-O129</f>
        <v>-1956</v>
      </c>
      <c r="D129" s="67"/>
      <c r="E129" s="67"/>
      <c r="F129" s="67"/>
      <c r="G129" s="67"/>
      <c r="H129" s="67"/>
      <c r="I129" s="68"/>
      <c r="J129" s="67"/>
      <c r="K129" s="67"/>
      <c r="L129" s="67"/>
      <c r="M129" s="67"/>
      <c r="N129" s="67"/>
      <c r="O129" s="67">
        <f>-R129/2</f>
        <v>1956</v>
      </c>
      <c r="P129" s="67"/>
      <c r="Q129" s="67"/>
      <c r="R129" s="67">
        <f>-4890*0.8</f>
        <v>-3912</v>
      </c>
      <c r="S129" s="69"/>
    </row>
    <row r="130" spans="2:19">
      <c r="B130" s="132" t="s">
        <v>95</v>
      </c>
      <c r="C130" s="75"/>
      <c r="D130" s="134"/>
      <c r="E130" s="134"/>
      <c r="F130" s="134"/>
      <c r="G130" s="134"/>
      <c r="H130" s="134"/>
      <c r="I130" s="64"/>
      <c r="J130" s="132"/>
      <c r="K130" s="134"/>
      <c r="L130" s="134"/>
      <c r="M130" s="134"/>
      <c r="N130" s="134"/>
      <c r="O130" s="134"/>
      <c r="P130" s="134"/>
      <c r="Q130" s="134"/>
      <c r="R130" s="117">
        <f>-S130</f>
        <v>-51109</v>
      </c>
      <c r="S130" s="65">
        <f>-SUM(S108:S129)</f>
        <v>51109</v>
      </c>
    </row>
    <row r="131" spans="2:19">
      <c r="B131" s="2" t="s">
        <v>35</v>
      </c>
      <c r="C131" s="24">
        <f t="shared" ref="C131:S131" si="11">SUM(C107:C130)</f>
        <v>3449</v>
      </c>
      <c r="D131" s="25">
        <f t="shared" si="11"/>
        <v>51000</v>
      </c>
      <c r="E131" s="25">
        <f t="shared" si="11"/>
        <v>53666</v>
      </c>
      <c r="F131" s="25">
        <f t="shared" si="11"/>
        <v>1000</v>
      </c>
      <c r="G131" s="25">
        <f t="shared" si="11"/>
        <v>0</v>
      </c>
      <c r="H131" s="25">
        <f t="shared" si="11"/>
        <v>15000</v>
      </c>
      <c r="I131" s="26">
        <f t="shared" si="11"/>
        <v>-6200</v>
      </c>
      <c r="J131" s="24">
        <f t="shared" si="11"/>
        <v>49000</v>
      </c>
      <c r="K131" s="25">
        <f t="shared" si="11"/>
        <v>11300</v>
      </c>
      <c r="L131" s="25">
        <f t="shared" si="11"/>
        <v>0</v>
      </c>
      <c r="M131" s="25">
        <f t="shared" si="11"/>
        <v>-34073</v>
      </c>
      <c r="N131" s="25">
        <f t="shared" si="11"/>
        <v>93000</v>
      </c>
      <c r="O131" s="25">
        <f t="shared" si="11"/>
        <v>1956</v>
      </c>
      <c r="P131" s="25">
        <f t="shared" si="11"/>
        <v>100000</v>
      </c>
      <c r="Q131" s="25">
        <f t="shared" si="11"/>
        <v>132000</v>
      </c>
      <c r="R131" s="25">
        <f t="shared" si="11"/>
        <v>-53266</v>
      </c>
      <c r="S131" s="57">
        <f t="shared" si="11"/>
        <v>0</v>
      </c>
    </row>
    <row r="134" spans="2:19">
      <c r="C134" s="1" t="s">
        <v>19</v>
      </c>
      <c r="E134" s="1">
        <f>SUM(C131:I131)</f>
        <v>117915</v>
      </c>
      <c r="I134" s="78"/>
    </row>
    <row r="135" spans="2:19">
      <c r="C135" s="1" t="s">
        <v>20</v>
      </c>
      <c r="E135" s="1">
        <f>+SUM(J131:S131)</f>
        <v>299915</v>
      </c>
      <c r="I135" s="78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06"/>
  <sheetViews>
    <sheetView workbookViewId="0"/>
  </sheetViews>
  <sheetFormatPr defaultRowHeight="15"/>
  <sheetData>
    <row r="2" spans="2:11" ht="105">
      <c r="B2" s="216" t="s">
        <v>39</v>
      </c>
      <c r="C2" s="217"/>
      <c r="D2" s="217"/>
      <c r="E2" s="217"/>
      <c r="F2" s="217"/>
      <c r="G2" s="217"/>
      <c r="H2" s="218"/>
    </row>
    <row r="3" spans="2:11">
      <c r="B3" s="128" t="s">
        <v>19</v>
      </c>
      <c r="C3" s="32">
        <v>41670</v>
      </c>
      <c r="D3" s="32">
        <v>41698</v>
      </c>
      <c r="E3" s="32">
        <v>41729</v>
      </c>
      <c r="F3" s="32">
        <v>41759</v>
      </c>
      <c r="G3" s="32">
        <v>41790</v>
      </c>
      <c r="H3" s="33">
        <v>41820</v>
      </c>
    </row>
    <row r="4" spans="2:11" ht="30">
      <c r="B4" s="34" t="s">
        <v>40</v>
      </c>
      <c r="C4" s="22">
        <f>+'CIa exemplar - lançamen'!D10</f>
        <v>210000</v>
      </c>
      <c r="D4" s="22">
        <f>+'CIa exemplar - lançamen'!C25</f>
        <v>37000</v>
      </c>
      <c r="E4" s="22">
        <f>+'CIa exemplar - lançamen'!C46</f>
        <v>45000</v>
      </c>
      <c r="F4" s="22">
        <f>+'CIa exemplar - lançamen'!C68</f>
        <v>3000</v>
      </c>
      <c r="G4" s="22"/>
      <c r="H4" s="23"/>
    </row>
    <row r="5" spans="2:11" ht="30">
      <c r="B5" s="34" t="s">
        <v>23</v>
      </c>
      <c r="C5" s="22">
        <v>0</v>
      </c>
      <c r="D5" s="22">
        <f>+'CIa exemplar - lançamen'!D25</f>
        <v>10000</v>
      </c>
      <c r="E5" s="22">
        <f>+'CIa exemplar - lançamen'!D46</f>
        <v>20000</v>
      </c>
      <c r="F5" s="22">
        <f>+'CIa exemplar - lançamen'!D68</f>
        <v>50000</v>
      </c>
      <c r="G5" s="22"/>
      <c r="H5" s="23"/>
    </row>
    <row r="6" spans="2:11">
      <c r="B6" s="34" t="s">
        <v>29</v>
      </c>
      <c r="C6" s="22">
        <f>+'CIa exemplar - lançamen'!F10</f>
        <v>50000</v>
      </c>
      <c r="D6" s="22">
        <f>+'CIa exemplar - lançamen'!E25</f>
        <v>90000</v>
      </c>
      <c r="E6" s="22">
        <f>+'CIa exemplar - lançamen'!E46</f>
        <v>100000</v>
      </c>
      <c r="F6" s="22">
        <f>+'CIa exemplar - lançamen'!E68</f>
        <v>150000</v>
      </c>
      <c r="G6" s="22"/>
      <c r="H6" s="23"/>
    </row>
    <row r="7" spans="2:11" ht="45">
      <c r="B7" s="34" t="s">
        <v>130</v>
      </c>
      <c r="C7" s="22">
        <v>0</v>
      </c>
      <c r="D7" s="22">
        <v>0</v>
      </c>
      <c r="E7" s="22">
        <v>0</v>
      </c>
      <c r="F7" s="22">
        <v>0</v>
      </c>
      <c r="G7" s="22"/>
      <c r="H7" s="23"/>
      <c r="J7" s="124"/>
      <c r="K7" s="124"/>
    </row>
    <row r="8" spans="2:11">
      <c r="B8" s="34" t="s">
        <v>62</v>
      </c>
      <c r="C8" s="22">
        <f>+'CIa exemplar - lançamen'!G10</f>
        <v>20000</v>
      </c>
      <c r="D8" s="22">
        <f>+'CIa exemplar - lançamen'!F25</f>
        <v>20000</v>
      </c>
      <c r="E8" s="22">
        <f>+'CIa exemplar - lançamen'!F46</f>
        <v>20000</v>
      </c>
      <c r="F8" s="22">
        <f>+'CIa exemplar - lançamen'!F68</f>
        <v>20000</v>
      </c>
      <c r="G8" s="22"/>
      <c r="H8" s="23"/>
    </row>
    <row r="9" spans="2:11">
      <c r="B9" s="34" t="s">
        <v>64</v>
      </c>
      <c r="C9" s="22"/>
      <c r="D9" s="22">
        <f>+'CIa exemplar - lançamen'!G25</f>
        <v>180000</v>
      </c>
      <c r="E9" s="22">
        <f>+'CIa exemplar - lançamen'!G46</f>
        <v>180000</v>
      </c>
      <c r="F9" s="22">
        <f>+'CIa exemplar - lançamen'!G68</f>
        <v>180000</v>
      </c>
      <c r="G9" s="22"/>
      <c r="H9" s="23"/>
    </row>
    <row r="10" spans="2:11" ht="45">
      <c r="B10" s="34" t="s">
        <v>69</v>
      </c>
      <c r="C10" s="22"/>
      <c r="D10" s="22"/>
      <c r="E10" s="22">
        <f>+'CIa exemplar - lançamen'!H46</f>
        <v>-3000</v>
      </c>
      <c r="F10" s="22">
        <f>+'CIa exemplar - lançamen'!H68</f>
        <v>-6000</v>
      </c>
      <c r="G10" s="22"/>
      <c r="H10" s="23"/>
    </row>
    <row r="11" spans="2:11">
      <c r="B11" s="34"/>
      <c r="C11" s="22"/>
      <c r="D11" s="22"/>
      <c r="E11" s="22"/>
      <c r="F11" s="22"/>
      <c r="G11" s="22"/>
      <c r="H11" s="23"/>
    </row>
    <row r="12" spans="2:11">
      <c r="B12" s="35" t="s">
        <v>41</v>
      </c>
      <c r="C12" s="36">
        <f>SUM(C4:C11)</f>
        <v>280000</v>
      </c>
      <c r="D12" s="36">
        <f>SUM(D4:D11)</f>
        <v>337000</v>
      </c>
      <c r="E12" s="36">
        <f t="shared" ref="E12:H12" si="0">SUM(E4:E11)</f>
        <v>362000</v>
      </c>
      <c r="F12" s="36">
        <f t="shared" si="0"/>
        <v>397000</v>
      </c>
      <c r="G12" s="36">
        <f t="shared" si="0"/>
        <v>0</v>
      </c>
      <c r="H12" s="37">
        <f t="shared" si="0"/>
        <v>0</v>
      </c>
    </row>
    <row r="13" spans="2:11" ht="30">
      <c r="B13" s="128" t="s">
        <v>33</v>
      </c>
      <c r="C13" s="32">
        <f>+C3</f>
        <v>41670</v>
      </c>
      <c r="D13" s="32">
        <f t="shared" ref="D13:H13" si="1">+D3</f>
        <v>41698</v>
      </c>
      <c r="E13" s="32">
        <f t="shared" si="1"/>
        <v>41729</v>
      </c>
      <c r="F13" s="32">
        <f t="shared" si="1"/>
        <v>41759</v>
      </c>
      <c r="G13" s="32">
        <f t="shared" si="1"/>
        <v>41790</v>
      </c>
      <c r="H13" s="33">
        <f t="shared" si="1"/>
        <v>41820</v>
      </c>
    </row>
    <row r="14" spans="2:11" ht="45">
      <c r="B14" s="34" t="s">
        <v>42</v>
      </c>
      <c r="C14" s="22">
        <f>+'CIa exemplar - lançamen'!J10</f>
        <v>30000</v>
      </c>
      <c r="D14" s="22">
        <f>+'CIa exemplar - lançamen'!I25</f>
        <v>70000</v>
      </c>
      <c r="E14" s="22">
        <f>+'CIa exemplar - lançamen'!I46</f>
        <v>90000</v>
      </c>
      <c r="F14" s="22">
        <f>+'CIa exemplar - lançamen'!I68</f>
        <v>50000</v>
      </c>
      <c r="G14" s="22"/>
      <c r="H14" s="23"/>
    </row>
    <row r="15" spans="2:11" ht="30">
      <c r="B15" s="34" t="s">
        <v>37</v>
      </c>
      <c r="C15" s="22">
        <v>0</v>
      </c>
      <c r="D15" s="22">
        <v>0</v>
      </c>
      <c r="E15" s="22">
        <v>0</v>
      </c>
      <c r="F15" s="22">
        <f>+'CIa exemplar - lançamen'!J68</f>
        <v>15000</v>
      </c>
      <c r="G15" s="22"/>
      <c r="H15" s="23"/>
    </row>
    <row r="16" spans="2:11" ht="45">
      <c r="B16" s="34" t="s">
        <v>131</v>
      </c>
      <c r="C16" s="22">
        <v>0</v>
      </c>
      <c r="D16" s="22">
        <v>0</v>
      </c>
      <c r="E16" s="22">
        <v>0</v>
      </c>
      <c r="F16" s="22">
        <v>0</v>
      </c>
      <c r="G16" s="22"/>
      <c r="H16" s="23"/>
    </row>
    <row r="17" spans="2:11" ht="30">
      <c r="B17" s="34" t="s">
        <v>128</v>
      </c>
      <c r="C17" s="22">
        <v>0</v>
      </c>
      <c r="D17" s="22">
        <v>0</v>
      </c>
      <c r="E17" s="22">
        <v>0</v>
      </c>
      <c r="F17" s="22">
        <v>0</v>
      </c>
      <c r="G17" s="22"/>
      <c r="H17" s="23"/>
    </row>
    <row r="18" spans="2:11" ht="45">
      <c r="B18" s="34" t="s">
        <v>43</v>
      </c>
      <c r="C18" s="22">
        <f>+'CIa exemplar - lançamen'!L10</f>
        <v>150000</v>
      </c>
      <c r="D18" s="22">
        <f>+'CIa exemplar - lançamen'!K25</f>
        <v>150000</v>
      </c>
      <c r="E18" s="22">
        <f>+'CIa exemplar - lançamen'!K46</f>
        <v>100000</v>
      </c>
      <c r="F18" s="22">
        <f>+'CIa exemplar - lançamen'!K68</f>
        <v>100000</v>
      </c>
      <c r="G18" s="22"/>
      <c r="H18" s="23"/>
    </row>
    <row r="19" spans="2:11" ht="45">
      <c r="B19" s="34" t="s">
        <v>129</v>
      </c>
      <c r="C19" s="22">
        <v>0</v>
      </c>
      <c r="D19" s="22">
        <v>0</v>
      </c>
      <c r="E19" s="22">
        <v>0</v>
      </c>
      <c r="F19" s="22">
        <v>0</v>
      </c>
      <c r="G19" s="22"/>
      <c r="H19" s="23"/>
    </row>
    <row r="20" spans="2:11" ht="30">
      <c r="B20" s="34" t="s">
        <v>24</v>
      </c>
      <c r="C20" s="22">
        <f>+'CIa exemplar - lançamen'!M10</f>
        <v>100000</v>
      </c>
      <c r="D20" s="22">
        <f>+'CIa exemplar - lançamen'!L25</f>
        <v>100000</v>
      </c>
      <c r="E20" s="22">
        <f>+'CIa exemplar - lançamen'!L46</f>
        <v>100000</v>
      </c>
      <c r="F20" s="22">
        <f>+'CIa exemplar - lançamen'!L68</f>
        <v>100000</v>
      </c>
      <c r="G20" s="22"/>
      <c r="H20" s="23"/>
    </row>
    <row r="21" spans="2:11">
      <c r="B21" s="34" t="s">
        <v>70</v>
      </c>
      <c r="C21" s="22">
        <v>0</v>
      </c>
      <c r="D21" s="22">
        <f>+'CIa exemplar - lançamen'!M25</f>
        <v>17000</v>
      </c>
      <c r="E21" s="22">
        <f>+'CIa exemplar - lançamen'!M46</f>
        <v>72000</v>
      </c>
      <c r="F21" s="22">
        <f>+'CIa exemplar - lançamen'!M68</f>
        <v>132000</v>
      </c>
      <c r="G21" s="22"/>
      <c r="H21" s="23"/>
      <c r="J21" s="124"/>
      <c r="K21" s="124"/>
    </row>
    <row r="22" spans="2:11" ht="45">
      <c r="B22" s="34" t="s">
        <v>72</v>
      </c>
      <c r="C22" s="22">
        <v>0</v>
      </c>
      <c r="D22" s="22"/>
      <c r="E22" s="22"/>
      <c r="F22" s="22"/>
      <c r="G22" s="22"/>
      <c r="H22" s="23"/>
    </row>
    <row r="23" spans="2:11">
      <c r="B23" s="34"/>
      <c r="C23" s="22"/>
      <c r="D23" s="22"/>
      <c r="E23" s="22"/>
      <c r="F23" s="22"/>
      <c r="G23" s="22"/>
      <c r="H23" s="23"/>
    </row>
    <row r="24" spans="2:11">
      <c r="B24" s="35" t="s">
        <v>41</v>
      </c>
      <c r="C24" s="36">
        <f t="shared" ref="C24:H24" si="2">SUM(C14:C23)</f>
        <v>280000</v>
      </c>
      <c r="D24" s="36">
        <f t="shared" si="2"/>
        <v>337000</v>
      </c>
      <c r="E24" s="36">
        <f t="shared" si="2"/>
        <v>362000</v>
      </c>
      <c r="F24" s="36">
        <f t="shared" si="2"/>
        <v>397000</v>
      </c>
      <c r="G24" s="36">
        <f t="shared" si="2"/>
        <v>0</v>
      </c>
      <c r="H24" s="37">
        <f t="shared" si="2"/>
        <v>0</v>
      </c>
    </row>
    <row r="26" spans="2:11" ht="168.75">
      <c r="B26" s="228" t="s">
        <v>54</v>
      </c>
      <c r="C26" s="229"/>
      <c r="D26" s="229"/>
      <c r="E26" s="229"/>
      <c r="F26" s="229"/>
      <c r="G26" s="229"/>
      <c r="H26" s="230"/>
    </row>
    <row r="27" spans="2:11">
      <c r="B27" s="138"/>
      <c r="C27" s="32" t="str">
        <f>+C51</f>
        <v>JAN</v>
      </c>
      <c r="D27" s="32" t="str">
        <f t="shared" ref="D27:E27" si="3">+D51</f>
        <v>FEV</v>
      </c>
      <c r="E27" s="32" t="str">
        <f t="shared" si="3"/>
        <v>MAR</v>
      </c>
      <c r="F27" s="32" t="s">
        <v>97</v>
      </c>
      <c r="G27" s="32" t="s">
        <v>125</v>
      </c>
      <c r="H27" s="33" t="s">
        <v>142</v>
      </c>
    </row>
    <row r="28" spans="2:11" ht="30">
      <c r="B28" s="50" t="s">
        <v>13</v>
      </c>
      <c r="C28" s="19">
        <v>0</v>
      </c>
      <c r="D28" s="19">
        <f>+'CIa exemplar - lançamen'!N17</f>
        <v>60000</v>
      </c>
      <c r="E28" s="19">
        <f>+'CIa exemplar - lançamen'!N37</f>
        <v>150000</v>
      </c>
      <c r="F28" s="19">
        <f>+'CIa exemplar - lançamen'!O58</f>
        <v>180000</v>
      </c>
      <c r="G28" s="19"/>
      <c r="H28" s="20"/>
    </row>
    <row r="29" spans="2:11">
      <c r="B29" s="51" t="s">
        <v>14</v>
      </c>
      <c r="C29" s="52">
        <v>0</v>
      </c>
      <c r="D29" s="52">
        <f>+'CIa exemplar - lançamen'!N18</f>
        <v>-40000</v>
      </c>
      <c r="E29" s="52">
        <f>+'CIa exemplar - lançamen'!N38</f>
        <v>-90000</v>
      </c>
      <c r="F29" s="52">
        <f>+'CIa exemplar - lançamen'!O59</f>
        <v>-100000</v>
      </c>
      <c r="G29" s="52"/>
      <c r="H29" s="53"/>
    </row>
    <row r="30" spans="2:11" ht="30">
      <c r="B30" s="50" t="s">
        <v>55</v>
      </c>
      <c r="C30" s="19">
        <f>SUM(C28:C29)</f>
        <v>0</v>
      </c>
      <c r="D30" s="19">
        <f t="shared" ref="D30:H30" si="4">SUM(D28:D29)</f>
        <v>20000</v>
      </c>
      <c r="E30" s="19">
        <f t="shared" si="4"/>
        <v>60000</v>
      </c>
      <c r="F30" s="19">
        <f t="shared" si="4"/>
        <v>80000</v>
      </c>
      <c r="G30" s="19">
        <f t="shared" si="4"/>
        <v>0</v>
      </c>
      <c r="H30" s="20">
        <f t="shared" si="4"/>
        <v>0</v>
      </c>
    </row>
    <row r="31" spans="2:11" ht="75">
      <c r="B31" s="51" t="s">
        <v>56</v>
      </c>
      <c r="C31" s="52">
        <v>0</v>
      </c>
      <c r="D31" s="52">
        <v>0</v>
      </c>
      <c r="E31" s="52">
        <v>0</v>
      </c>
      <c r="F31" s="52">
        <f>+'CIa exemplar - lançamen'!O65</f>
        <v>-10000</v>
      </c>
      <c r="G31" s="52"/>
      <c r="H31" s="53"/>
    </row>
    <row r="32" spans="2:11" ht="75">
      <c r="B32" s="51" t="s">
        <v>57</v>
      </c>
      <c r="C32" s="52">
        <v>0</v>
      </c>
      <c r="D32" s="52">
        <v>0</v>
      </c>
      <c r="E32" s="52">
        <v>0</v>
      </c>
      <c r="F32" s="52">
        <f>+'CIa exemplar - lançamen'!O66</f>
        <v>-5000</v>
      </c>
      <c r="G32" s="52"/>
      <c r="H32" s="53"/>
    </row>
    <row r="33" spans="2:8" ht="45">
      <c r="B33" s="51" t="s">
        <v>132</v>
      </c>
      <c r="C33" s="52">
        <v>0</v>
      </c>
      <c r="D33" s="52">
        <v>0</v>
      </c>
      <c r="E33" s="52">
        <v>0</v>
      </c>
      <c r="F33" s="52">
        <v>0</v>
      </c>
      <c r="G33" s="52"/>
      <c r="H33" s="53"/>
    </row>
    <row r="34" spans="2:8" ht="45">
      <c r="B34" s="51" t="s">
        <v>58</v>
      </c>
      <c r="C34" s="52">
        <v>0</v>
      </c>
      <c r="D34" s="52">
        <v>0</v>
      </c>
      <c r="E34" s="52">
        <f>+'CIa exemplar - lançamen'!N44</f>
        <v>-3000</v>
      </c>
      <c r="F34" s="52">
        <f>+'CIa exemplar - lançamen'!O64</f>
        <v>-3000</v>
      </c>
      <c r="G34" s="52"/>
      <c r="H34" s="53"/>
    </row>
    <row r="35" spans="2:8" ht="60">
      <c r="B35" s="50" t="s">
        <v>16</v>
      </c>
      <c r="C35" s="19">
        <f>SUM(C30:C34)</f>
        <v>0</v>
      </c>
      <c r="D35" s="19">
        <f t="shared" ref="D35:H35" si="5">SUM(D30:D34)</f>
        <v>20000</v>
      </c>
      <c r="E35" s="19">
        <f t="shared" si="5"/>
        <v>57000</v>
      </c>
      <c r="F35" s="19">
        <f t="shared" si="5"/>
        <v>62000</v>
      </c>
      <c r="G35" s="19">
        <f t="shared" si="5"/>
        <v>0</v>
      </c>
      <c r="H35" s="20">
        <f t="shared" si="5"/>
        <v>0</v>
      </c>
    </row>
    <row r="36" spans="2:8" ht="45">
      <c r="B36" s="51" t="s">
        <v>71</v>
      </c>
      <c r="C36" s="52">
        <v>0</v>
      </c>
      <c r="D36" s="52">
        <f>+'CIa exemplar - lançamen'!N22</f>
        <v>-3000</v>
      </c>
      <c r="E36" s="52">
        <f>+'CIa exemplar - lançamen'!N40</f>
        <v>-2000</v>
      </c>
      <c r="F36" s="52">
        <f>+'CIa exemplar - lançamen'!O61</f>
        <v>-2000</v>
      </c>
      <c r="G36" s="52"/>
      <c r="H36" s="53"/>
    </row>
    <row r="37" spans="2:8" ht="45">
      <c r="B37" s="51" t="s">
        <v>133</v>
      </c>
      <c r="C37" s="52">
        <v>0</v>
      </c>
      <c r="D37" s="52">
        <v>0</v>
      </c>
      <c r="E37" s="52"/>
      <c r="F37" s="52">
        <v>0</v>
      </c>
      <c r="G37" s="52"/>
      <c r="H37" s="53"/>
    </row>
    <row r="38" spans="2:8" ht="30">
      <c r="B38" s="50" t="s">
        <v>134</v>
      </c>
      <c r="C38" s="19">
        <f>SUM(C35:C37)</f>
        <v>0</v>
      </c>
      <c r="D38" s="19">
        <f t="shared" ref="D38:H38" si="6">SUM(D35:D37)</f>
        <v>17000</v>
      </c>
      <c r="E38" s="19">
        <f t="shared" si="6"/>
        <v>55000</v>
      </c>
      <c r="F38" s="19">
        <f t="shared" si="6"/>
        <v>60000</v>
      </c>
      <c r="G38" s="19">
        <f t="shared" si="6"/>
        <v>0</v>
      </c>
      <c r="H38" s="20">
        <f t="shared" si="6"/>
        <v>0</v>
      </c>
    </row>
    <row r="39" spans="2:8" ht="30">
      <c r="B39" s="51" t="s">
        <v>135</v>
      </c>
      <c r="C39" s="52"/>
      <c r="D39" s="52">
        <v>0</v>
      </c>
      <c r="E39" s="52"/>
      <c r="F39" s="52">
        <v>0</v>
      </c>
      <c r="G39" s="52"/>
      <c r="H39" s="53"/>
    </row>
    <row r="40" spans="2:8" ht="45">
      <c r="B40" s="35" t="s">
        <v>59</v>
      </c>
      <c r="C40" s="36">
        <f>+SUM(C38:C39)</f>
        <v>0</v>
      </c>
      <c r="D40" s="36">
        <f t="shared" ref="D40:H40" si="7">+SUM(D38:D39)</f>
        <v>17000</v>
      </c>
      <c r="E40" s="36">
        <f t="shared" si="7"/>
        <v>55000</v>
      </c>
      <c r="F40" s="36">
        <f t="shared" si="7"/>
        <v>60000</v>
      </c>
      <c r="G40" s="36">
        <f t="shared" si="7"/>
        <v>0</v>
      </c>
      <c r="H40" s="37">
        <f t="shared" si="7"/>
        <v>0</v>
      </c>
    </row>
    <row r="42" spans="2:8" ht="131.25">
      <c r="B42" s="231" t="s">
        <v>87</v>
      </c>
      <c r="C42" s="232"/>
      <c r="D42" s="232"/>
      <c r="E42" s="232"/>
      <c r="F42" s="232"/>
      <c r="G42" s="232"/>
      <c r="H42" s="232"/>
    </row>
    <row r="43" spans="2:8">
      <c r="B43" s="138"/>
      <c r="C43" s="32" t="str">
        <f>+C64</f>
        <v>JAN</v>
      </c>
      <c r="D43" s="32" t="str">
        <f t="shared" ref="D43:E43" si="8">+D64</f>
        <v>FEV</v>
      </c>
      <c r="E43" s="32" t="str">
        <f t="shared" si="8"/>
        <v>MAR</v>
      </c>
      <c r="F43" s="32" t="s">
        <v>97</v>
      </c>
      <c r="G43" s="32" t="s">
        <v>125</v>
      </c>
      <c r="H43" s="33" t="str">
        <f>+H27</f>
        <v>JUN</v>
      </c>
    </row>
    <row r="44" spans="2:8" ht="45">
      <c r="B44" s="50" t="s">
        <v>88</v>
      </c>
      <c r="C44" s="19">
        <v>0</v>
      </c>
      <c r="D44" s="19">
        <f>+C48</f>
        <v>100000</v>
      </c>
      <c r="E44" s="19">
        <f>+D48</f>
        <v>117000</v>
      </c>
      <c r="F44" s="19">
        <f>+SUM(E20:E22)</f>
        <v>172000</v>
      </c>
      <c r="G44" s="19"/>
      <c r="H44" s="20"/>
    </row>
    <row r="45" spans="2:8" ht="60">
      <c r="B45" s="51" t="s">
        <v>89</v>
      </c>
      <c r="C45" s="52">
        <f>+'CIa exemplar - lançamen'!M6</f>
        <v>100000</v>
      </c>
      <c r="D45" s="52">
        <v>0</v>
      </c>
      <c r="E45" s="52">
        <v>0</v>
      </c>
      <c r="F45" s="52">
        <v>0</v>
      </c>
      <c r="G45" s="52"/>
      <c r="H45" s="53"/>
    </row>
    <row r="46" spans="2:8" ht="60">
      <c r="B46" s="51" t="s">
        <v>90</v>
      </c>
      <c r="C46" s="52">
        <v>0</v>
      </c>
      <c r="D46" s="52">
        <f>+D40</f>
        <v>17000</v>
      </c>
      <c r="E46" s="52">
        <f t="shared" ref="E46:H46" si="9">+E40</f>
        <v>55000</v>
      </c>
      <c r="F46" s="52">
        <f t="shared" si="9"/>
        <v>60000</v>
      </c>
      <c r="G46" s="52">
        <f t="shared" si="9"/>
        <v>0</v>
      </c>
      <c r="H46" s="53">
        <f t="shared" si="9"/>
        <v>0</v>
      </c>
    </row>
    <row r="47" spans="2:8" ht="45">
      <c r="B47" s="51" t="s">
        <v>91</v>
      </c>
      <c r="C47" s="52">
        <v>0</v>
      </c>
      <c r="D47" s="52">
        <v>0</v>
      </c>
      <c r="E47" s="52">
        <v>0</v>
      </c>
      <c r="F47" s="52">
        <v>0</v>
      </c>
      <c r="G47" s="52"/>
      <c r="H47" s="53"/>
    </row>
    <row r="48" spans="2:8" ht="45">
      <c r="B48" s="77" t="s">
        <v>92</v>
      </c>
      <c r="C48" s="25">
        <f>SUM(C44:C47)</f>
        <v>100000</v>
      </c>
      <c r="D48" s="25">
        <f>SUM(D44:D47)</f>
        <v>117000</v>
      </c>
      <c r="E48" s="25">
        <f t="shared" ref="E48:H48" si="10">SUM(E44:E47)</f>
        <v>172000</v>
      </c>
      <c r="F48" s="25">
        <f t="shared" si="10"/>
        <v>232000</v>
      </c>
      <c r="G48" s="25">
        <f t="shared" si="10"/>
        <v>0</v>
      </c>
      <c r="H48" s="26">
        <f t="shared" si="10"/>
        <v>0</v>
      </c>
    </row>
    <row r="50" spans="2:8" ht="187.5">
      <c r="B50" s="228" t="s">
        <v>49</v>
      </c>
      <c r="C50" s="229"/>
      <c r="D50" s="229"/>
      <c r="E50" s="229"/>
      <c r="F50" s="229"/>
      <c r="G50" s="229"/>
      <c r="H50" s="230"/>
    </row>
    <row r="51" spans="2:8" ht="45">
      <c r="B51" s="38" t="s">
        <v>44</v>
      </c>
      <c r="C51" s="129" t="s">
        <v>45</v>
      </c>
      <c r="D51" s="129" t="s">
        <v>46</v>
      </c>
      <c r="E51" s="129" t="s">
        <v>60</v>
      </c>
      <c r="F51" s="129" t="s">
        <v>97</v>
      </c>
      <c r="G51" s="129" t="s">
        <v>125</v>
      </c>
      <c r="H51" s="130" t="str">
        <f>+H43</f>
        <v>JUN</v>
      </c>
    </row>
    <row r="52" spans="2:8" ht="60">
      <c r="B52" s="39" t="s">
        <v>73</v>
      </c>
      <c r="C52" s="40">
        <v>0</v>
      </c>
      <c r="D52" s="40">
        <f>+'CIa exemplar - lançamen'!C17</f>
        <v>50000</v>
      </c>
      <c r="E52" s="40">
        <f>+'CIa exemplar - lançamen'!C36+'CIa exemplar - lançamen'!C37</f>
        <v>140000</v>
      </c>
      <c r="F52" s="40">
        <f>+'CIa exemplar - lançamen'!C57+'CIa exemplar - lançamen'!C58</f>
        <v>150000</v>
      </c>
      <c r="G52" s="40"/>
      <c r="H52" s="41"/>
    </row>
    <row r="53" spans="2:8" ht="60">
      <c r="B53" s="39" t="s">
        <v>53</v>
      </c>
      <c r="C53" s="40">
        <f>+'CIa exemplar - lançamen'!D8</f>
        <v>-20000</v>
      </c>
      <c r="D53" s="40">
        <f>+'CIa exemplar - lançamen'!C19+'CIa exemplar - lançamen'!C20</f>
        <v>-40000</v>
      </c>
      <c r="E53" s="40">
        <f>+'CIa exemplar - lançamen'!C39+'CIa exemplar - lançamen'!C42</f>
        <v>-80000</v>
      </c>
      <c r="F53" s="40">
        <f>+'CIa exemplar - lançamen'!C60+'CIa exemplar - lançamen'!C63</f>
        <v>-190000</v>
      </c>
      <c r="G53" s="40"/>
      <c r="H53" s="41"/>
    </row>
    <row r="54" spans="2:8" ht="60">
      <c r="B54" s="39" t="s">
        <v>74</v>
      </c>
      <c r="C54" s="40">
        <v>0</v>
      </c>
      <c r="D54" s="40">
        <v>0</v>
      </c>
      <c r="E54" s="40">
        <v>0</v>
      </c>
      <c r="F54" s="40">
        <v>0</v>
      </c>
      <c r="G54" s="40"/>
      <c r="H54" s="41"/>
    </row>
    <row r="55" spans="2:8">
      <c r="B55" s="39" t="s">
        <v>147</v>
      </c>
      <c r="C55" s="40">
        <v>0</v>
      </c>
      <c r="D55" s="40">
        <v>0</v>
      </c>
      <c r="E55" s="40">
        <v>0</v>
      </c>
      <c r="F55" s="40">
        <v>0</v>
      </c>
      <c r="G55" s="40"/>
      <c r="H55" s="41"/>
    </row>
    <row r="56" spans="2:8">
      <c r="B56" s="39"/>
      <c r="C56" s="40"/>
      <c r="D56" s="40"/>
      <c r="E56" s="40"/>
      <c r="F56" s="40"/>
      <c r="G56" s="40"/>
      <c r="H56" s="41"/>
    </row>
    <row r="57" spans="2:8">
      <c r="B57" s="35" t="s">
        <v>41</v>
      </c>
      <c r="C57" s="36">
        <f>+SUM(C52:C56)</f>
        <v>-20000</v>
      </c>
      <c r="D57" s="36">
        <f t="shared" ref="D57:H57" si="11">+SUM(D52:D56)</f>
        <v>10000</v>
      </c>
      <c r="E57" s="36">
        <f t="shared" si="11"/>
        <v>60000</v>
      </c>
      <c r="F57" s="36">
        <f t="shared" si="11"/>
        <v>-40000</v>
      </c>
      <c r="G57" s="36">
        <f t="shared" si="11"/>
        <v>0</v>
      </c>
      <c r="H57" s="37">
        <f t="shared" si="11"/>
        <v>0</v>
      </c>
    </row>
    <row r="58" spans="2:8" ht="45">
      <c r="B58" s="38" t="s">
        <v>47</v>
      </c>
      <c r="C58" s="129" t="str">
        <f>+C51</f>
        <v>JAN</v>
      </c>
      <c r="D58" s="129" t="str">
        <f t="shared" ref="D58:F58" si="12">+D51</f>
        <v>FEV</v>
      </c>
      <c r="E58" s="129" t="str">
        <f t="shared" si="12"/>
        <v>MAR</v>
      </c>
      <c r="F58" s="129" t="str">
        <f t="shared" si="12"/>
        <v>ABR</v>
      </c>
      <c r="G58" s="129" t="s">
        <v>125</v>
      </c>
      <c r="H58" s="130" t="str">
        <f>+H51</f>
        <v>JUN</v>
      </c>
    </row>
    <row r="59" spans="2:8" ht="30">
      <c r="B59" s="39" t="s">
        <v>52</v>
      </c>
      <c r="C59" s="40">
        <f>+'CIa exemplar - lançamen'!D7</f>
        <v>-20000</v>
      </c>
      <c r="D59" s="40">
        <f>+'CIa exemplar - lançamen'!C21</f>
        <v>-180000</v>
      </c>
      <c r="E59" s="40">
        <v>0</v>
      </c>
      <c r="F59" s="40">
        <v>0</v>
      </c>
      <c r="G59" s="40"/>
      <c r="H59" s="41"/>
    </row>
    <row r="60" spans="2:8">
      <c r="B60" s="39"/>
      <c r="C60" s="40"/>
      <c r="D60" s="40"/>
      <c r="E60" s="40"/>
      <c r="F60" s="40"/>
      <c r="G60" s="40"/>
      <c r="H60" s="41"/>
    </row>
    <row r="61" spans="2:8">
      <c r="B61" s="39"/>
      <c r="C61" s="40"/>
      <c r="D61" s="40"/>
      <c r="E61" s="40"/>
      <c r="F61" s="40"/>
      <c r="G61" s="40"/>
      <c r="H61" s="41"/>
    </row>
    <row r="62" spans="2:8">
      <c r="B62" s="39"/>
      <c r="C62" s="40"/>
      <c r="D62" s="40"/>
      <c r="E62" s="40"/>
      <c r="F62" s="40"/>
      <c r="G62" s="40"/>
      <c r="H62" s="41"/>
    </row>
    <row r="63" spans="2:8">
      <c r="B63" s="35" t="s">
        <v>41</v>
      </c>
      <c r="C63" s="36">
        <f>+SUM(C59:C62)</f>
        <v>-20000</v>
      </c>
      <c r="D63" s="36">
        <f t="shared" ref="D63:H63" si="13">+SUM(D59:D62)</f>
        <v>-180000</v>
      </c>
      <c r="E63" s="36">
        <f t="shared" si="13"/>
        <v>0</v>
      </c>
      <c r="F63" s="36">
        <f t="shared" si="13"/>
        <v>0</v>
      </c>
      <c r="G63" s="36">
        <f t="shared" si="13"/>
        <v>0</v>
      </c>
      <c r="H63" s="37">
        <f t="shared" si="13"/>
        <v>0</v>
      </c>
    </row>
    <row r="64" spans="2:8" ht="60">
      <c r="B64" s="38" t="s">
        <v>48</v>
      </c>
      <c r="C64" s="129" t="str">
        <f>+C58</f>
        <v>JAN</v>
      </c>
      <c r="D64" s="129" t="str">
        <f t="shared" ref="D64:F64" si="14">+D58</f>
        <v>FEV</v>
      </c>
      <c r="E64" s="129" t="str">
        <f t="shared" si="14"/>
        <v>MAR</v>
      </c>
      <c r="F64" s="129" t="str">
        <f t="shared" si="14"/>
        <v>ABR</v>
      </c>
      <c r="G64" s="129" t="s">
        <v>125</v>
      </c>
      <c r="H64" s="130" t="str">
        <f>+H58</f>
        <v>JUN</v>
      </c>
    </row>
    <row r="65" spans="2:8" ht="45">
      <c r="B65" s="39" t="s">
        <v>51</v>
      </c>
      <c r="C65" s="40">
        <f>+'CIa exemplar - lançamen'!D6</f>
        <v>100000</v>
      </c>
      <c r="D65" s="40">
        <v>0</v>
      </c>
      <c r="E65" s="40">
        <v>0</v>
      </c>
      <c r="F65" s="40">
        <v>0</v>
      </c>
      <c r="G65" s="40"/>
      <c r="H65" s="41"/>
    </row>
    <row r="66" spans="2:8" ht="30">
      <c r="B66" s="39" t="s">
        <v>50</v>
      </c>
      <c r="C66" s="40">
        <f>+'CIa exemplar - lançamen'!D9</f>
        <v>150000</v>
      </c>
      <c r="D66" s="40">
        <v>0</v>
      </c>
      <c r="E66" s="40">
        <f>+'CIa exemplar - lançamen'!C43</f>
        <v>-50000</v>
      </c>
      <c r="F66" s="40">
        <v>0</v>
      </c>
      <c r="G66" s="40"/>
      <c r="H66" s="41"/>
    </row>
    <row r="67" spans="2:8">
      <c r="B67" s="39" t="s">
        <v>75</v>
      </c>
      <c r="C67" s="40"/>
      <c r="D67" s="40">
        <f>+'CIa exemplar - lançamen'!C23</f>
        <v>-3000</v>
      </c>
      <c r="E67" s="40">
        <f>+'CIa exemplar - lançamen'!C41</f>
        <v>-2000</v>
      </c>
      <c r="F67" s="40">
        <f>+'CIa exemplar - lançamen'!C62</f>
        <v>-2000</v>
      </c>
      <c r="G67" s="40"/>
      <c r="H67" s="41"/>
    </row>
    <row r="68" spans="2:8" ht="30">
      <c r="B68" s="39" t="s">
        <v>98</v>
      </c>
      <c r="C68" s="40"/>
      <c r="D68" s="40"/>
      <c r="E68" s="40"/>
      <c r="F68" s="40"/>
      <c r="G68" s="40"/>
      <c r="H68" s="41"/>
    </row>
    <row r="69" spans="2:8">
      <c r="B69" s="35" t="s">
        <v>41</v>
      </c>
      <c r="C69" s="36">
        <f>+SUM(C65:C68)</f>
        <v>250000</v>
      </c>
      <c r="D69" s="36">
        <f t="shared" ref="D69" si="15">+SUM(D65:D68)</f>
        <v>-3000</v>
      </c>
      <c r="E69" s="36">
        <f t="shared" ref="E69:H69" si="16">+SUM(E65:E68)</f>
        <v>-52000</v>
      </c>
      <c r="F69" s="36">
        <f t="shared" si="16"/>
        <v>-2000</v>
      </c>
      <c r="G69" s="36">
        <f t="shared" si="16"/>
        <v>0</v>
      </c>
      <c r="H69" s="37">
        <f t="shared" si="16"/>
        <v>0</v>
      </c>
    </row>
    <row r="70" spans="2:8" ht="30">
      <c r="B70" s="44" t="s">
        <v>5</v>
      </c>
      <c r="C70" s="42">
        <f>+C57+C63+C69</f>
        <v>210000</v>
      </c>
      <c r="D70" s="42">
        <f t="shared" ref="D70:H70" si="17">+D57+D63+D69</f>
        <v>-173000</v>
      </c>
      <c r="E70" s="42">
        <f t="shared" si="17"/>
        <v>8000</v>
      </c>
      <c r="F70" s="42">
        <f t="shared" si="17"/>
        <v>-42000</v>
      </c>
      <c r="G70" s="42">
        <f t="shared" si="17"/>
        <v>0</v>
      </c>
      <c r="H70" s="43">
        <f t="shared" si="17"/>
        <v>0</v>
      </c>
    </row>
    <row r="72" spans="2:8" ht="45">
      <c r="B72" s="45" t="s">
        <v>9</v>
      </c>
      <c r="C72" s="46">
        <v>0</v>
      </c>
      <c r="D72" s="46">
        <f>+C73</f>
        <v>210000</v>
      </c>
      <c r="E72" s="46">
        <f t="shared" ref="E72:F72" si="18">+D73</f>
        <v>37000</v>
      </c>
      <c r="F72" s="46">
        <f t="shared" si="18"/>
        <v>45000</v>
      </c>
      <c r="G72" s="46">
        <f>+F73</f>
        <v>3000</v>
      </c>
      <c r="H72" s="47">
        <f>+G73</f>
        <v>0</v>
      </c>
    </row>
    <row r="73" spans="2:8" ht="45">
      <c r="B73" s="48" t="s">
        <v>10</v>
      </c>
      <c r="C73" s="40">
        <f t="shared" ref="C73:H73" si="19">+C4</f>
        <v>210000</v>
      </c>
      <c r="D73" s="40">
        <f t="shared" si="19"/>
        <v>37000</v>
      </c>
      <c r="E73" s="40">
        <f t="shared" si="19"/>
        <v>45000</v>
      </c>
      <c r="F73" s="40">
        <f t="shared" si="19"/>
        <v>3000</v>
      </c>
      <c r="G73" s="40">
        <f t="shared" si="19"/>
        <v>0</v>
      </c>
      <c r="H73" s="41">
        <f t="shared" si="19"/>
        <v>0</v>
      </c>
    </row>
    <row r="74" spans="2:8" ht="30">
      <c r="B74" s="49" t="s">
        <v>5</v>
      </c>
      <c r="C74" s="36">
        <f>+C73-C72</f>
        <v>210000</v>
      </c>
      <c r="D74" s="36">
        <f t="shared" ref="D74:H74" si="20">+D73-D72</f>
        <v>-173000</v>
      </c>
      <c r="E74" s="36">
        <f t="shared" si="20"/>
        <v>8000</v>
      </c>
      <c r="F74" s="36">
        <f t="shared" si="20"/>
        <v>-42000</v>
      </c>
      <c r="G74" s="36">
        <f t="shared" si="20"/>
        <v>-3000</v>
      </c>
      <c r="H74" s="37">
        <f t="shared" si="20"/>
        <v>0</v>
      </c>
    </row>
    <row r="76" spans="2:8" ht="206.25">
      <c r="B76" s="228" t="s">
        <v>76</v>
      </c>
      <c r="C76" s="229"/>
      <c r="D76" s="229"/>
      <c r="E76" s="229"/>
      <c r="F76" s="229"/>
      <c r="G76" s="229"/>
      <c r="H76" s="230"/>
    </row>
    <row r="77" spans="2:8" ht="45">
      <c r="B77" s="38" t="s">
        <v>44</v>
      </c>
      <c r="C77" s="139" t="s">
        <v>45</v>
      </c>
      <c r="D77" s="139" t="s">
        <v>46</v>
      </c>
      <c r="E77" s="139" t="s">
        <v>60</v>
      </c>
      <c r="F77" s="139" t="s">
        <v>97</v>
      </c>
      <c r="G77" s="139" t="s">
        <v>125</v>
      </c>
      <c r="H77" s="140" t="str">
        <f>+H51</f>
        <v>JUN</v>
      </c>
    </row>
    <row r="78" spans="2:8" ht="60">
      <c r="B78" s="39" t="s">
        <v>77</v>
      </c>
      <c r="C78" s="40">
        <f>+C40</f>
        <v>0</v>
      </c>
      <c r="D78" s="40">
        <f>+D40</f>
        <v>17000</v>
      </c>
      <c r="E78" s="40">
        <f t="shared" ref="E78:H78" si="21">+E40</f>
        <v>55000</v>
      </c>
      <c r="F78" s="40">
        <f t="shared" si="21"/>
        <v>60000</v>
      </c>
      <c r="G78" s="40">
        <f t="shared" si="21"/>
        <v>0</v>
      </c>
      <c r="H78" s="41">
        <f t="shared" si="21"/>
        <v>0</v>
      </c>
    </row>
    <row r="79" spans="2:8" ht="45">
      <c r="B79" s="39" t="s">
        <v>78</v>
      </c>
      <c r="C79" s="40">
        <v>0</v>
      </c>
      <c r="D79" s="40">
        <v>0</v>
      </c>
      <c r="E79" s="40">
        <f>-E34</f>
        <v>3000</v>
      </c>
      <c r="F79" s="40">
        <f>-F34</f>
        <v>3000</v>
      </c>
      <c r="G79" s="40"/>
      <c r="H79" s="41"/>
    </row>
    <row r="80" spans="2:8" ht="30">
      <c r="B80" s="39" t="s">
        <v>79</v>
      </c>
      <c r="C80" s="40">
        <v>0</v>
      </c>
      <c r="D80" s="40">
        <f>-D36</f>
        <v>3000</v>
      </c>
      <c r="E80" s="40">
        <f>-E36</f>
        <v>2000</v>
      </c>
      <c r="F80" s="40">
        <f>-F36</f>
        <v>2000</v>
      </c>
      <c r="G80" s="40"/>
      <c r="H80" s="41"/>
    </row>
    <row r="81" spans="2:8" ht="60">
      <c r="B81" s="39" t="s">
        <v>136</v>
      </c>
      <c r="C81" s="40">
        <v>0</v>
      </c>
      <c r="D81" s="40">
        <v>0</v>
      </c>
      <c r="E81" s="40">
        <v>0</v>
      </c>
      <c r="F81" s="40">
        <v>0</v>
      </c>
      <c r="G81" s="40"/>
      <c r="H81" s="41"/>
    </row>
    <row r="82" spans="2:8" ht="60">
      <c r="B82" s="39" t="s">
        <v>86</v>
      </c>
      <c r="C82" s="40">
        <v>0</v>
      </c>
      <c r="D82" s="40">
        <f t="shared" ref="D82:F83" si="22">+C5-D5</f>
        <v>-10000</v>
      </c>
      <c r="E82" s="40">
        <f t="shared" si="22"/>
        <v>-10000</v>
      </c>
      <c r="F82" s="40">
        <f t="shared" si="22"/>
        <v>-30000</v>
      </c>
      <c r="G82" s="40"/>
      <c r="H82" s="41"/>
    </row>
    <row r="83" spans="2:8" ht="45">
      <c r="B83" s="39" t="s">
        <v>80</v>
      </c>
      <c r="C83" s="40">
        <f>-C6</f>
        <v>-50000</v>
      </c>
      <c r="D83" s="40">
        <f t="shared" si="22"/>
        <v>-40000</v>
      </c>
      <c r="E83" s="40">
        <f t="shared" si="22"/>
        <v>-10000</v>
      </c>
      <c r="F83" s="40">
        <f t="shared" si="22"/>
        <v>-50000</v>
      </c>
      <c r="G83" s="40"/>
      <c r="H83" s="41"/>
    </row>
    <row r="84" spans="2:8" ht="60">
      <c r="B84" s="39" t="s">
        <v>140</v>
      </c>
      <c r="C84" s="40">
        <v>0</v>
      </c>
      <c r="D84" s="40">
        <v>0</v>
      </c>
      <c r="E84" s="40">
        <v>0</v>
      </c>
      <c r="F84" s="40">
        <v>0</v>
      </c>
      <c r="G84" s="40"/>
      <c r="H84" s="41"/>
    </row>
    <row r="85" spans="2:8" ht="60">
      <c r="B85" s="39" t="s">
        <v>84</v>
      </c>
      <c r="C85" s="40">
        <f>+'CIa exemplar - lançamen'!J10</f>
        <v>30000</v>
      </c>
      <c r="D85" s="40">
        <f>+D14-C14</f>
        <v>40000</v>
      </c>
      <c r="E85" s="40">
        <f>+E14-D14</f>
        <v>20000</v>
      </c>
      <c r="F85" s="40">
        <f>+F14-E14</f>
        <v>-40000</v>
      </c>
      <c r="G85" s="40"/>
      <c r="H85" s="41"/>
    </row>
    <row r="86" spans="2:8" ht="60">
      <c r="B86" s="39" t="s">
        <v>85</v>
      </c>
      <c r="C86" s="40">
        <v>0</v>
      </c>
      <c r="D86" s="40">
        <v>0</v>
      </c>
      <c r="E86" s="40">
        <v>0</v>
      </c>
      <c r="F86" s="40">
        <f>+F15-E15</f>
        <v>15000</v>
      </c>
      <c r="G86" s="40"/>
      <c r="H86" s="41"/>
    </row>
    <row r="87" spans="2:8" ht="60">
      <c r="B87" s="39" t="s">
        <v>137</v>
      </c>
      <c r="C87" s="40">
        <v>0</v>
      </c>
      <c r="D87" s="40">
        <v>0</v>
      </c>
      <c r="E87" s="40">
        <v>0</v>
      </c>
      <c r="F87" s="40">
        <v>0</v>
      </c>
      <c r="G87" s="40"/>
      <c r="H87" s="41"/>
    </row>
    <row r="88" spans="2:8" ht="45">
      <c r="B88" s="39" t="s">
        <v>138</v>
      </c>
      <c r="C88" s="40">
        <v>0</v>
      </c>
      <c r="D88" s="40">
        <v>0</v>
      </c>
      <c r="E88" s="40">
        <v>0</v>
      </c>
      <c r="F88" s="40">
        <v>0</v>
      </c>
      <c r="G88" s="40"/>
      <c r="H88" s="41"/>
    </row>
    <row r="89" spans="2:8">
      <c r="B89" s="39"/>
      <c r="C89" s="40"/>
      <c r="D89" s="40"/>
      <c r="E89" s="40"/>
      <c r="F89" s="40"/>
      <c r="G89" s="40"/>
      <c r="H89" s="41"/>
    </row>
    <row r="90" spans="2:8">
      <c r="B90" s="35" t="s">
        <v>41</v>
      </c>
      <c r="C90" s="36">
        <f t="shared" ref="C90:H90" si="23">+SUM(C78:C89)</f>
        <v>-20000</v>
      </c>
      <c r="D90" s="36">
        <f t="shared" si="23"/>
        <v>10000</v>
      </c>
      <c r="E90" s="36">
        <f t="shared" si="23"/>
        <v>60000</v>
      </c>
      <c r="F90" s="36">
        <f t="shared" si="23"/>
        <v>-40000</v>
      </c>
      <c r="G90" s="36">
        <f t="shared" si="23"/>
        <v>0</v>
      </c>
      <c r="H90" s="37">
        <f t="shared" si="23"/>
        <v>0</v>
      </c>
    </row>
    <row r="91" spans="2:8" ht="45">
      <c r="B91" s="38" t="s">
        <v>47</v>
      </c>
      <c r="C91" s="129" t="str">
        <f>+C77</f>
        <v>JAN</v>
      </c>
      <c r="D91" s="129" t="str">
        <f>+D77</f>
        <v>FEV</v>
      </c>
      <c r="E91" s="129" t="str">
        <f>+E77</f>
        <v>MAR</v>
      </c>
      <c r="F91" s="129" t="str">
        <f>+F77</f>
        <v>ABR</v>
      </c>
      <c r="G91" s="129" t="s">
        <v>125</v>
      </c>
      <c r="H91" s="130" t="str">
        <f>+H77</f>
        <v>JUN</v>
      </c>
    </row>
    <row r="92" spans="2:8" ht="45">
      <c r="B92" s="39" t="s">
        <v>81</v>
      </c>
      <c r="C92" s="40">
        <f>-'CIa exemplar - lançamen'!G10</f>
        <v>-20000</v>
      </c>
      <c r="D92" s="40">
        <f>+C9-D9</f>
        <v>-180000</v>
      </c>
      <c r="E92" s="40">
        <v>0</v>
      </c>
      <c r="F92" s="40">
        <v>0</v>
      </c>
      <c r="G92" s="40"/>
      <c r="H92" s="41"/>
    </row>
    <row r="93" spans="2:8" ht="45">
      <c r="B93" s="39" t="s">
        <v>139</v>
      </c>
      <c r="C93" s="40"/>
      <c r="D93" s="40"/>
      <c r="E93" s="40"/>
      <c r="F93" s="40">
        <v>0</v>
      </c>
      <c r="G93" s="40"/>
      <c r="H93" s="41"/>
    </row>
    <row r="94" spans="2:8">
      <c r="B94" s="39"/>
      <c r="C94" s="40"/>
      <c r="D94" s="40"/>
      <c r="E94" s="40"/>
      <c r="F94" s="40"/>
      <c r="G94" s="40"/>
      <c r="H94" s="41"/>
    </row>
    <row r="95" spans="2:8">
      <c r="B95" s="35" t="s">
        <v>41</v>
      </c>
      <c r="C95" s="36">
        <f t="shared" ref="C95:H95" si="24">+SUM(C92:C94)</f>
        <v>-20000</v>
      </c>
      <c r="D95" s="36">
        <f t="shared" si="24"/>
        <v>-180000</v>
      </c>
      <c r="E95" s="36">
        <f t="shared" si="24"/>
        <v>0</v>
      </c>
      <c r="F95" s="36">
        <f t="shared" si="24"/>
        <v>0</v>
      </c>
      <c r="G95" s="36">
        <f t="shared" si="24"/>
        <v>0</v>
      </c>
      <c r="H95" s="37">
        <f t="shared" si="24"/>
        <v>0</v>
      </c>
    </row>
    <row r="96" spans="2:8" ht="60">
      <c r="B96" s="38" t="s">
        <v>48</v>
      </c>
      <c r="C96" s="129" t="str">
        <f>+C91</f>
        <v>JAN</v>
      </c>
      <c r="D96" s="129" t="str">
        <f>+D91</f>
        <v>FEV</v>
      </c>
      <c r="E96" s="129" t="str">
        <f>+E91</f>
        <v>MAR</v>
      </c>
      <c r="F96" s="129" t="str">
        <f>+F91</f>
        <v>ABR</v>
      </c>
      <c r="G96" s="129" t="s">
        <v>125</v>
      </c>
      <c r="H96" s="130" t="str">
        <f>+H91</f>
        <v>JUN</v>
      </c>
    </row>
    <row r="97" spans="2:8" ht="60">
      <c r="B97" s="39" t="s">
        <v>82</v>
      </c>
      <c r="C97" s="40">
        <f>+'CIa exemplar - lançamen'!L10</f>
        <v>150000</v>
      </c>
      <c r="D97" s="40"/>
      <c r="E97" s="40">
        <f>+E18-D18</f>
        <v>-50000</v>
      </c>
      <c r="F97" s="40">
        <v>0</v>
      </c>
      <c r="G97" s="40"/>
      <c r="H97" s="41"/>
    </row>
    <row r="98" spans="2:8" ht="60">
      <c r="B98" s="39" t="s">
        <v>83</v>
      </c>
      <c r="C98" s="40">
        <f>+'CIa exemplar - lançamen'!M10</f>
        <v>100000</v>
      </c>
      <c r="D98" s="40"/>
      <c r="E98" s="40">
        <v>0</v>
      </c>
      <c r="F98" s="40">
        <v>0</v>
      </c>
      <c r="G98" s="40"/>
      <c r="H98" s="41"/>
    </row>
    <row r="99" spans="2:8" ht="45">
      <c r="B99" s="39" t="s">
        <v>71</v>
      </c>
      <c r="C99" s="40"/>
      <c r="D99" s="40">
        <f>-D80</f>
        <v>-3000</v>
      </c>
      <c r="E99" s="40">
        <f>-E80</f>
        <v>-2000</v>
      </c>
      <c r="F99" s="40">
        <f>-F80</f>
        <v>-2000</v>
      </c>
      <c r="G99" s="40"/>
      <c r="H99" s="41"/>
    </row>
    <row r="100" spans="2:8" ht="45">
      <c r="B100" s="39" t="s">
        <v>141</v>
      </c>
      <c r="C100" s="40"/>
      <c r="D100" s="40"/>
      <c r="E100" s="40">
        <v>0</v>
      </c>
      <c r="F100" s="40">
        <v>0</v>
      </c>
      <c r="G100" s="40"/>
      <c r="H100" s="41"/>
    </row>
    <row r="101" spans="2:8">
      <c r="B101" s="35" t="s">
        <v>41</v>
      </c>
      <c r="C101" s="36">
        <f t="shared" ref="C101:E101" si="25">+SUM(C97:C100)</f>
        <v>250000</v>
      </c>
      <c r="D101" s="36">
        <f t="shared" si="25"/>
        <v>-3000</v>
      </c>
      <c r="E101" s="36">
        <f t="shared" si="25"/>
        <v>-52000</v>
      </c>
      <c r="F101" s="36">
        <f>+SUM(F97:F100)</f>
        <v>-2000</v>
      </c>
      <c r="G101" s="36">
        <f>+SUM(G97:G100)</f>
        <v>0</v>
      </c>
      <c r="H101" s="37">
        <f>+SUM(H97:H100)</f>
        <v>0</v>
      </c>
    </row>
    <row r="102" spans="2:8" ht="30">
      <c r="B102" s="44" t="s">
        <v>5</v>
      </c>
      <c r="C102" s="42">
        <f t="shared" ref="C102:H102" si="26">+C90+C95+C101</f>
        <v>210000</v>
      </c>
      <c r="D102" s="42">
        <f t="shared" si="26"/>
        <v>-173000</v>
      </c>
      <c r="E102" s="42">
        <f t="shared" si="26"/>
        <v>8000</v>
      </c>
      <c r="F102" s="42">
        <f t="shared" si="26"/>
        <v>-42000</v>
      </c>
      <c r="G102" s="42">
        <f t="shared" si="26"/>
        <v>0</v>
      </c>
      <c r="H102" s="43">
        <f t="shared" si="26"/>
        <v>0</v>
      </c>
    </row>
    <row r="104" spans="2:8" ht="45">
      <c r="B104" s="45" t="s">
        <v>9</v>
      </c>
      <c r="C104" s="46">
        <v>0</v>
      </c>
      <c r="D104" s="46">
        <f>+C105</f>
        <v>210000</v>
      </c>
      <c r="E104" s="46">
        <f t="shared" ref="E104:F104" si="27">+D105</f>
        <v>37000</v>
      </c>
      <c r="F104" s="46">
        <f t="shared" si="27"/>
        <v>45000</v>
      </c>
      <c r="G104" s="46">
        <f>+F105</f>
        <v>3000</v>
      </c>
      <c r="H104" s="47">
        <f>+G105</f>
        <v>3000</v>
      </c>
    </row>
    <row r="105" spans="2:8" ht="45">
      <c r="B105" s="48" t="s">
        <v>10</v>
      </c>
      <c r="C105" s="40">
        <f>+C104+C102</f>
        <v>210000</v>
      </c>
      <c r="D105" s="40">
        <f t="shared" ref="D105:H105" si="28">+D104+D102</f>
        <v>37000</v>
      </c>
      <c r="E105" s="40">
        <f t="shared" si="28"/>
        <v>45000</v>
      </c>
      <c r="F105" s="40">
        <f t="shared" si="28"/>
        <v>3000</v>
      </c>
      <c r="G105" s="40">
        <f t="shared" si="28"/>
        <v>3000</v>
      </c>
      <c r="H105" s="41">
        <f t="shared" si="28"/>
        <v>3000</v>
      </c>
    </row>
    <row r="106" spans="2:8" ht="30">
      <c r="B106" s="49" t="s">
        <v>5</v>
      </c>
      <c r="C106" s="36">
        <f>+C105-C104</f>
        <v>210000</v>
      </c>
      <c r="D106" s="36">
        <f t="shared" ref="D106:H106" si="29">+D105-D104</f>
        <v>-173000</v>
      </c>
      <c r="E106" s="36">
        <f t="shared" si="29"/>
        <v>8000</v>
      </c>
      <c r="F106" s="36">
        <f t="shared" si="29"/>
        <v>-42000</v>
      </c>
      <c r="G106" s="36">
        <f t="shared" si="29"/>
        <v>0</v>
      </c>
      <c r="H106" s="37">
        <f t="shared" si="29"/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17"/>
  <sheetViews>
    <sheetView tabSelected="1" workbookViewId="0"/>
  </sheetViews>
  <sheetFormatPr defaultRowHeight="15"/>
  <sheetData>
    <row r="2" spans="2:8" ht="30">
      <c r="B2" s="245" t="s">
        <v>149</v>
      </c>
      <c r="C2" s="245"/>
      <c r="D2" s="245"/>
      <c r="E2" s="143"/>
      <c r="F2" s="245" t="s">
        <v>150</v>
      </c>
      <c r="G2" s="245"/>
      <c r="H2" s="245"/>
    </row>
    <row r="3" spans="2:8">
      <c r="B3" s="143"/>
      <c r="C3" s="143"/>
      <c r="D3" s="143"/>
      <c r="E3" s="143"/>
      <c r="F3" s="143"/>
      <c r="G3" s="143"/>
      <c r="H3" s="143"/>
    </row>
    <row r="4" spans="2:8">
      <c r="B4" s="144"/>
      <c r="C4" s="145" t="s">
        <v>151</v>
      </c>
      <c r="D4" s="146" t="s">
        <v>152</v>
      </c>
      <c r="E4" s="147"/>
      <c r="F4" s="144"/>
      <c r="G4" s="145" t="s">
        <v>151</v>
      </c>
      <c r="H4" s="146" t="s">
        <v>152</v>
      </c>
    </row>
    <row r="5" spans="2:8" ht="45">
      <c r="B5" s="158" t="s">
        <v>21</v>
      </c>
      <c r="C5" s="159">
        <v>1000</v>
      </c>
      <c r="D5" s="160">
        <v>1500</v>
      </c>
      <c r="E5" s="147"/>
      <c r="F5" s="158" t="s">
        <v>42</v>
      </c>
      <c r="G5" s="159">
        <v>5000</v>
      </c>
      <c r="H5" s="160">
        <v>5500</v>
      </c>
    </row>
    <row r="6" spans="2:8" ht="45">
      <c r="B6" s="158" t="s">
        <v>153</v>
      </c>
      <c r="C6" s="159">
        <v>2500</v>
      </c>
      <c r="D6" s="160">
        <v>4500</v>
      </c>
      <c r="E6" s="147"/>
      <c r="F6" s="158" t="s">
        <v>37</v>
      </c>
      <c r="G6" s="159">
        <v>2000</v>
      </c>
      <c r="H6" s="160">
        <v>2500</v>
      </c>
    </row>
    <row r="7" spans="2:8" ht="30">
      <c r="B7" s="158" t="s">
        <v>154</v>
      </c>
      <c r="C7" s="159">
        <v>5500</v>
      </c>
      <c r="D7" s="160">
        <v>6500</v>
      </c>
      <c r="E7" s="147"/>
      <c r="F7" s="158" t="s">
        <v>155</v>
      </c>
      <c r="G7" s="159">
        <v>1000</v>
      </c>
      <c r="H7" s="160">
        <v>2000</v>
      </c>
    </row>
    <row r="8" spans="2:8" ht="45">
      <c r="B8" s="158" t="s">
        <v>156</v>
      </c>
      <c r="C8" s="159">
        <v>9000</v>
      </c>
      <c r="D8" s="160">
        <v>9500</v>
      </c>
      <c r="E8" s="147"/>
      <c r="F8" s="161" t="s">
        <v>43</v>
      </c>
      <c r="G8" s="162">
        <v>3000</v>
      </c>
      <c r="H8" s="163">
        <v>5000</v>
      </c>
    </row>
    <row r="9" spans="2:8">
      <c r="B9" s="150"/>
      <c r="C9" s="147"/>
      <c r="D9" s="151"/>
      <c r="E9" s="147"/>
      <c r="F9" s="161" t="s">
        <v>157</v>
      </c>
      <c r="G9" s="162">
        <v>7000</v>
      </c>
      <c r="H9" s="163">
        <v>7000</v>
      </c>
    </row>
    <row r="10" spans="2:8">
      <c r="B10" s="152" t="s">
        <v>41</v>
      </c>
      <c r="C10" s="153">
        <v>18000</v>
      </c>
      <c r="D10" s="154">
        <v>22000</v>
      </c>
      <c r="E10" s="147"/>
      <c r="F10" s="152" t="s">
        <v>41</v>
      </c>
      <c r="G10" s="153">
        <v>18000</v>
      </c>
      <c r="H10" s="154">
        <v>22000</v>
      </c>
    </row>
    <row r="11" spans="2:8">
      <c r="B11" s="147"/>
      <c r="C11" s="147"/>
      <c r="D11" s="147"/>
      <c r="E11" s="147"/>
      <c r="F11" s="147"/>
      <c r="G11" s="147"/>
      <c r="H11" s="147"/>
    </row>
    <row r="12" spans="2:8" ht="30">
      <c r="B12" s="245" t="s">
        <v>158</v>
      </c>
      <c r="C12" s="245"/>
      <c r="D12" s="155"/>
      <c r="E12" s="147"/>
      <c r="F12" s="147"/>
      <c r="G12" s="147"/>
      <c r="H12" s="147"/>
    </row>
    <row r="13" spans="2:8">
      <c r="B13" s="143"/>
      <c r="C13" s="143"/>
      <c r="D13" s="143"/>
      <c r="E13" s="143"/>
      <c r="F13" s="143"/>
      <c r="G13" s="143"/>
      <c r="H13" s="143"/>
    </row>
    <row r="14" spans="2:8" ht="45">
      <c r="B14" s="164" t="s">
        <v>159</v>
      </c>
      <c r="C14" s="165">
        <v>41250</v>
      </c>
      <c r="D14" s="147"/>
      <c r="E14" s="147"/>
      <c r="F14" s="147"/>
      <c r="G14" s="147"/>
      <c r="H14" s="147"/>
    </row>
    <row r="15" spans="2:8" ht="45">
      <c r="B15" s="166" t="s">
        <v>160</v>
      </c>
      <c r="C15" s="167">
        <v>-2750</v>
      </c>
      <c r="D15" s="147"/>
      <c r="E15" s="147"/>
      <c r="F15" s="147"/>
      <c r="G15" s="147"/>
      <c r="H15" s="147"/>
    </row>
    <row r="16" spans="2:8" ht="45">
      <c r="B16" s="158" t="s">
        <v>161</v>
      </c>
      <c r="C16" s="160">
        <v>38500</v>
      </c>
      <c r="D16" s="147"/>
      <c r="E16" s="147"/>
      <c r="F16" s="147"/>
      <c r="G16" s="147"/>
      <c r="H16" s="147"/>
    </row>
    <row r="17" spans="2:8">
      <c r="B17" s="158" t="s">
        <v>162</v>
      </c>
      <c r="C17" s="160">
        <v>-28000</v>
      </c>
      <c r="D17" s="147"/>
      <c r="E17" s="147"/>
      <c r="F17" s="147"/>
      <c r="G17" s="147"/>
      <c r="H17" s="147"/>
    </row>
    <row r="18" spans="2:8" ht="30">
      <c r="B18" s="158" t="s">
        <v>55</v>
      </c>
      <c r="C18" s="160">
        <v>10500</v>
      </c>
      <c r="D18" s="147"/>
      <c r="E18" s="147"/>
      <c r="F18" s="147"/>
      <c r="G18" s="147"/>
      <c r="H18" s="147"/>
    </row>
    <row r="19" spans="2:8" ht="75">
      <c r="B19" s="158" t="s">
        <v>56</v>
      </c>
      <c r="C19" s="160">
        <v>-3500</v>
      </c>
      <c r="D19" s="147"/>
      <c r="E19" s="147"/>
      <c r="F19" s="147"/>
      <c r="G19" s="147"/>
      <c r="H19" s="147"/>
    </row>
    <row r="20" spans="2:8" ht="75">
      <c r="B20" s="158" t="s">
        <v>163</v>
      </c>
      <c r="C20" s="160">
        <v>-2300</v>
      </c>
      <c r="D20" s="147"/>
      <c r="E20" s="147"/>
      <c r="F20" s="147"/>
      <c r="G20" s="147"/>
      <c r="H20" s="147"/>
    </row>
    <row r="21" spans="2:8" ht="75">
      <c r="B21" s="161" t="s">
        <v>164</v>
      </c>
      <c r="C21" s="163">
        <v>-1000</v>
      </c>
      <c r="D21" s="147"/>
      <c r="E21" s="147"/>
      <c r="F21" s="147"/>
      <c r="G21" s="147"/>
      <c r="H21" s="147"/>
    </row>
    <row r="22" spans="2:8" ht="45">
      <c r="B22" s="148" t="s">
        <v>165</v>
      </c>
      <c r="C22" s="149">
        <f>SUM(C18:C21)</f>
        <v>3700</v>
      </c>
      <c r="D22" s="147"/>
      <c r="E22" s="147"/>
      <c r="F22" s="147"/>
      <c r="G22" s="147"/>
      <c r="H22" s="147"/>
    </row>
    <row r="23" spans="2:8" ht="45">
      <c r="B23" s="148" t="s">
        <v>166</v>
      </c>
      <c r="C23" s="149">
        <v>-1480</v>
      </c>
      <c r="D23" s="147"/>
      <c r="E23" s="147"/>
      <c r="F23" s="147"/>
      <c r="G23" s="147"/>
      <c r="H23" s="147"/>
    </row>
    <row r="24" spans="2:8" ht="30">
      <c r="B24" s="152" t="s">
        <v>167</v>
      </c>
      <c r="C24" s="154">
        <v>2220</v>
      </c>
      <c r="D24" s="143"/>
      <c r="E24" s="147"/>
      <c r="F24" s="147"/>
      <c r="G24" s="147"/>
      <c r="H24" s="147"/>
    </row>
    <row r="26" spans="2:8" ht="60">
      <c r="B26" s="156" t="s">
        <v>168</v>
      </c>
      <c r="C26" s="157">
        <v>0.25</v>
      </c>
    </row>
    <row r="27" spans="2:8">
      <c r="B27" s="156" t="s">
        <v>169</v>
      </c>
      <c r="C27" s="157" t="e">
        <f>+C24/AVERAGE(G9:H9)</f>
        <v>#VALUE!</v>
      </c>
    </row>
    <row r="28" spans="2:8">
      <c r="B28" s="127" t="s">
        <v>170</v>
      </c>
      <c r="C28" s="127">
        <f>+(C27-C26)*AVERAGE(G9:H9)</f>
        <v>469</v>
      </c>
    </row>
    <row r="30" spans="2:8">
      <c r="C30" s="175" t="s">
        <v>191</v>
      </c>
      <c r="D30" s="175" t="s">
        <v>192</v>
      </c>
      <c r="E30" s="175" t="s">
        <v>200</v>
      </c>
      <c r="F30" s="175" t="s">
        <v>203</v>
      </c>
    </row>
    <row r="31" spans="2:8" ht="45">
      <c r="B31" s="168" t="s">
        <v>171</v>
      </c>
      <c r="C31" s="168">
        <f>+AVERAGE(C10:D10)</f>
        <v>20000</v>
      </c>
      <c r="D31" s="168">
        <f>+C31</f>
        <v>20000</v>
      </c>
      <c r="E31" s="168">
        <f>+D31-1000</f>
        <v>19000</v>
      </c>
      <c r="F31" s="168">
        <f>+C31-1000</f>
        <v>19000</v>
      </c>
    </row>
    <row r="32" spans="2:8" ht="45">
      <c r="B32" s="168" t="s">
        <v>172</v>
      </c>
      <c r="C32" s="168">
        <f>-SUM(G5:H7)/2</f>
        <v>-9000</v>
      </c>
      <c r="D32" s="168">
        <f>+C32</f>
        <v>-9000</v>
      </c>
      <c r="E32" s="168">
        <f>+D32</f>
        <v>-9000</v>
      </c>
      <c r="F32" s="168">
        <f>+C32</f>
        <v>-9000</v>
      </c>
    </row>
    <row r="33" spans="2:6" ht="60">
      <c r="B33" s="169" t="s">
        <v>173</v>
      </c>
      <c r="C33" s="169">
        <f>SUM(C31:C32)</f>
        <v>11000</v>
      </c>
      <c r="D33" s="169">
        <f>SUM(D31:D32)</f>
        <v>11000</v>
      </c>
      <c r="E33" s="169">
        <f>SUM(E31:E32)</f>
        <v>10000</v>
      </c>
      <c r="F33" s="169">
        <f>SUM(F31:F32)</f>
        <v>10000</v>
      </c>
    </row>
    <row r="34" spans="2:6" ht="45">
      <c r="B34" s="170" t="s">
        <v>174</v>
      </c>
      <c r="C34" s="170">
        <f>+AVERAGE(G8:H8)</f>
        <v>4000</v>
      </c>
      <c r="D34" s="170">
        <f>+C34+1000</f>
        <v>5000</v>
      </c>
      <c r="E34" s="170">
        <f>+C34/C33*E33</f>
        <v>3636</v>
      </c>
      <c r="F34" s="170">
        <f>+C34-1000*C34/C33</f>
        <v>3636</v>
      </c>
    </row>
    <row r="35" spans="2:6">
      <c r="B35" s="170" t="s">
        <v>175</v>
      </c>
      <c r="C35" s="170">
        <f>+AVERAGE(G9:H9)</f>
        <v>7000</v>
      </c>
      <c r="D35" s="170">
        <f>+C35-1000</f>
        <v>6000</v>
      </c>
      <c r="E35" s="170">
        <f>+C35/C33*E33</f>
        <v>6363</v>
      </c>
      <c r="F35" s="170">
        <f>+C35-1000*C35/C33</f>
        <v>6363</v>
      </c>
    </row>
    <row r="37" spans="2:6" ht="45">
      <c r="B37" s="172" t="str">
        <f>+B16</f>
        <v>(=) Receita líquida</v>
      </c>
      <c r="C37" s="169">
        <f>+C16</f>
        <v>38500</v>
      </c>
      <c r="D37" s="169">
        <f>+C37</f>
        <v>38500</v>
      </c>
      <c r="E37" s="169">
        <f>+C37</f>
        <v>38500</v>
      </c>
      <c r="F37" s="169">
        <f>+C37</f>
        <v>38500</v>
      </c>
    </row>
    <row r="38" spans="2:6">
      <c r="B38" s="171" t="str">
        <f t="shared" ref="B38:C41" si="0">+B17</f>
        <v>(-) CPV</v>
      </c>
      <c r="C38" s="168">
        <f t="shared" si="0"/>
        <v>-28000</v>
      </c>
      <c r="D38" s="168">
        <f t="shared" ref="D38:D41" si="1">+C38</f>
        <v>-28000</v>
      </c>
      <c r="E38" s="168">
        <f>+C38</f>
        <v>-28000</v>
      </c>
      <c r="F38" s="168">
        <f>+C38</f>
        <v>-28000</v>
      </c>
    </row>
    <row r="39" spans="2:6" ht="30">
      <c r="B39" s="171" t="str">
        <f t="shared" si="0"/>
        <v>(=) Lucro bruto</v>
      </c>
      <c r="C39" s="169">
        <f>SUM(C37:C38)</f>
        <v>10500</v>
      </c>
      <c r="D39" s="169">
        <f>SUM(D37:D38)</f>
        <v>10500</v>
      </c>
      <c r="E39" s="169">
        <f>SUM(E37:E38)</f>
        <v>10500</v>
      </c>
      <c r="F39" s="169">
        <f>SUM(F37:F38)</f>
        <v>10500</v>
      </c>
    </row>
    <row r="40" spans="2:6" ht="75">
      <c r="B40" s="171" t="str">
        <f t="shared" si="0"/>
        <v>(-) Despesas comerciais</v>
      </c>
      <c r="C40" s="168">
        <f t="shared" si="0"/>
        <v>-3500</v>
      </c>
      <c r="D40" s="168">
        <f t="shared" si="1"/>
        <v>-3500</v>
      </c>
      <c r="E40" s="168">
        <f>+C40-200</f>
        <v>-3700</v>
      </c>
      <c r="F40" s="168">
        <f>+C40</f>
        <v>-3500</v>
      </c>
    </row>
    <row r="41" spans="2:6" ht="75">
      <c r="B41" s="171" t="str">
        <f t="shared" si="0"/>
        <v>(-) Despesas administrativas</v>
      </c>
      <c r="C41" s="168">
        <f t="shared" si="0"/>
        <v>-2300</v>
      </c>
      <c r="D41" s="168">
        <f t="shared" si="1"/>
        <v>-2300</v>
      </c>
      <c r="E41" s="168">
        <f>+C41</f>
        <v>-2300</v>
      </c>
      <c r="F41" s="168">
        <f>+C41</f>
        <v>-2300</v>
      </c>
    </row>
    <row r="42" spans="2:6">
      <c r="B42" s="172" t="s">
        <v>176</v>
      </c>
      <c r="C42" s="169">
        <f>+SUM(C39:C41)</f>
        <v>4700</v>
      </c>
      <c r="D42" s="169">
        <f>+SUM(D39:D41)</f>
        <v>4700</v>
      </c>
      <c r="E42" s="169">
        <f>+SUM(E39:E41)</f>
        <v>4500</v>
      </c>
      <c r="F42" s="169">
        <f>+SUM(F39:F41)</f>
        <v>4700</v>
      </c>
    </row>
    <row r="43" spans="2:6" ht="30">
      <c r="B43" s="171" t="s">
        <v>177</v>
      </c>
      <c r="C43" s="168">
        <f>-C42*0.4</f>
        <v>-1880</v>
      </c>
      <c r="D43" s="168">
        <f>-D42*0.4</f>
        <v>-1880</v>
      </c>
      <c r="E43" s="168">
        <f>-E42*0.4</f>
        <v>-1800</v>
      </c>
      <c r="F43" s="168">
        <f>-F42*0.4</f>
        <v>-1880</v>
      </c>
    </row>
    <row r="44" spans="2:6" ht="30">
      <c r="B44" s="172" t="s">
        <v>178</v>
      </c>
      <c r="C44" s="169">
        <f>SUM(C42:C43)</f>
        <v>2820</v>
      </c>
      <c r="D44" s="169">
        <f>SUM(D42:D43)</f>
        <v>2820</v>
      </c>
      <c r="E44" s="169">
        <f>SUM(E42:E43)</f>
        <v>2700</v>
      </c>
      <c r="F44" s="169">
        <f>SUM(F42:F43)</f>
        <v>2820</v>
      </c>
    </row>
    <row r="45" spans="2:6" ht="75">
      <c r="B45" s="173" t="str">
        <f>+B21</f>
        <v>(-) Despesas financeiras</v>
      </c>
      <c r="C45" s="170">
        <f>+C21</f>
        <v>-1000</v>
      </c>
      <c r="D45" s="170">
        <f>+C45/C34*D34</f>
        <v>-1250</v>
      </c>
      <c r="E45" s="170">
        <f>+C45/C34*E34</f>
        <v>-909</v>
      </c>
      <c r="F45" s="170">
        <f>+C45/C34*F34</f>
        <v>-909</v>
      </c>
    </row>
    <row r="46" spans="2:6" ht="60">
      <c r="B46" s="173" t="s">
        <v>179</v>
      </c>
      <c r="C46" s="170">
        <f>-C45*0.4</f>
        <v>400</v>
      </c>
      <c r="D46" s="170">
        <f>-D45*0.4</f>
        <v>500</v>
      </c>
      <c r="E46" s="170">
        <f>-E45*0.4</f>
        <v>363</v>
      </c>
      <c r="F46" s="170">
        <f>-F45*0.4</f>
        <v>363</v>
      </c>
    </row>
    <row r="47" spans="2:6" ht="30">
      <c r="B47" s="174" t="str">
        <f>+B24</f>
        <v>(=) Lucro líquido</v>
      </c>
      <c r="C47" s="175">
        <f>SUM(C44:C46)</f>
        <v>2220</v>
      </c>
      <c r="D47" s="175">
        <f>SUM(D44:D46)</f>
        <v>2070</v>
      </c>
      <c r="E47" s="175">
        <f>SUM(E44:E46)</f>
        <v>2154</v>
      </c>
      <c r="F47" s="175">
        <f>SUM(F44:F46)</f>
        <v>2274</v>
      </c>
    </row>
    <row r="49" spans="2:6">
      <c r="B49" s="172" t="s">
        <v>180</v>
      </c>
      <c r="C49" s="181" t="e">
        <f>+C44/C33</f>
        <v>#VALUE!</v>
      </c>
      <c r="D49" s="181" t="e">
        <f>+D44/D33</f>
        <v>#VALUE!</v>
      </c>
      <c r="E49" s="195">
        <f>+E44/E33</f>
        <v>0.27</v>
      </c>
      <c r="F49" s="181" t="e">
        <f>+F44/F33</f>
        <v>#VALUE!</v>
      </c>
    </row>
    <row r="50" spans="2:6">
      <c r="B50" s="171" t="s">
        <v>186</v>
      </c>
      <c r="C50" s="176">
        <f>+C44/C37</f>
        <v>7</v>
      </c>
      <c r="D50" s="176">
        <f>+D44/D37</f>
        <v>7</v>
      </c>
      <c r="E50" s="196">
        <f>+E44/E37</f>
        <v>7</v>
      </c>
      <c r="F50" s="176">
        <f>+F44/F37</f>
        <v>7</v>
      </c>
    </row>
    <row r="51" spans="2:6">
      <c r="B51" s="171" t="s">
        <v>187</v>
      </c>
      <c r="C51" s="180">
        <f>+C37/C33</f>
        <v>3.5</v>
      </c>
      <c r="D51" s="180">
        <f>+D37/D33</f>
        <v>3.5</v>
      </c>
      <c r="E51" s="197">
        <f>+E37/E33</f>
        <v>3.85</v>
      </c>
      <c r="F51" s="199">
        <f>+F37/F33</f>
        <v>3.85</v>
      </c>
    </row>
    <row r="52" spans="2:6">
      <c r="B52" s="172" t="s">
        <v>180</v>
      </c>
      <c r="C52" s="181" t="e">
        <f>+C50*C51</f>
        <v>#VALUE!</v>
      </c>
      <c r="D52" s="181" t="e">
        <f>+D50*D51</f>
        <v>#VALUE!</v>
      </c>
      <c r="E52" s="195" t="e">
        <f>+E50*E51</f>
        <v>#VALUE!</v>
      </c>
      <c r="F52" s="200" t="e">
        <f>+F50*F51</f>
        <v>#VALUE!</v>
      </c>
    </row>
    <row r="53" spans="2:6">
      <c r="B53" s="173" t="s">
        <v>181</v>
      </c>
      <c r="C53" s="178" t="e">
        <f>+C34/$C$33</f>
        <v>#VALUE!</v>
      </c>
      <c r="D53" s="193" t="e">
        <f>+D34/D33</f>
        <v>#VALUE!</v>
      </c>
      <c r="E53" s="178" t="e">
        <f>+E34/$E$33</f>
        <v>#VALUE!</v>
      </c>
      <c r="F53" s="178" t="e">
        <f>+F34/$E$33</f>
        <v>#VALUE!</v>
      </c>
    </row>
    <row r="54" spans="2:6">
      <c r="B54" s="173" t="s">
        <v>182</v>
      </c>
      <c r="C54" s="178" t="e">
        <f>+C35/$C$33</f>
        <v>#VALUE!</v>
      </c>
      <c r="D54" s="193" t="e">
        <f>+D35/D33</f>
        <v>#VALUE!</v>
      </c>
      <c r="E54" s="178" t="e">
        <f>+E35/$E$33</f>
        <v>#VALUE!</v>
      </c>
      <c r="F54" s="178" t="e">
        <f>+F35/$E$33</f>
        <v>#VALUE!</v>
      </c>
    </row>
    <row r="55" spans="2:6">
      <c r="B55" s="173" t="s">
        <v>183</v>
      </c>
      <c r="C55" s="178">
        <f>-SUM(C45:C46)/C34</f>
        <v>0.15</v>
      </c>
      <c r="D55" s="178">
        <f>-SUM(D45:D46)/D34</f>
        <v>0.15</v>
      </c>
      <c r="E55" s="178">
        <f>-SUM(E45:E46)/E34</f>
        <v>0.15</v>
      </c>
      <c r="F55" s="178">
        <f>-SUM(F45:F46)/F34</f>
        <v>0.15</v>
      </c>
    </row>
    <row r="56" spans="2:6">
      <c r="B56" s="173" t="s">
        <v>184</v>
      </c>
      <c r="C56" s="178">
        <v>0.25</v>
      </c>
      <c r="D56" s="178">
        <v>0.25</v>
      </c>
      <c r="E56" s="178">
        <v>0.25</v>
      </c>
      <c r="F56" s="178">
        <v>0.25</v>
      </c>
    </row>
    <row r="57" spans="2:6">
      <c r="B57" s="177" t="s">
        <v>185</v>
      </c>
      <c r="C57" s="179" t="e">
        <f>+C53*C55+C54*C56</f>
        <v>#VALUE!</v>
      </c>
      <c r="D57" s="179" t="e">
        <f>+D53*D55+D54*D56</f>
        <v>#VALUE!</v>
      </c>
      <c r="E57" s="179" t="e">
        <f>+E53*E55+E54*E56</f>
        <v>#VALUE!</v>
      </c>
      <c r="F57" s="179" t="e">
        <f>+F53*F55+F54*F56</f>
        <v>#VALUE!</v>
      </c>
    </row>
    <row r="58" spans="2:6" ht="30">
      <c r="B58" s="173" t="s">
        <v>197</v>
      </c>
      <c r="C58" s="191" t="e">
        <f>+C52-C55</f>
        <v>#VALUE!</v>
      </c>
      <c r="D58" s="191" t="e">
        <f>+D52-D55</f>
        <v>#VALUE!</v>
      </c>
      <c r="E58" s="191" t="e">
        <f>+E52-E55</f>
        <v>#VALUE!</v>
      </c>
      <c r="F58" s="201" t="e">
        <f>+F52-F55</f>
        <v>#VALUE!</v>
      </c>
    </row>
    <row r="59" spans="2:6" ht="45">
      <c r="B59" s="173" t="s">
        <v>198</v>
      </c>
      <c r="C59" s="192" t="e">
        <f>+C34/C35</f>
        <v>#VALUE!</v>
      </c>
      <c r="D59" s="194" t="e">
        <f>+D34/D35</f>
        <v>#VALUE!</v>
      </c>
      <c r="E59" s="192" t="e">
        <f>+E34/E35</f>
        <v>#VALUE!</v>
      </c>
      <c r="F59" s="192" t="e">
        <f>+F34/F35</f>
        <v>#VALUE!</v>
      </c>
    </row>
    <row r="60" spans="2:6" ht="45">
      <c r="B60" s="173" t="s">
        <v>199</v>
      </c>
      <c r="C60" s="191">
        <f>+C58*C59</f>
        <v>6</v>
      </c>
      <c r="D60" s="191">
        <f>+D58*D59</f>
        <v>8</v>
      </c>
      <c r="E60" s="191">
        <f>+E58*E59</f>
        <v>6</v>
      </c>
      <c r="F60" s="191">
        <f>+F58*F59</f>
        <v>7</v>
      </c>
    </row>
    <row r="61" spans="2:6">
      <c r="B61" s="177" t="s">
        <v>169</v>
      </c>
      <c r="C61" s="179" t="e">
        <f>+C52+C60</f>
        <v>#VALUE!</v>
      </c>
      <c r="D61" s="179" t="e">
        <f>+D52+D60</f>
        <v>#VALUE!</v>
      </c>
      <c r="E61" s="179" t="e">
        <f>+E52+E60</f>
        <v>#VALUE!</v>
      </c>
      <c r="F61" s="179" t="e">
        <f>+F52+F60</f>
        <v>#VALUE!</v>
      </c>
    </row>
    <row r="62" spans="2:6">
      <c r="B62" s="174" t="s">
        <v>170</v>
      </c>
      <c r="C62" s="175">
        <f>+(C49-C57)*C33</f>
        <v>470</v>
      </c>
      <c r="D62" s="175">
        <f>+(D49-D57)*D33</f>
        <v>570</v>
      </c>
      <c r="E62" s="175">
        <f>+(E49-E57)*E33</f>
        <v>563</v>
      </c>
      <c r="F62" s="175">
        <f>+(F49-F57)*F33</f>
        <v>683</v>
      </c>
    </row>
    <row r="63" spans="2:6">
      <c r="B63" s="174" t="s">
        <v>170</v>
      </c>
      <c r="C63" s="175">
        <f>+(C61-C56)*C35</f>
        <v>469</v>
      </c>
      <c r="D63" s="175">
        <f>+(D61-D56)*D35</f>
        <v>569</v>
      </c>
      <c r="E63" s="175">
        <f>+(E61-E56)*E35</f>
        <v>563</v>
      </c>
      <c r="F63" s="175">
        <f>+(F61-F56)*F35</f>
        <v>683</v>
      </c>
    </row>
    <row r="65" spans="2:6">
      <c r="B65" s="174" t="s">
        <v>188</v>
      </c>
      <c r="C65" s="175">
        <f>+C62/C57</f>
        <v>2200</v>
      </c>
      <c r="D65" s="175">
        <f>+D62/D57</f>
        <v>2786</v>
      </c>
      <c r="E65" s="175">
        <f>+E62/E57</f>
        <v>2638</v>
      </c>
      <c r="F65" s="175">
        <f>+F62/F57</f>
        <v>3199</v>
      </c>
    </row>
    <row r="67" spans="2:6" ht="60">
      <c r="B67" s="174" t="s">
        <v>189</v>
      </c>
      <c r="C67" s="175">
        <f>+C33+C65</f>
        <v>13200</v>
      </c>
      <c r="D67" s="175">
        <f>+D33+D65</f>
        <v>13786</v>
      </c>
      <c r="E67" s="175">
        <f>+E33+E65</f>
        <v>12638</v>
      </c>
      <c r="F67" s="175">
        <f>+F33+F65</f>
        <v>13200</v>
      </c>
    </row>
    <row r="69" spans="2:6" ht="60">
      <c r="B69" s="174" t="s">
        <v>190</v>
      </c>
      <c r="C69" s="175">
        <f>+C67-C34</f>
        <v>9200</v>
      </c>
      <c r="D69" s="175">
        <f>+D67-D34</f>
        <v>8786</v>
      </c>
      <c r="E69" s="175">
        <f>+E67-E34</f>
        <v>9001</v>
      </c>
      <c r="F69" s="175">
        <f>+F67-F34</f>
        <v>9563</v>
      </c>
    </row>
    <row r="71" spans="2:6" ht="60">
      <c r="B71" s="198" t="s">
        <v>196</v>
      </c>
      <c r="C71" s="189"/>
      <c r="D71" s="189">
        <f>+D67-C67</f>
        <v>586</v>
      </c>
      <c r="E71" s="156">
        <f>+E67-C67</f>
        <v>-561</v>
      </c>
      <c r="F71" s="190">
        <f>+F67-C67</f>
        <v>0</v>
      </c>
    </row>
    <row r="72" spans="2:6" ht="30">
      <c r="B72" s="198" t="s">
        <v>201</v>
      </c>
      <c r="C72" s="189"/>
      <c r="D72" s="189"/>
      <c r="E72" s="156">
        <v>1000</v>
      </c>
      <c r="F72" s="190">
        <v>1000</v>
      </c>
    </row>
    <row r="73" spans="2:6" ht="75">
      <c r="B73" s="198" t="s">
        <v>204</v>
      </c>
      <c r="C73" s="190"/>
      <c r="D73" s="190"/>
      <c r="E73" s="156"/>
      <c r="F73" s="190"/>
    </row>
    <row r="74" spans="2:6" ht="60">
      <c r="B74" s="174" t="s">
        <v>202</v>
      </c>
      <c r="C74" s="175"/>
      <c r="D74" s="175"/>
      <c r="E74" s="175">
        <f>SUM(E71:E72)</f>
        <v>438</v>
      </c>
      <c r="F74" s="175">
        <f>SUM(F71:F72)</f>
        <v>1000</v>
      </c>
    </row>
    <row r="76" spans="2:6" ht="75">
      <c r="B76" s="174" t="s">
        <v>193</v>
      </c>
      <c r="C76" s="175"/>
      <c r="D76" s="175"/>
      <c r="E76" s="175"/>
      <c r="F76" s="175"/>
    </row>
    <row r="77" spans="2:6" ht="30">
      <c r="B77" s="156" t="s">
        <v>194</v>
      </c>
      <c r="C77" s="156"/>
      <c r="D77" s="156">
        <f>+D69-C69</f>
        <v>-413</v>
      </c>
      <c r="E77" s="156">
        <f>+E69-C69</f>
        <v>-198</v>
      </c>
      <c r="F77" s="156">
        <f>+F69-C69</f>
        <v>363</v>
      </c>
    </row>
    <row r="78" spans="2:6" ht="60">
      <c r="B78" s="156" t="s">
        <v>195</v>
      </c>
      <c r="C78" s="156"/>
      <c r="D78" s="156">
        <v>1000</v>
      </c>
      <c r="E78" s="156">
        <f>+C35-E35</f>
        <v>636</v>
      </c>
      <c r="F78" s="156">
        <f>+C35-F35</f>
        <v>636</v>
      </c>
    </row>
    <row r="79" spans="2:6">
      <c r="B79" s="175" t="s">
        <v>41</v>
      </c>
      <c r="C79" s="175"/>
      <c r="D79" s="175">
        <f>SUM(D77:D78)</f>
        <v>586</v>
      </c>
      <c r="E79" s="175">
        <f>SUM(E77:E78)</f>
        <v>438</v>
      </c>
      <c r="F79" s="175">
        <f>SUM(F77:F78)</f>
        <v>1000</v>
      </c>
    </row>
    <row r="81" spans="2:5" ht="60">
      <c r="B81" s="246" t="s">
        <v>205</v>
      </c>
      <c r="C81" s="246"/>
      <c r="D81" s="246"/>
    </row>
    <row r="83" spans="2:5" ht="30">
      <c r="B83" s="156" t="s">
        <v>206</v>
      </c>
      <c r="C83" s="204">
        <f>-C17/AVERAGE(C7:D7)</f>
        <v>4</v>
      </c>
      <c r="D83" s="243" t="s">
        <v>207</v>
      </c>
      <c r="E83" s="243"/>
    </row>
    <row r="84" spans="2:5" ht="75">
      <c r="B84" s="156" t="s">
        <v>208</v>
      </c>
      <c r="C84" s="156">
        <f>360/C83</f>
        <v>77</v>
      </c>
      <c r="D84" s="243" t="s">
        <v>209</v>
      </c>
      <c r="E84" s="243"/>
    </row>
    <row r="86" spans="2:5" ht="45">
      <c r="B86" s="156" t="s">
        <v>210</v>
      </c>
      <c r="C86" s="204">
        <f>+C14/AVERAGE(C6:D6)</f>
        <v>11</v>
      </c>
      <c r="D86" s="243" t="s">
        <v>207</v>
      </c>
      <c r="E86" s="243"/>
    </row>
    <row r="87" spans="2:5" ht="60">
      <c r="B87" s="156" t="s">
        <v>211</v>
      </c>
      <c r="C87" s="156">
        <f>360/C86</f>
        <v>30</v>
      </c>
      <c r="D87" s="243" t="s">
        <v>209</v>
      </c>
      <c r="E87" s="243"/>
    </row>
    <row r="89" spans="2:5" ht="45">
      <c r="B89" s="156" t="s">
        <v>212</v>
      </c>
      <c r="C89" s="156">
        <f>+D7-C7+(-C17)</f>
        <v>29000</v>
      </c>
      <c r="D89" s="243" t="s">
        <v>213</v>
      </c>
      <c r="E89" s="243"/>
    </row>
    <row r="91" spans="2:5" ht="45">
      <c r="B91" s="156" t="s">
        <v>214</v>
      </c>
      <c r="C91" s="204">
        <f>+C89/AVERAGE(G5:H5)</f>
        <v>5</v>
      </c>
      <c r="D91" s="243" t="s">
        <v>207</v>
      </c>
      <c r="E91" s="243"/>
    </row>
    <row r="92" spans="2:5" ht="75">
      <c r="B92" s="156" t="s">
        <v>215</v>
      </c>
      <c r="C92" s="156">
        <f>360/C91</f>
        <v>65</v>
      </c>
      <c r="D92" s="243" t="s">
        <v>209</v>
      </c>
      <c r="E92" s="243"/>
    </row>
    <row r="94" spans="2:5" ht="45">
      <c r="B94" s="202" t="s">
        <v>216</v>
      </c>
      <c r="C94" s="202">
        <f>+C84+C87</f>
        <v>107</v>
      </c>
      <c r="D94" s="244" t="s">
        <v>209</v>
      </c>
      <c r="E94" s="244"/>
    </row>
    <row r="95" spans="2:5" ht="45">
      <c r="B95" s="202" t="s">
        <v>217</v>
      </c>
      <c r="C95" s="202">
        <f>+C94-C92</f>
        <v>42</v>
      </c>
      <c r="D95" s="244" t="s">
        <v>209</v>
      </c>
      <c r="E95" s="244"/>
    </row>
    <row r="97" spans="2:5" ht="30">
      <c r="B97" s="247" t="s">
        <v>218</v>
      </c>
      <c r="C97" s="247">
        <v>10000</v>
      </c>
      <c r="D97" s="247" t="s">
        <v>99</v>
      </c>
    </row>
    <row r="99" spans="2:5">
      <c r="B99" s="156"/>
      <c r="C99" s="203" t="s">
        <v>100</v>
      </c>
    </row>
    <row r="100" spans="2:5" ht="45">
      <c r="B100" s="205" t="s">
        <v>219</v>
      </c>
      <c r="C100" s="249">
        <f>+C14/C97</f>
        <v>4.125</v>
      </c>
    </row>
    <row r="101" spans="2:5" ht="45">
      <c r="B101" s="205" t="s">
        <v>220</v>
      </c>
      <c r="C101" s="249">
        <f>+C15/C97</f>
        <v>0</v>
      </c>
    </row>
    <row r="102" spans="2:5">
      <c r="B102" s="205" t="s">
        <v>221</v>
      </c>
      <c r="C102" s="249">
        <v>-2</v>
      </c>
    </row>
    <row r="103" spans="2:5" ht="30">
      <c r="B103" s="206" t="s">
        <v>222</v>
      </c>
      <c r="C103" s="250">
        <f>SUM(C100:C102)</f>
        <v>1.85</v>
      </c>
    </row>
    <row r="104" spans="2:5">
      <c r="B104" s="205" t="s">
        <v>223</v>
      </c>
      <c r="C104" s="249">
        <f>-C103*0.4</f>
        <v>0</v>
      </c>
    </row>
    <row r="105" spans="2:5" ht="30">
      <c r="B105" s="206" t="s">
        <v>224</v>
      </c>
      <c r="C105" s="250">
        <f>SUM(C103:C104)</f>
        <v>1</v>
      </c>
    </row>
    <row r="107" spans="2:5">
      <c r="B107" s="156" t="s">
        <v>225</v>
      </c>
      <c r="C107" s="156">
        <v>13800</v>
      </c>
      <c r="D107" s="156" t="s">
        <v>226</v>
      </c>
    </row>
    <row r="109" spans="2:5" ht="30">
      <c r="B109" s="175" t="s">
        <v>227</v>
      </c>
      <c r="C109" s="175">
        <f>+C107/C103</f>
        <v>7459</v>
      </c>
      <c r="D109" s="248" t="s">
        <v>228</v>
      </c>
      <c r="E109" s="248"/>
    </row>
    <row r="111" spans="2:5" ht="30">
      <c r="B111" s="156" t="s">
        <v>229</v>
      </c>
      <c r="C111" s="156">
        <f>+C33*C57</f>
        <v>2350</v>
      </c>
      <c r="D111" s="156" t="s">
        <v>226</v>
      </c>
    </row>
    <row r="113" spans="2:5" ht="30">
      <c r="B113" s="175" t="s">
        <v>230</v>
      </c>
      <c r="C113" s="175">
        <f>+C111/C105+C109</f>
        <v>9576</v>
      </c>
      <c r="D113" s="248" t="s">
        <v>228</v>
      </c>
      <c r="E113" s="248"/>
    </row>
    <row r="115" spans="2:5" ht="30">
      <c r="B115" s="203" t="s">
        <v>231</v>
      </c>
      <c r="C115" s="203">
        <f>+(C97-C109)*C105</f>
        <v>2820</v>
      </c>
      <c r="D115" s="203" t="s">
        <v>232</v>
      </c>
    </row>
    <row r="117" spans="2:5" ht="30">
      <c r="B117" s="203" t="s">
        <v>233</v>
      </c>
      <c r="C117" s="203">
        <f>+(C97-C113)*C105</f>
        <v>470</v>
      </c>
      <c r="D117" s="203" t="s">
        <v>232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Exemplo lucro x caixa</vt:lpstr>
      <vt:lpstr>Exercício inicial - lançamentos</vt:lpstr>
      <vt:lpstr>Exercício inicial - Demonstr</vt:lpstr>
      <vt:lpstr>PEPS, UEPS e Média</vt:lpstr>
      <vt:lpstr>CIa exemplar - lançamen</vt:lpstr>
      <vt:lpstr>Cia Exemp - 1ºs - demonstr</vt:lpstr>
      <vt:lpstr>Exemplo análise econômica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user</cp:lastModifiedBy>
  <dcterms:created xsi:type="dcterms:W3CDTF">2014-02-27T00:52:28Z</dcterms:created>
  <dcterms:modified xsi:type="dcterms:W3CDTF">2014-05-30T18:07:03Z</dcterms:modified>
</cp:coreProperties>
</file>