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5195" windowHeight="8130" firstSheet="4" activeTab="6"/>
  </bookViews>
  <sheets>
    <sheet name="Exemplo lucro x caixa" sheetId="1" r:id="rId1"/>
    <sheet name="Exercício inicial - lançamentos" sheetId="4" r:id="rId2"/>
    <sheet name="Exercício inicial - Demonstr" sheetId="5" r:id="rId3"/>
    <sheet name="PEPS, UEPS e Média" sheetId="6" r:id="rId4"/>
    <sheet name="CIa exemplar - lançamen" sheetId="8" r:id="rId5"/>
    <sheet name="Cia Exemp - 1ºs - demonstr" sheetId="7" r:id="rId6"/>
    <sheet name="Plan2" sheetId="2" r:id="rId7"/>
    <sheet name="Plan3" sheetId="3" r:id="rId8"/>
  </sheets>
  <calcPr calcId="124519"/>
  <fileRecoveryPr repairLoad="1"/>
</workbook>
</file>

<file path=xl/calcChain.xml><?xml version="1.0" encoding="utf-8"?>
<calcChain xmlns="http://schemas.openxmlformats.org/spreadsheetml/2006/main">
  <c r="C51" i="2"/>
  <c r="C50"/>
  <c r="C49"/>
  <c r="C57"/>
  <c r="C56"/>
  <c r="C54"/>
  <c r="C53"/>
  <c r="C52"/>
  <c r="B46"/>
  <c r="C45"/>
  <c r="C44"/>
  <c r="B44"/>
  <c r="C40"/>
  <c r="C39"/>
  <c r="C38"/>
  <c r="C37"/>
  <c r="C36"/>
  <c r="B40"/>
  <c r="B39"/>
  <c r="B38"/>
  <c r="B37"/>
  <c r="B36"/>
  <c r="C34"/>
  <c r="C33"/>
  <c r="C31"/>
  <c r="C30"/>
  <c r="C32" s="1"/>
  <c r="C27"/>
  <c r="C28" s="1"/>
  <c r="C22"/>
  <c r="P13" i="8"/>
  <c r="O13"/>
  <c r="N13"/>
  <c r="M13"/>
  <c r="L13"/>
  <c r="K13"/>
  <c r="J13"/>
  <c r="I13"/>
  <c r="H13"/>
  <c r="G13"/>
  <c r="F13"/>
  <c r="D13"/>
  <c r="R139"/>
  <c r="O139"/>
  <c r="C139" s="1"/>
  <c r="S125"/>
  <c r="C123"/>
  <c r="L107"/>
  <c r="L117" s="1"/>
  <c r="L141" s="1"/>
  <c r="H107"/>
  <c r="H117" s="1"/>
  <c r="H141" s="1"/>
  <c r="G107"/>
  <c r="G117" s="1"/>
  <c r="G141" s="1"/>
  <c r="F107"/>
  <c r="F117" s="1"/>
  <c r="F141" s="1"/>
  <c r="S105"/>
  <c r="O105" s="1"/>
  <c r="O107" s="1"/>
  <c r="O117" s="1"/>
  <c r="O141" s="1"/>
  <c r="S104"/>
  <c r="S106" s="1"/>
  <c r="R106" s="1"/>
  <c r="I83"/>
  <c r="G78"/>
  <c r="F78"/>
  <c r="O77"/>
  <c r="N77"/>
  <c r="C68"/>
  <c r="B65"/>
  <c r="B69" s="1"/>
  <c r="B70" s="1"/>
  <c r="B72" s="1"/>
  <c r="B74" s="1"/>
  <c r="B75" s="1"/>
  <c r="B76" s="1"/>
  <c r="B63"/>
  <c r="D62"/>
  <c r="G51"/>
  <c r="F51"/>
  <c r="K44"/>
  <c r="D37"/>
  <c r="D51" s="1"/>
  <c r="D61" s="1"/>
  <c r="D78" s="1"/>
  <c r="D88" s="1"/>
  <c r="D107" s="1"/>
  <c r="D117" s="1"/>
  <c r="D141" s="1"/>
  <c r="O27"/>
  <c r="O37" s="1"/>
  <c r="N27"/>
  <c r="N37" s="1"/>
  <c r="M27"/>
  <c r="M37" s="1"/>
  <c r="M51" s="1"/>
  <c r="M61" s="1"/>
  <c r="M78" s="1"/>
  <c r="Q88" s="1"/>
  <c r="Q107" s="1"/>
  <c r="Q117" s="1"/>
  <c r="Q141" s="1"/>
  <c r="L27"/>
  <c r="L37" s="1"/>
  <c r="L51" s="1"/>
  <c r="L61" s="1"/>
  <c r="L78" s="1"/>
  <c r="P88" s="1"/>
  <c r="P107" s="1"/>
  <c r="P117" s="1"/>
  <c r="P141" s="1"/>
  <c r="K27"/>
  <c r="K37" s="1"/>
  <c r="K51" s="1"/>
  <c r="K61" s="1"/>
  <c r="K78" s="1"/>
  <c r="N88" s="1"/>
  <c r="N107" s="1"/>
  <c r="N117" s="1"/>
  <c r="N141" s="1"/>
  <c r="J27"/>
  <c r="J37" s="1"/>
  <c r="J51" s="1"/>
  <c r="J61" s="1"/>
  <c r="J78" s="1"/>
  <c r="K88" s="1"/>
  <c r="K107" s="1"/>
  <c r="K117" s="1"/>
  <c r="K141" s="1"/>
  <c r="I27"/>
  <c r="I37" s="1"/>
  <c r="I51" s="1"/>
  <c r="H27"/>
  <c r="H37" s="1"/>
  <c r="H51" s="1"/>
  <c r="H61" s="1"/>
  <c r="H78" s="1"/>
  <c r="I88" s="1"/>
  <c r="I107" s="1"/>
  <c r="I117" s="1"/>
  <c r="I141" s="1"/>
  <c r="G27"/>
  <c r="F27"/>
  <c r="E27"/>
  <c r="E37" s="1"/>
  <c r="E51" s="1"/>
  <c r="E61" s="1"/>
  <c r="E78" s="1"/>
  <c r="E88" s="1"/>
  <c r="E107" s="1"/>
  <c r="E117" s="1"/>
  <c r="C27"/>
  <c r="C37" s="1"/>
  <c r="C51" s="1"/>
  <c r="F95" i="7"/>
  <c r="F91"/>
  <c r="F96" s="1"/>
  <c r="E91"/>
  <c r="E96" s="1"/>
  <c r="D91"/>
  <c r="D96" s="1"/>
  <c r="C91"/>
  <c r="C96" s="1"/>
  <c r="C69"/>
  <c r="G69"/>
  <c r="H69"/>
  <c r="F69"/>
  <c r="E69"/>
  <c r="D69"/>
  <c r="C63"/>
  <c r="H63"/>
  <c r="G63"/>
  <c r="F63"/>
  <c r="E63"/>
  <c r="D63"/>
  <c r="F58"/>
  <c r="F64" s="1"/>
  <c r="E58"/>
  <c r="E64" s="1"/>
  <c r="D58"/>
  <c r="D64" s="1"/>
  <c r="C58"/>
  <c r="C64" s="1"/>
  <c r="D57"/>
  <c r="C57"/>
  <c r="H57"/>
  <c r="H70" s="1"/>
  <c r="G57"/>
  <c r="F57"/>
  <c r="F70" s="1"/>
  <c r="E57"/>
  <c r="H43"/>
  <c r="H51" s="1"/>
  <c r="E43"/>
  <c r="D43"/>
  <c r="C43"/>
  <c r="G95"/>
  <c r="G101"/>
  <c r="D40"/>
  <c r="C40"/>
  <c r="H40"/>
  <c r="G40"/>
  <c r="F40"/>
  <c r="E40"/>
  <c r="E27"/>
  <c r="D27"/>
  <c r="C27"/>
  <c r="H101"/>
  <c r="D101"/>
  <c r="C24"/>
  <c r="H13"/>
  <c r="G13"/>
  <c r="F13"/>
  <c r="E13"/>
  <c r="D13"/>
  <c r="C13"/>
  <c r="E95"/>
  <c r="H73"/>
  <c r="G73"/>
  <c r="F73"/>
  <c r="E73"/>
  <c r="D73"/>
  <c r="C73"/>
  <c r="C41" i="2" l="1"/>
  <c r="E70" i="7"/>
  <c r="G70"/>
  <c r="C70"/>
  <c r="C61" i="8"/>
  <c r="C78" s="1"/>
  <c r="E54"/>
  <c r="E141"/>
  <c r="E126"/>
  <c r="S126" s="1"/>
  <c r="I61"/>
  <c r="I78" s="1"/>
  <c r="O51"/>
  <c r="O61" s="1"/>
  <c r="O78" s="1"/>
  <c r="S88" s="1"/>
  <c r="S107" s="1"/>
  <c r="S117" s="1"/>
  <c r="O50"/>
  <c r="N50" s="1"/>
  <c r="N51"/>
  <c r="N61" s="1"/>
  <c r="N78" s="1"/>
  <c r="R88" s="1"/>
  <c r="R107" s="1"/>
  <c r="R117" s="1"/>
  <c r="S138"/>
  <c r="M138" s="1"/>
  <c r="E31"/>
  <c r="M104"/>
  <c r="M107" s="1"/>
  <c r="M117" s="1"/>
  <c r="M141" s="1"/>
  <c r="S140"/>
  <c r="R140" s="1"/>
  <c r="E30"/>
  <c r="E72" i="7"/>
  <c r="D12"/>
  <c r="H12"/>
  <c r="D72"/>
  <c r="D74" s="1"/>
  <c r="C74"/>
  <c r="F72"/>
  <c r="E74"/>
  <c r="H72"/>
  <c r="H74" s="1"/>
  <c r="C95"/>
  <c r="D95"/>
  <c r="H95"/>
  <c r="C12"/>
  <c r="E12"/>
  <c r="G12"/>
  <c r="E101"/>
  <c r="C101"/>
  <c r="E24"/>
  <c r="G24"/>
  <c r="D70"/>
  <c r="F74"/>
  <c r="G72"/>
  <c r="G74" s="1"/>
  <c r="F12"/>
  <c r="F101"/>
  <c r="D24"/>
  <c r="F24"/>
  <c r="H24"/>
  <c r="H77"/>
  <c r="H91" s="1"/>
  <c r="H96" s="1"/>
  <c r="H58"/>
  <c r="H64" s="1"/>
  <c r="H68" i="5"/>
  <c r="H100" s="1"/>
  <c r="H59"/>
  <c r="H66"/>
  <c r="H67"/>
  <c r="H54"/>
  <c r="H52"/>
  <c r="H53"/>
  <c r="H55"/>
  <c r="H47"/>
  <c r="H39"/>
  <c r="H36"/>
  <c r="H80" s="1"/>
  <c r="H99" s="1"/>
  <c r="H34"/>
  <c r="H79" s="1"/>
  <c r="H33"/>
  <c r="H32"/>
  <c r="H31"/>
  <c r="H29"/>
  <c r="H28"/>
  <c r="H21"/>
  <c r="H20"/>
  <c r="H19"/>
  <c r="H17"/>
  <c r="H16"/>
  <c r="H15"/>
  <c r="H14"/>
  <c r="H13"/>
  <c r="H10"/>
  <c r="H9"/>
  <c r="H7"/>
  <c r="H6"/>
  <c r="H5"/>
  <c r="H4"/>
  <c r="R125" i="4"/>
  <c r="O125" s="1"/>
  <c r="C125" s="1"/>
  <c r="C42" i="2" l="1"/>
  <c r="C43" s="1"/>
  <c r="J88" i="8"/>
  <c r="J107" s="1"/>
  <c r="E82"/>
  <c r="R141"/>
  <c r="S141"/>
  <c r="E55"/>
  <c r="C88"/>
  <c r="C107" s="1"/>
  <c r="E81"/>
  <c r="C90" i="7"/>
  <c r="C102" s="1"/>
  <c r="C105" s="1"/>
  <c r="G90"/>
  <c r="G102" s="1"/>
  <c r="E90"/>
  <c r="E102" s="1"/>
  <c r="D90"/>
  <c r="D102" s="1"/>
  <c r="H90"/>
  <c r="H102" s="1"/>
  <c r="F90"/>
  <c r="F102" s="1"/>
  <c r="S111" i="4"/>
  <c r="C109"/>
  <c r="C46" i="2" l="1"/>
  <c r="C48"/>
  <c r="C117" i="8"/>
  <c r="C141" s="1"/>
  <c r="E144" s="1"/>
  <c r="E110"/>
  <c r="J117"/>
  <c r="J141" s="1"/>
  <c r="E145" s="1"/>
  <c r="E111"/>
  <c r="D104" i="7"/>
  <c r="D105" s="1"/>
  <c r="C106"/>
  <c r="K19" i="5"/>
  <c r="K9"/>
  <c r="K8"/>
  <c r="D106" i="7" l="1"/>
  <c r="E104"/>
  <c r="E105" s="1"/>
  <c r="K21" i="5"/>
  <c r="H73"/>
  <c r="H69"/>
  <c r="H63"/>
  <c r="H57"/>
  <c r="H43"/>
  <c r="H51" s="1"/>
  <c r="H30"/>
  <c r="H35" s="1"/>
  <c r="H38" s="1"/>
  <c r="H40" s="1"/>
  <c r="H24"/>
  <c r="H12"/>
  <c r="F104" i="7" l="1"/>
  <c r="F105" s="1"/>
  <c r="E106"/>
  <c r="H46" i="5"/>
  <c r="H78"/>
  <c r="H70"/>
  <c r="H77"/>
  <c r="H91" s="1"/>
  <c r="H96" s="1"/>
  <c r="H58"/>
  <c r="H64" s="1"/>
  <c r="G93"/>
  <c r="G59"/>
  <c r="G53"/>
  <c r="G54"/>
  <c r="G67"/>
  <c r="G52"/>
  <c r="G37"/>
  <c r="G33"/>
  <c r="G36"/>
  <c r="G80" s="1"/>
  <c r="G99" s="1"/>
  <c r="G101" s="1"/>
  <c r="G34"/>
  <c r="G79" s="1"/>
  <c r="G32"/>
  <c r="G31"/>
  <c r="G29"/>
  <c r="G28"/>
  <c r="S91" i="4"/>
  <c r="O91" s="1"/>
  <c r="O93" s="1"/>
  <c r="O103" s="1"/>
  <c r="O127" s="1"/>
  <c r="S90"/>
  <c r="M90" s="1"/>
  <c r="M93" s="1"/>
  <c r="M103" s="1"/>
  <c r="F93"/>
  <c r="F103" s="1"/>
  <c r="F127" s="1"/>
  <c r="L93"/>
  <c r="L103" s="1"/>
  <c r="L127" s="1"/>
  <c r="G13" i="5"/>
  <c r="F106" i="7" l="1"/>
  <c r="G104"/>
  <c r="G105" s="1"/>
  <c r="G17" i="5"/>
  <c r="G7"/>
  <c r="G19"/>
  <c r="G16"/>
  <c r="G47"/>
  <c r="G39"/>
  <c r="G81"/>
  <c r="G92" s="1"/>
  <c r="F32" i="6"/>
  <c r="F31"/>
  <c r="F33" s="1"/>
  <c r="F26"/>
  <c r="F25"/>
  <c r="F27" s="1"/>
  <c r="F21"/>
  <c r="F20"/>
  <c r="F19"/>
  <c r="E33"/>
  <c r="E32"/>
  <c r="E31"/>
  <c r="L42"/>
  <c r="M42" s="1"/>
  <c r="K42"/>
  <c r="K43" s="1"/>
  <c r="L39"/>
  <c r="L41" s="1"/>
  <c r="L44" s="1"/>
  <c r="K39"/>
  <c r="M39" s="1"/>
  <c r="M45"/>
  <c r="M40"/>
  <c r="E25"/>
  <c r="E24"/>
  <c r="E30" s="1"/>
  <c r="D24"/>
  <c r="D30" s="1"/>
  <c r="E19"/>
  <c r="M28"/>
  <c r="M27"/>
  <c r="L26"/>
  <c r="K26"/>
  <c r="M24"/>
  <c r="L23"/>
  <c r="L25" s="1"/>
  <c r="K23"/>
  <c r="K25" s="1"/>
  <c r="I23"/>
  <c r="I39" s="1"/>
  <c r="M29"/>
  <c r="M10"/>
  <c r="I17"/>
  <c r="I33" s="1"/>
  <c r="M38"/>
  <c r="M37"/>
  <c r="M36"/>
  <c r="M35"/>
  <c r="M34"/>
  <c r="M22"/>
  <c r="L21"/>
  <c r="M21" s="1"/>
  <c r="L20"/>
  <c r="M20" s="1"/>
  <c r="M18"/>
  <c r="L6"/>
  <c r="K6"/>
  <c r="M5"/>
  <c r="F11"/>
  <c r="D34"/>
  <c r="D32"/>
  <c r="D28"/>
  <c r="D26"/>
  <c r="D31"/>
  <c r="D25"/>
  <c r="D27" s="1"/>
  <c r="D19"/>
  <c r="D6"/>
  <c r="F5"/>
  <c r="F4"/>
  <c r="G84" i="5" l="1"/>
  <c r="H84"/>
  <c r="G87"/>
  <c r="H87"/>
  <c r="G88"/>
  <c r="H88"/>
  <c r="H104" i="7"/>
  <c r="H105" s="1"/>
  <c r="H106" s="1"/>
  <c r="G106"/>
  <c r="K41" i="6"/>
  <c r="L43"/>
  <c r="M43" s="1"/>
  <c r="E26"/>
  <c r="E27" s="1"/>
  <c r="M26"/>
  <c r="M25"/>
  <c r="M23"/>
  <c r="F6"/>
  <c r="G6" s="1"/>
  <c r="M6"/>
  <c r="L7" s="1"/>
  <c r="M19"/>
  <c r="K8"/>
  <c r="K9" s="1"/>
  <c r="D33"/>
  <c r="F91" i="5"/>
  <c r="F96" s="1"/>
  <c r="F68"/>
  <c r="F66"/>
  <c r="F67"/>
  <c r="F53"/>
  <c r="F59"/>
  <c r="F58"/>
  <c r="F64" s="1"/>
  <c r="F54"/>
  <c r="F52"/>
  <c r="F47"/>
  <c r="F36"/>
  <c r="F80" s="1"/>
  <c r="F99" s="1"/>
  <c r="F34"/>
  <c r="F79" s="1"/>
  <c r="F32"/>
  <c r="F31"/>
  <c r="F29"/>
  <c r="F28"/>
  <c r="F13"/>
  <c r="H93" i="4"/>
  <c r="G93"/>
  <c r="G103" s="1"/>
  <c r="G127" s="1"/>
  <c r="S92"/>
  <c r="R92" s="1"/>
  <c r="H103" l="1"/>
  <c r="H127" s="1"/>
  <c r="G9" i="5"/>
  <c r="H92" s="1"/>
  <c r="H95" s="1"/>
  <c r="K44" i="6"/>
  <c r="M44" s="1"/>
  <c r="M41"/>
  <c r="D20"/>
  <c r="D21" s="1"/>
  <c r="D22"/>
  <c r="K13"/>
  <c r="M13" s="1"/>
  <c r="E22" s="1"/>
  <c r="K11"/>
  <c r="M7"/>
  <c r="L8"/>
  <c r="L9" s="1"/>
  <c r="M9" s="1"/>
  <c r="M11" s="1"/>
  <c r="L11" s="1"/>
  <c r="L12" s="1"/>
  <c r="M12" s="1"/>
  <c r="E20" s="1"/>
  <c r="E21" s="1"/>
  <c r="C54" i="4"/>
  <c r="D48"/>
  <c r="O63"/>
  <c r="N63" s="1"/>
  <c r="B49"/>
  <c r="B51" s="1"/>
  <c r="B55" s="1"/>
  <c r="B56" s="1"/>
  <c r="B58" s="1"/>
  <c r="B60" s="1"/>
  <c r="B61" s="1"/>
  <c r="B62" s="1"/>
  <c r="I69"/>
  <c r="G64"/>
  <c r="F9" i="5" s="1"/>
  <c r="F64" i="4"/>
  <c r="F8" i="5" s="1"/>
  <c r="M8" i="6" l="1"/>
  <c r="D80" i="5"/>
  <c r="D79"/>
  <c r="C80"/>
  <c r="C99" s="1"/>
  <c r="C79"/>
  <c r="G95"/>
  <c r="F95"/>
  <c r="E91"/>
  <c r="E96" s="1"/>
  <c r="D91"/>
  <c r="D96" s="1"/>
  <c r="C91"/>
  <c r="C96" s="1"/>
  <c r="E66"/>
  <c r="E59"/>
  <c r="E53"/>
  <c r="E67"/>
  <c r="E58"/>
  <c r="E64" s="1"/>
  <c r="E43" s="1"/>
  <c r="D58"/>
  <c r="D64" s="1"/>
  <c r="D43" s="1"/>
  <c r="C58"/>
  <c r="C64" s="1"/>
  <c r="C43" s="1"/>
  <c r="E54"/>
  <c r="E52"/>
  <c r="E36"/>
  <c r="E34"/>
  <c r="E79" s="1"/>
  <c r="E32"/>
  <c r="E31"/>
  <c r="E29"/>
  <c r="E28"/>
  <c r="E13"/>
  <c r="D13"/>
  <c r="C13"/>
  <c r="K30" i="4"/>
  <c r="D23"/>
  <c r="D37" s="1"/>
  <c r="D47" s="1"/>
  <c r="D64" s="1"/>
  <c r="G37"/>
  <c r="E9" i="5" s="1"/>
  <c r="F37" i="4"/>
  <c r="E8" i="5" s="1"/>
  <c r="F5" l="1"/>
  <c r="D74" i="4"/>
  <c r="D93" s="1"/>
  <c r="E5" i="5"/>
  <c r="E80"/>
  <c r="E99" s="1"/>
  <c r="E27"/>
  <c r="G30"/>
  <c r="G35" s="1"/>
  <c r="F30"/>
  <c r="F35" s="1"/>
  <c r="E30"/>
  <c r="D30"/>
  <c r="C30"/>
  <c r="D27"/>
  <c r="C27"/>
  <c r="D66"/>
  <c r="D69" s="1"/>
  <c r="D59"/>
  <c r="D63" s="1"/>
  <c r="G69"/>
  <c r="F69"/>
  <c r="E69"/>
  <c r="C69"/>
  <c r="G63"/>
  <c r="F63"/>
  <c r="E63"/>
  <c r="C63"/>
  <c r="G57"/>
  <c r="F57"/>
  <c r="E57"/>
  <c r="D57"/>
  <c r="C57"/>
  <c r="C20"/>
  <c r="C18"/>
  <c r="C97" s="1"/>
  <c r="C15"/>
  <c r="C14"/>
  <c r="C8"/>
  <c r="C6"/>
  <c r="C4"/>
  <c r="J13" i="4"/>
  <c r="O13"/>
  <c r="O23" s="1"/>
  <c r="O36" s="1"/>
  <c r="N36" s="1"/>
  <c r="N13"/>
  <c r="N23" s="1"/>
  <c r="M13"/>
  <c r="M23" s="1"/>
  <c r="M37" s="1"/>
  <c r="M47" s="1"/>
  <c r="M64" s="1"/>
  <c r="Q74" s="1"/>
  <c r="Q93" s="1"/>
  <c r="Q103" s="1"/>
  <c r="Q127" s="1"/>
  <c r="L13"/>
  <c r="K13"/>
  <c r="I13"/>
  <c r="H13"/>
  <c r="H23" s="1"/>
  <c r="H37" s="1"/>
  <c r="G13"/>
  <c r="F13"/>
  <c r="E13"/>
  <c r="C13"/>
  <c r="C23" s="1"/>
  <c r="C37" s="1"/>
  <c r="D103" l="1"/>
  <c r="D127" s="1"/>
  <c r="G5" i="5"/>
  <c r="G38"/>
  <c r="G40" s="1"/>
  <c r="G78" s="1"/>
  <c r="F38"/>
  <c r="F40" s="1"/>
  <c r="F78" s="1"/>
  <c r="E82"/>
  <c r="F82"/>
  <c r="H47" i="4"/>
  <c r="H64" s="1"/>
  <c r="E10" i="5"/>
  <c r="C47" i="4"/>
  <c r="C64" s="1"/>
  <c r="E4" i="5"/>
  <c r="C98"/>
  <c r="C101" s="1"/>
  <c r="C45"/>
  <c r="D35"/>
  <c r="C35"/>
  <c r="E35"/>
  <c r="C83"/>
  <c r="C73"/>
  <c r="C74" s="1"/>
  <c r="D8"/>
  <c r="C92"/>
  <c r="C95" s="1"/>
  <c r="N37" i="4"/>
  <c r="D18" i="5"/>
  <c r="K23" i="4"/>
  <c r="K37" s="1"/>
  <c r="D6" i="5"/>
  <c r="E23" i="4"/>
  <c r="E37" s="1"/>
  <c r="D14" i="5"/>
  <c r="I23" i="4"/>
  <c r="I37" s="1"/>
  <c r="D20" i="5"/>
  <c r="L23" i="4"/>
  <c r="L37" s="1"/>
  <c r="D15" i="5"/>
  <c r="J23" i="4"/>
  <c r="J37" s="1"/>
  <c r="O37"/>
  <c r="O47" s="1"/>
  <c r="O64" s="1"/>
  <c r="S74" s="1"/>
  <c r="S93" s="1"/>
  <c r="S103" s="1"/>
  <c r="C12" i="5"/>
  <c r="D4"/>
  <c r="D70"/>
  <c r="F70"/>
  <c r="E70"/>
  <c r="G70"/>
  <c r="C70"/>
  <c r="C24"/>
  <c r="E17" i="4"/>
  <c r="E16"/>
  <c r="E17" i="1"/>
  <c r="D17"/>
  <c r="C17"/>
  <c r="E24"/>
  <c r="D24"/>
  <c r="C24"/>
  <c r="E27"/>
  <c r="D27"/>
  <c r="E23"/>
  <c r="D23"/>
  <c r="C23"/>
  <c r="E22"/>
  <c r="D22"/>
  <c r="C22"/>
  <c r="E15"/>
  <c r="E14"/>
  <c r="E16" s="1"/>
  <c r="D15"/>
  <c r="D14"/>
  <c r="D16" s="1"/>
  <c r="D18" s="1"/>
  <c r="C15"/>
  <c r="C14"/>
  <c r="E8"/>
  <c r="D8"/>
  <c r="E7"/>
  <c r="E9" s="1"/>
  <c r="D7"/>
  <c r="D9" s="1"/>
  <c r="C8"/>
  <c r="C9" s="1"/>
  <c r="C11" s="1"/>
  <c r="D10" s="1"/>
  <c r="D11" s="1"/>
  <c r="E10" s="1"/>
  <c r="E11" s="1"/>
  <c r="G82" i="5" l="1"/>
  <c r="H82"/>
  <c r="F46"/>
  <c r="G46"/>
  <c r="C38"/>
  <c r="C40" s="1"/>
  <c r="C46" s="1"/>
  <c r="C48" s="1"/>
  <c r="D44" s="1"/>
  <c r="E38"/>
  <c r="E40" s="1"/>
  <c r="E78" s="1"/>
  <c r="D38"/>
  <c r="D40" s="1"/>
  <c r="D46" s="1"/>
  <c r="D72"/>
  <c r="F10"/>
  <c r="I74" i="4"/>
  <c r="I93" s="1"/>
  <c r="F4" i="5"/>
  <c r="C74" i="4"/>
  <c r="C93" s="1"/>
  <c r="D24" i="5"/>
  <c r="E73"/>
  <c r="F72" s="1"/>
  <c r="J47" i="4"/>
  <c r="J64" s="1"/>
  <c r="E15" i="5"/>
  <c r="E86" s="1"/>
  <c r="L47" i="4"/>
  <c r="L64" s="1"/>
  <c r="E20" i="5"/>
  <c r="E45" s="1"/>
  <c r="E41" i="4"/>
  <c r="I47"/>
  <c r="I64" s="1"/>
  <c r="E14" i="5"/>
  <c r="E85" s="1"/>
  <c r="E40" i="4"/>
  <c r="E47"/>
  <c r="E64" s="1"/>
  <c r="E6" i="5"/>
  <c r="K47" i="4"/>
  <c r="K64" s="1"/>
  <c r="E18" i="5"/>
  <c r="N47" i="4"/>
  <c r="N64" s="1"/>
  <c r="E22" i="5"/>
  <c r="C78"/>
  <c r="C90" s="1"/>
  <c r="C102" s="1"/>
  <c r="C105" s="1"/>
  <c r="C106" s="1"/>
  <c r="D45"/>
  <c r="D86"/>
  <c r="D98"/>
  <c r="D85"/>
  <c r="D97"/>
  <c r="D92"/>
  <c r="D95" s="1"/>
  <c r="E92"/>
  <c r="E95" s="1"/>
  <c r="D73"/>
  <c r="E72" s="1"/>
  <c r="D83"/>
  <c r="E83"/>
  <c r="D12"/>
  <c r="E18" i="1"/>
  <c r="D25"/>
  <c r="C25"/>
  <c r="E25"/>
  <c r="C16"/>
  <c r="C18" s="1"/>
  <c r="C28" s="1"/>
  <c r="E98" i="5" l="1"/>
  <c r="D78"/>
  <c r="C103" i="4"/>
  <c r="C127" s="1"/>
  <c r="G4" i="5"/>
  <c r="I103" i="4"/>
  <c r="I127" s="1"/>
  <c r="G10" i="5"/>
  <c r="D101"/>
  <c r="E46"/>
  <c r="E74"/>
  <c r="E90"/>
  <c r="D74"/>
  <c r="D104"/>
  <c r="F22"/>
  <c r="R74" i="4"/>
  <c r="R93" s="1"/>
  <c r="N74"/>
  <c r="N93" s="1"/>
  <c r="F18" i="5"/>
  <c r="F97" s="1"/>
  <c r="E67" i="4"/>
  <c r="F6" i="5"/>
  <c r="E74" i="4"/>
  <c r="E93" s="1"/>
  <c r="F20" i="5"/>
  <c r="P74" i="4"/>
  <c r="P93" s="1"/>
  <c r="F14" i="5"/>
  <c r="J74" i="4"/>
  <c r="J93" s="1"/>
  <c r="E97" i="5"/>
  <c r="E101" s="1"/>
  <c r="E12"/>
  <c r="F83"/>
  <c r="F15"/>
  <c r="K74" i="4"/>
  <c r="K93" s="1"/>
  <c r="F73" i="5"/>
  <c r="G72" s="1"/>
  <c r="E24"/>
  <c r="E68" i="4"/>
  <c r="D48" i="5"/>
  <c r="E44" s="1"/>
  <c r="E48" s="1"/>
  <c r="F44" s="1"/>
  <c r="D90"/>
  <c r="D102" s="1"/>
  <c r="C29" i="1"/>
  <c r="D28"/>
  <c r="J103" i="4" l="1"/>
  <c r="J127" s="1"/>
  <c r="G14" i="5"/>
  <c r="H85" s="1"/>
  <c r="K103" i="4"/>
  <c r="K127" s="1"/>
  <c r="G15" i="5"/>
  <c r="H86" s="1"/>
  <c r="G85"/>
  <c r="R103" i="4"/>
  <c r="G21" i="5"/>
  <c r="J8"/>
  <c r="G73"/>
  <c r="H72" s="1"/>
  <c r="H74" s="1"/>
  <c r="P103" i="4"/>
  <c r="P127" s="1"/>
  <c r="G20" i="5"/>
  <c r="H44" s="1"/>
  <c r="H48" s="1"/>
  <c r="E96" i="4"/>
  <c r="E103"/>
  <c r="E112" s="1"/>
  <c r="G6" i="5"/>
  <c r="N103" i="4"/>
  <c r="N127" s="1"/>
  <c r="G18" i="5"/>
  <c r="H97" s="1"/>
  <c r="H101" s="1"/>
  <c r="E102"/>
  <c r="D105"/>
  <c r="E104" s="1"/>
  <c r="F12"/>
  <c r="F86"/>
  <c r="G86"/>
  <c r="F45"/>
  <c r="F48" s="1"/>
  <c r="G44"/>
  <c r="G48" s="1"/>
  <c r="F98"/>
  <c r="F101" s="1"/>
  <c r="E97" i="4"/>
  <c r="F85" i="5"/>
  <c r="F74"/>
  <c r="F24"/>
  <c r="D29" i="1"/>
  <c r="E28"/>
  <c r="E29" s="1"/>
  <c r="G12" i="5" l="1"/>
  <c r="H83"/>
  <c r="H90" s="1"/>
  <c r="H102" s="1"/>
  <c r="G74"/>
  <c r="E127" i="4"/>
  <c r="E130" s="1"/>
  <c r="S112"/>
  <c r="G83" i="5"/>
  <c r="J10"/>
  <c r="J21" s="1"/>
  <c r="G24"/>
  <c r="G90"/>
  <c r="G102" s="1"/>
  <c r="F90"/>
  <c r="F102" s="1"/>
  <c r="E105"/>
  <c r="F104" s="1"/>
  <c r="D106"/>
  <c r="S124" i="4" l="1"/>
  <c r="M124" s="1"/>
  <c r="M127" s="1"/>
  <c r="E106" i="5"/>
  <c r="F105"/>
  <c r="G104" s="1"/>
  <c r="G105" s="1"/>
  <c r="F106" l="1"/>
  <c r="S126" i="4"/>
  <c r="R126" s="1"/>
  <c r="R127" s="1"/>
  <c r="G106" i="5"/>
  <c r="H104"/>
  <c r="H105" s="1"/>
  <c r="H106" s="1"/>
  <c r="S127" i="4" l="1"/>
  <c r="E131" s="1"/>
</calcChain>
</file>

<file path=xl/sharedStrings.xml><?xml version="1.0" encoding="utf-8"?>
<sst xmlns="http://schemas.openxmlformats.org/spreadsheetml/2006/main" count="618" uniqueCount="188">
  <si>
    <t>DADOS</t>
  </si>
  <si>
    <t>MÊS 1</t>
  </si>
  <si>
    <t>MÊS 2</t>
  </si>
  <si>
    <t>MÊS 3</t>
  </si>
  <si>
    <t>Compra livros</t>
  </si>
  <si>
    <t>FLUXO DE CAIXA</t>
  </si>
  <si>
    <t>Entradas de caixa</t>
  </si>
  <si>
    <t>(-) Saídas de caixa</t>
  </si>
  <si>
    <t>(=) FLUXO DE CAIXA</t>
  </si>
  <si>
    <t>Saldo inicial de caixa</t>
  </si>
  <si>
    <t>Saldo final de caixa</t>
  </si>
  <si>
    <t>RESULTADO</t>
  </si>
  <si>
    <t>FLUXO FINANCEIRO</t>
  </si>
  <si>
    <t>Receita de venda</t>
  </si>
  <si>
    <t>(-) CMV</t>
  </si>
  <si>
    <t>(=) LUCRO BRUTO</t>
  </si>
  <si>
    <t>(=) LUCRO OPERACIONAL</t>
  </si>
  <si>
    <t>FLUXO ECONÔMICO</t>
  </si>
  <si>
    <t>BALANÇOS PATRIMONIAIS - ÚLTIMO DIA DO MÊS</t>
  </si>
  <si>
    <t>ATIVO</t>
  </si>
  <si>
    <t>P+PL</t>
  </si>
  <si>
    <t>Disponibilidades</t>
  </si>
  <si>
    <r>
      <t xml:space="preserve">Venda </t>
    </r>
    <r>
      <rPr>
        <b/>
        <u/>
        <sz val="11"/>
        <color theme="1"/>
        <rFont val="Calibri"/>
        <family val="2"/>
        <scheme val="minor"/>
      </rPr>
      <t>todos</t>
    </r>
    <r>
      <rPr>
        <sz val="11"/>
        <color theme="1"/>
        <rFont val="Calibri"/>
        <family val="2"/>
        <scheme val="minor"/>
      </rPr>
      <t xml:space="preserve"> os livros</t>
    </r>
  </si>
  <si>
    <t>Contas a receber</t>
  </si>
  <si>
    <t>Capital social</t>
  </si>
  <si>
    <t>Resultados acumulados</t>
  </si>
  <si>
    <t>(-) PCLD</t>
  </si>
  <si>
    <t>EVOLUÇÃO DO PATRIMÔNIO</t>
  </si>
  <si>
    <t>Disponib</t>
  </si>
  <si>
    <t>Estoque</t>
  </si>
  <si>
    <t>Imobiliz</t>
  </si>
  <si>
    <t>Emprést</t>
  </si>
  <si>
    <t>Capital</t>
  </si>
  <si>
    <t>PASSIVO + PL</t>
  </si>
  <si>
    <t>Si</t>
  </si>
  <si>
    <t>Sf</t>
  </si>
  <si>
    <t>Forneced  a pagar</t>
  </si>
  <si>
    <t>Contas a pagar</t>
  </si>
  <si>
    <t>FEVEREIRO</t>
  </si>
  <si>
    <t>BALANÇOS PATRIMONIAIS</t>
  </si>
  <si>
    <t>Disponibilidade</t>
  </si>
  <si>
    <t>TOTAL</t>
  </si>
  <si>
    <t>Fornecedores a pagar</t>
  </si>
  <si>
    <t>Empréstimos a pagar</t>
  </si>
  <si>
    <t>DAS OPERAÇÕES</t>
  </si>
  <si>
    <t>JAN</t>
  </si>
  <si>
    <t>FEV</t>
  </si>
  <si>
    <t>DE INVESTIMENTOS</t>
  </si>
  <si>
    <t>DE FINANCIAMENTOS</t>
  </si>
  <si>
    <t>DEMONSTRAÇÃO DO FLUXO DE CAIXA (método direto)</t>
  </si>
  <si>
    <t>Empréstimos</t>
  </si>
  <si>
    <t>Capital dos sócios</t>
  </si>
  <si>
    <t>Imobilizações</t>
  </si>
  <si>
    <t>Compras de mercadorias</t>
  </si>
  <si>
    <t>DEMONSTRAÇÃO DO RESULTADO DO EXERCÍCIO</t>
  </si>
  <si>
    <t>(=) Lucro bruto</t>
  </si>
  <si>
    <t>(-) Despesas comerciais</t>
  </si>
  <si>
    <t>(-) Despesas administrat</t>
  </si>
  <si>
    <t>(-) Desp. Depreciação</t>
  </si>
  <si>
    <t>(=) LUCRO LÍQUIDO</t>
  </si>
  <si>
    <t>MAR</t>
  </si>
  <si>
    <t>MARÇO</t>
  </si>
  <si>
    <t>Terreno</t>
  </si>
  <si>
    <t>Veículo</t>
  </si>
  <si>
    <t>Veículos</t>
  </si>
  <si>
    <t>RESULT</t>
  </si>
  <si>
    <t>Reserva</t>
  </si>
  <si>
    <t>C. Receb</t>
  </si>
  <si>
    <t>(-) Depr acum</t>
  </si>
  <si>
    <t>(-) Deprec acumul</t>
  </si>
  <si>
    <t>Reservas</t>
  </si>
  <si>
    <t>(-) Desp. Financeiras</t>
  </si>
  <si>
    <t>Prejuízos acumulados</t>
  </si>
  <si>
    <t>Vendas de mercadorias</t>
  </si>
  <si>
    <t>Despesas operacionais</t>
  </si>
  <si>
    <t>Juros</t>
  </si>
  <si>
    <t>DEMONSTRAÇÃO DO FLUXO DE CAIXA (método indireto)</t>
  </si>
  <si>
    <t>Lucro líquido do período</t>
  </si>
  <si>
    <t>(+) Depreciação</t>
  </si>
  <si>
    <t>(+) Desp. Financ</t>
  </si>
  <si>
    <t>(+/-) Variaç estoq</t>
  </si>
  <si>
    <t>(+/-) Variaç imobiliz</t>
  </si>
  <si>
    <t>(+/-) Variaç empréstimos</t>
  </si>
  <si>
    <t>(+) Aportes de capital</t>
  </si>
  <si>
    <t>(+/-) Variaç fornec a pag</t>
  </si>
  <si>
    <t>(+/-) Variaç contas a pag</t>
  </si>
  <si>
    <t>(+/-) Variaç contas a receb</t>
  </si>
  <si>
    <t>DEMONSTRAÇÃO DAS MUTAÇÕES DO PL</t>
  </si>
  <si>
    <t>Saldo inicial do PL</t>
  </si>
  <si>
    <t>(+) Aporte de capital</t>
  </si>
  <si>
    <t>(+/-) Resultado do período</t>
  </si>
  <si>
    <t>(-) Distrib de lucro</t>
  </si>
  <si>
    <t>Saldo final do PL</t>
  </si>
  <si>
    <t>ABRIL</t>
  </si>
  <si>
    <t>DIAS</t>
  </si>
  <si>
    <t>F</t>
  </si>
  <si>
    <t>MAIO</t>
  </si>
  <si>
    <t>ABR</t>
  </si>
  <si>
    <t>Dividendos</t>
  </si>
  <si>
    <t>unidades</t>
  </si>
  <si>
    <t>$/unid</t>
  </si>
  <si>
    <t>$ total</t>
  </si>
  <si>
    <t>Saldo</t>
  </si>
  <si>
    <t>Saldo inicial</t>
  </si>
  <si>
    <t>1 - Compra da mercadoria X</t>
  </si>
  <si>
    <t>2 - Compra da mercadoria X</t>
  </si>
  <si>
    <t>3 - Venda de 400 unidades por $20,0 por unidade</t>
  </si>
  <si>
    <t>Mês 1</t>
  </si>
  <si>
    <t>Média Ponderada Móvel</t>
  </si>
  <si>
    <t>Estoque final</t>
  </si>
  <si>
    <t>PEPS</t>
  </si>
  <si>
    <t>UEPS</t>
  </si>
  <si>
    <t>PERÍODO</t>
  </si>
  <si>
    <t>MÉDIA</t>
  </si>
  <si>
    <t>QUANT</t>
  </si>
  <si>
    <t>$ UNIT</t>
  </si>
  <si>
    <t>$ TOT</t>
  </si>
  <si>
    <t>HISTÓRICO</t>
  </si>
  <si>
    <t>Compra</t>
  </si>
  <si>
    <t>saldo inicial</t>
  </si>
  <si>
    <t>Saldo final</t>
  </si>
  <si>
    <t>Bx por venda</t>
  </si>
  <si>
    <t>3 - Venda de 400 unidades por $25,0 por unidade</t>
  </si>
  <si>
    <t>Mês 2</t>
  </si>
  <si>
    <t>Baixa por venda</t>
  </si>
  <si>
    <t>MAI</t>
  </si>
  <si>
    <t>Ad clientes</t>
  </si>
  <si>
    <t>Desp antecip</t>
  </si>
  <si>
    <t>Impostos a pagar</t>
  </si>
  <si>
    <t>Dividendos a pagar</t>
  </si>
  <si>
    <t>Desp. Antencipadas</t>
  </si>
  <si>
    <t>Adiantam de clientes</t>
  </si>
  <si>
    <t>(-) Desp com seguro</t>
  </si>
  <si>
    <t>(-) Result vda imobiliz</t>
  </si>
  <si>
    <t>(=) L.A.I.R.</t>
  </si>
  <si>
    <t>(-) IR/CSSLL</t>
  </si>
  <si>
    <t xml:space="preserve">(-) Ganho venda imobiliz </t>
  </si>
  <si>
    <t>(+/-) Variaç adiant clientes</t>
  </si>
  <si>
    <t>(+/-) Impostos a pagar</t>
  </si>
  <si>
    <t>(+) Baixa do imobiliz</t>
  </si>
  <si>
    <t>(+/-) Variaç desp antecip</t>
  </si>
  <si>
    <t>(-) Dividendos</t>
  </si>
  <si>
    <t>JUN</t>
  </si>
  <si>
    <t>CX</t>
  </si>
  <si>
    <t>LUCRO</t>
  </si>
  <si>
    <t>si</t>
  </si>
  <si>
    <t>JUNHO</t>
  </si>
  <si>
    <t>Tributos</t>
  </si>
  <si>
    <t>JANEIRO</t>
  </si>
  <si>
    <t>ATIVOS</t>
  </si>
  <si>
    <t>PASSIVOS + PL</t>
  </si>
  <si>
    <t>31/12/X0</t>
  </si>
  <si>
    <t>31/12/X1</t>
  </si>
  <si>
    <t>Clientes a receber</t>
  </si>
  <si>
    <t>Estoques</t>
  </si>
  <si>
    <t>Tributos a pagar</t>
  </si>
  <si>
    <t>Imobilizado líquido</t>
  </si>
  <si>
    <t>PL</t>
  </si>
  <si>
    <t>DRE - ano X1</t>
  </si>
  <si>
    <t>Receita bruta de vendas</t>
  </si>
  <si>
    <t>(-) Deduções</t>
  </si>
  <si>
    <t>(=) Receita líquida</t>
  </si>
  <si>
    <t>(-) CPV</t>
  </si>
  <si>
    <t>(-) Despesas administrativas</t>
  </si>
  <si>
    <t>(-) Despesas financeiras</t>
  </si>
  <si>
    <t>(=) Lucro antes do IR</t>
  </si>
  <si>
    <t>(-) IR/CSLL (40%)</t>
  </si>
  <si>
    <t>(=) Lucro líquido</t>
  </si>
  <si>
    <t>Ke (custo do capit dos sócios)</t>
  </si>
  <si>
    <t>ROE</t>
  </si>
  <si>
    <t>EVA®</t>
  </si>
  <si>
    <t>Ativo total médio</t>
  </si>
  <si>
    <t>(-) Pass operac méd</t>
  </si>
  <si>
    <t>(=) INVESTIMENTO MÉDIO</t>
  </si>
  <si>
    <t>Passivo oneroso médio</t>
  </si>
  <si>
    <t>PL médio</t>
  </si>
  <si>
    <t>(=) EBIT</t>
  </si>
  <si>
    <t>(-) IR/CSSL</t>
  </si>
  <si>
    <t>(=) NOPAT</t>
  </si>
  <si>
    <t>(+) Benefício fiscal da dívida</t>
  </si>
  <si>
    <t>ROI</t>
  </si>
  <si>
    <t>Wi</t>
  </si>
  <si>
    <t>We</t>
  </si>
  <si>
    <t>Ki</t>
  </si>
  <si>
    <t>Ke</t>
  </si>
  <si>
    <t>WACC</t>
  </si>
  <si>
    <t>Margem</t>
  </si>
  <si>
    <t>Giro</t>
  </si>
</sst>
</file>

<file path=xl/styles.xml><?xml version="1.0" encoding="utf-8"?>
<styleSheet xmlns="http://schemas.openxmlformats.org/spreadsheetml/2006/main">
  <numFmts count="4">
    <numFmt numFmtId="164" formatCode="d/m;@"/>
    <numFmt numFmtId="165" formatCode="#,##0.0"/>
    <numFmt numFmtId="166" formatCode="#,##0.000"/>
    <numFmt numFmtId="167" formatCode="0.0%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1.2207403790398877E-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3">
    <xf numFmtId="0" fontId="0" fillId="0" borderId="0" xfId="0"/>
    <xf numFmtId="3" fontId="0" fillId="2" borderId="0" xfId="0" applyNumberFormat="1" applyFill="1" applyAlignment="1">
      <alignment horizontal="center" vertical="center" wrapText="1"/>
    </xf>
    <xf numFmtId="3" fontId="1" fillId="3" borderId="0" xfId="0" applyNumberFormat="1" applyFont="1" applyFill="1" applyAlignment="1">
      <alignment horizontal="center" vertical="center" wrapText="1"/>
    </xf>
    <xf numFmtId="3" fontId="0" fillId="3" borderId="0" xfId="0" applyNumberFormat="1" applyFill="1" applyAlignment="1">
      <alignment horizontal="center" vertical="center" wrapText="1"/>
    </xf>
    <xf numFmtId="3" fontId="0" fillId="3" borderId="0" xfId="0" applyNumberFormat="1" applyFill="1" applyAlignment="1">
      <alignment horizontal="left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0" xfId="0" applyNumberFormat="1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left" vertical="center" wrapText="1"/>
    </xf>
    <xf numFmtId="3" fontId="2" fillId="3" borderId="0" xfId="0" applyNumberFormat="1" applyFont="1" applyFill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3" fillId="4" borderId="6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3" fontId="2" fillId="3" borderId="8" xfId="0" applyNumberFormat="1" applyFont="1" applyFill="1" applyBorder="1" applyAlignment="1">
      <alignment horizontal="center" vertical="center" wrapText="1"/>
    </xf>
    <xf numFmtId="3" fontId="3" fillId="4" borderId="9" xfId="0" applyNumberFormat="1" applyFont="1" applyFill="1" applyBorder="1" applyAlignment="1">
      <alignment horizontal="left" vertical="center" wrapText="1"/>
    </xf>
    <xf numFmtId="3" fontId="3" fillId="4" borderId="10" xfId="0" applyNumberFormat="1" applyFont="1" applyFill="1" applyBorder="1" applyAlignment="1">
      <alignment horizontal="center" vertical="center" wrapText="1"/>
    </xf>
    <xf numFmtId="3" fontId="3" fillId="4" borderId="11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3" fontId="1" fillId="3" borderId="0" xfId="0" applyNumberFormat="1" applyFont="1" applyFill="1" applyBorder="1" applyAlignment="1">
      <alignment horizontal="center" vertical="center" wrapText="1"/>
    </xf>
    <xf numFmtId="3" fontId="1" fillId="3" borderId="8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center" vertical="center" wrapText="1"/>
    </xf>
    <xf numFmtId="3" fontId="1" fillId="3" borderId="10" xfId="0" applyNumberFormat="1" applyFont="1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3" fontId="5" fillId="4" borderId="9" xfId="0" applyNumberFormat="1" applyFont="1" applyFill="1" applyBorder="1" applyAlignment="1">
      <alignment horizontal="center" vertical="center" wrapText="1"/>
    </xf>
    <xf numFmtId="3" fontId="5" fillId="4" borderId="10" xfId="0" applyNumberFormat="1" applyFont="1" applyFill="1" applyBorder="1" applyAlignment="1">
      <alignment horizontal="center" vertical="center" wrapText="1"/>
    </xf>
    <xf numFmtId="3" fontId="5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left" vertical="center" wrapText="1"/>
    </xf>
    <xf numFmtId="3" fontId="1" fillId="4" borderId="9" xfId="0" applyNumberFormat="1" applyFont="1" applyFill="1" applyBorder="1" applyAlignment="1">
      <alignment horizontal="left" vertical="center" wrapText="1"/>
    </xf>
    <xf numFmtId="3" fontId="1" fillId="4" borderId="10" xfId="0" applyNumberFormat="1" applyFont="1" applyFill="1" applyBorder="1" applyAlignment="1">
      <alignment horizontal="center" vertical="center" wrapText="1"/>
    </xf>
    <xf numFmtId="3" fontId="1" fillId="4" borderId="11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left" vertical="center" wrapText="1"/>
    </xf>
    <xf numFmtId="3" fontId="0" fillId="4" borderId="7" xfId="0" applyNumberFormat="1" applyFill="1" applyBorder="1" applyAlignment="1">
      <alignment horizontal="left" vertical="center" wrapText="1"/>
    </xf>
    <xf numFmtId="3" fontId="0" fillId="4" borderId="0" xfId="0" applyNumberForma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center" vertical="center" wrapText="1"/>
    </xf>
    <xf numFmtId="3" fontId="1" fillId="5" borderId="2" xfId="0" applyNumberFormat="1" applyFont="1" applyFill="1" applyBorder="1" applyAlignment="1">
      <alignment horizontal="center" vertical="center" wrapText="1"/>
    </xf>
    <xf numFmtId="3" fontId="1" fillId="5" borderId="3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left" vertical="center" wrapText="1"/>
    </xf>
    <xf numFmtId="3" fontId="0" fillId="4" borderId="4" xfId="0" applyNumberFormat="1" applyFill="1" applyBorder="1" applyAlignment="1">
      <alignment horizontal="center" vertical="center" wrapText="1"/>
    </xf>
    <xf numFmtId="3" fontId="0" fillId="4" borderId="5" xfId="0" applyNumberFormat="1" applyFill="1" applyBorder="1" applyAlignment="1">
      <alignment horizontal="center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3" fontId="1" fillId="4" borderId="9" xfId="0" applyNumberFormat="1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left" vertical="center" wrapText="1"/>
    </xf>
    <xf numFmtId="3" fontId="0" fillId="3" borderId="7" xfId="0" applyNumberFormat="1" applyFont="1" applyFill="1" applyBorder="1" applyAlignment="1">
      <alignment horizontal="left" vertical="center" wrapText="1"/>
    </xf>
    <xf numFmtId="3" fontId="0" fillId="3" borderId="0" xfId="0" applyNumberFormat="1" applyFont="1" applyFill="1" applyBorder="1" applyAlignment="1">
      <alignment horizontal="center" vertical="center" wrapText="1"/>
    </xf>
    <xf numFmtId="3" fontId="0" fillId="3" borderId="8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6" borderId="8" xfId="0" applyNumberFormat="1" applyFont="1" applyFill="1" applyBorder="1" applyAlignment="1">
      <alignment horizontal="center" vertical="center" wrapText="1"/>
    </xf>
    <xf numFmtId="3" fontId="0" fillId="6" borderId="8" xfId="0" applyNumberFormat="1" applyFill="1" applyBorder="1" applyAlignment="1">
      <alignment horizontal="center" vertical="center" wrapText="1"/>
    </xf>
    <xf numFmtId="3" fontId="1" fillId="6" borderId="11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6" xfId="0" applyNumberFormat="1" applyFill="1" applyBorder="1" applyAlignment="1">
      <alignment horizontal="center" vertical="center" wrapText="1"/>
    </xf>
    <xf numFmtId="3" fontId="0" fillId="6" borderId="6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3" borderId="11" xfId="0" applyNumberFormat="1" applyFill="1" applyBorder="1" applyAlignment="1">
      <alignment horizontal="center" vertical="center" wrapText="1"/>
    </xf>
    <xf numFmtId="3" fontId="0" fillId="6" borderId="1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0" fillId="3" borderId="3" xfId="0" applyNumberFormat="1" applyFill="1" applyBorder="1" applyAlignment="1">
      <alignment horizontal="center" vertical="center" wrapText="1"/>
    </xf>
    <xf numFmtId="3" fontId="0" fillId="6" borderId="3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6" borderId="2" xfId="0" applyNumberFormat="1" applyFill="1" applyBorder="1" applyAlignment="1">
      <alignment horizontal="center" vertical="center" wrapText="1"/>
    </xf>
    <xf numFmtId="3" fontId="0" fillId="6" borderId="4" xfId="0" applyNumberFormat="1" applyFill="1" applyBorder="1" applyAlignment="1">
      <alignment horizontal="center" vertical="center" wrapText="1"/>
    </xf>
    <xf numFmtId="3" fontId="0" fillId="6" borderId="7" xfId="0" applyNumberFormat="1" applyFill="1" applyBorder="1" applyAlignment="1">
      <alignment horizontal="center" vertical="center" wrapText="1"/>
    </xf>
    <xf numFmtId="3" fontId="0" fillId="6" borderId="9" xfId="0" applyNumberFormat="1" applyFill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center" vertical="center" wrapText="1"/>
    </xf>
    <xf numFmtId="3" fontId="1" fillId="3" borderId="9" xfId="0" applyNumberFormat="1" applyFont="1" applyFill="1" applyBorder="1" applyAlignment="1">
      <alignment horizontal="left" vertical="center" wrapText="1"/>
    </xf>
    <xf numFmtId="14" fontId="0" fillId="2" borderId="0" xfId="0" applyNumberFormat="1" applyFill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 wrapText="1"/>
    </xf>
    <xf numFmtId="3" fontId="1" fillId="6" borderId="3" xfId="0" applyNumberFormat="1" applyFont="1" applyFill="1" applyBorder="1" applyAlignment="1">
      <alignment horizontal="center" vertical="center" wrapText="1"/>
    </xf>
    <xf numFmtId="3" fontId="0" fillId="3" borderId="14" xfId="0" applyNumberForma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165" fontId="0" fillId="2" borderId="0" xfId="0" applyNumberFormat="1" applyFill="1" applyBorder="1" applyAlignment="1">
      <alignment horizontal="center" vertical="center" wrapText="1"/>
    </xf>
    <xf numFmtId="3" fontId="0" fillId="2" borderId="8" xfId="0" applyNumberFormat="1" applyFill="1" applyBorder="1" applyAlignment="1">
      <alignment horizontal="center" vertical="center" wrapText="1"/>
    </xf>
    <xf numFmtId="166" fontId="0" fillId="2" borderId="8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166" fontId="1" fillId="2" borderId="8" xfId="0" applyNumberFormat="1" applyFont="1" applyFill="1" applyBorder="1" applyAlignment="1">
      <alignment horizontal="center" vertical="center" wrapText="1"/>
    </xf>
    <xf numFmtId="3" fontId="0" fillId="2" borderId="11" xfId="0" applyNumberFormat="1" applyFill="1" applyBorder="1" applyAlignment="1">
      <alignment horizontal="center" vertical="center" wrapText="1"/>
    </xf>
    <xf numFmtId="3" fontId="0" fillId="2" borderId="0" xfId="0" applyNumberFormat="1" applyFill="1" applyAlignment="1">
      <alignment horizontal="left" vertical="center" wrapText="1"/>
    </xf>
    <xf numFmtId="3" fontId="1" fillId="3" borderId="4" xfId="0" applyNumberFormat="1" applyFont="1" applyFill="1" applyBorder="1" applyAlignment="1">
      <alignment horizontal="left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166" fontId="0" fillId="3" borderId="5" xfId="0" applyNumberFormat="1" applyFill="1" applyBorder="1" applyAlignment="1">
      <alignment horizontal="center" vertical="center" wrapText="1"/>
    </xf>
    <xf numFmtId="166" fontId="0" fillId="3" borderId="0" xfId="0" applyNumberFormat="1" applyFill="1" applyBorder="1" applyAlignment="1">
      <alignment horizontal="center" vertical="center" wrapText="1"/>
    </xf>
    <xf numFmtId="166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166" fontId="1" fillId="3" borderId="5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166" fontId="1" fillId="3" borderId="10" xfId="0" applyNumberFormat="1" applyFont="1" applyFill="1" applyBorder="1" applyAlignment="1">
      <alignment horizontal="center" vertical="center" wrapText="1"/>
    </xf>
    <xf numFmtId="166" fontId="0" fillId="3" borderId="2" xfId="0" applyNumberFormat="1" applyFill="1" applyBorder="1" applyAlignment="1">
      <alignment horizontal="center" vertical="center" wrapText="1"/>
    </xf>
    <xf numFmtId="166" fontId="1" fillId="3" borderId="2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6" borderId="6" xfId="0" applyNumberFormat="1" applyFont="1" applyFill="1" applyBorder="1" applyAlignment="1">
      <alignment horizontal="center" vertical="center" wrapText="1"/>
    </xf>
    <xf numFmtId="3" fontId="0" fillId="6" borderId="10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6" borderId="5" xfId="0" applyNumberFormat="1" applyFill="1" applyBorder="1" applyAlignment="1">
      <alignment horizontal="center" vertical="center" wrapText="1"/>
    </xf>
    <xf numFmtId="3" fontId="1" fillId="4" borderId="0" xfId="0" applyNumberFormat="1" applyFont="1" applyFill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3" fontId="1" fillId="4" borderId="0" xfId="0" applyNumberFormat="1" applyFont="1" applyFill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center" vertical="center" wrapText="1"/>
    </xf>
    <xf numFmtId="3" fontId="0" fillId="3" borderId="9" xfId="0" applyNumberFormat="1" applyFill="1" applyBorder="1" applyAlignment="1">
      <alignment horizontal="center" vertical="center" wrapText="1"/>
    </xf>
    <xf numFmtId="3" fontId="0" fillId="3" borderId="7" xfId="0" applyNumberFormat="1" applyFill="1" applyBorder="1" applyAlignment="1">
      <alignment horizontal="center" vertical="center" wrapText="1"/>
    </xf>
    <xf numFmtId="3" fontId="1" fillId="4" borderId="4" xfId="0" applyNumberFormat="1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horizontal="center" vertical="center" wrapText="1"/>
    </xf>
    <xf numFmtId="3" fontId="7" fillId="5" borderId="4" xfId="0" applyNumberFormat="1" applyFont="1" applyFill="1" applyBorder="1" applyAlignment="1">
      <alignment horizontal="center" vertical="center" wrapText="1"/>
    </xf>
    <xf numFmtId="3" fontId="7" fillId="5" borderId="5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0" fillId="3" borderId="12" xfId="0" applyNumberFormat="1" applyFill="1" applyBorder="1" applyAlignment="1">
      <alignment horizontal="center" vertical="center" wrapText="1"/>
    </xf>
    <xf numFmtId="3" fontId="0" fillId="3" borderId="13" xfId="0" applyNumberForma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5" borderId="3" xfId="0" applyNumberFormat="1" applyFont="1" applyFill="1" applyBorder="1" applyAlignment="1">
      <alignment horizontal="center" vertical="center" wrapText="1"/>
    </xf>
    <xf numFmtId="3" fontId="0" fillId="3" borderId="15" xfId="0" applyNumberForma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center" vertical="center" wrapText="1"/>
    </xf>
    <xf numFmtId="3" fontId="6" fillId="5" borderId="2" xfId="0" applyNumberFormat="1" applyFont="1" applyFill="1" applyBorder="1" applyAlignment="1">
      <alignment horizontal="center" vertical="center" wrapText="1"/>
    </xf>
    <xf numFmtId="3" fontId="6" fillId="5" borderId="3" xfId="0" applyNumberFormat="1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 wrapText="1"/>
    </xf>
    <xf numFmtId="3" fontId="6" fillId="5" borderId="10" xfId="0" applyNumberFormat="1" applyFont="1" applyFill="1" applyBorder="1" applyAlignment="1">
      <alignment horizontal="center" vertical="center" wrapText="1"/>
    </xf>
    <xf numFmtId="3" fontId="1" fillId="5" borderId="4" xfId="0" applyNumberFormat="1" applyFont="1" applyFill="1" applyBorder="1" applyAlignment="1">
      <alignment horizontal="center" vertical="center" wrapText="1"/>
    </xf>
    <xf numFmtId="3" fontId="1" fillId="5" borderId="5" xfId="0" applyNumberFormat="1" applyFont="1" applyFill="1" applyBorder="1" applyAlignment="1">
      <alignment horizontal="center" vertical="center" wrapText="1"/>
    </xf>
    <xf numFmtId="3" fontId="1" fillId="5" borderId="6" xfId="0" applyNumberFormat="1" applyFont="1" applyFill="1" applyBorder="1" applyAlignment="1">
      <alignment horizontal="center" vertical="center" wrapText="1"/>
    </xf>
    <xf numFmtId="3" fontId="0" fillId="3" borderId="5" xfId="0" applyNumberFormat="1" applyFill="1" applyBorder="1" applyAlignment="1">
      <alignment horizontal="center" vertical="center" wrapText="1"/>
    </xf>
    <xf numFmtId="3" fontId="0" fillId="3" borderId="10" xfId="0" applyNumberFormat="1" applyFill="1" applyBorder="1" applyAlignment="1">
      <alignment horizontal="center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3" fontId="0" fillId="2" borderId="7" xfId="0" applyNumberForma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19" xfId="0" applyFont="1" applyFill="1" applyBorder="1" applyAlignment="1">
      <alignment horizontal="justify" vertical="center" wrapText="1"/>
    </xf>
    <xf numFmtId="3" fontId="10" fillId="8" borderId="20" xfId="0" applyNumberFormat="1" applyFont="1" applyFill="1" applyBorder="1" applyAlignment="1">
      <alignment horizontal="center" vertical="center" wrapText="1"/>
    </xf>
    <xf numFmtId="0" fontId="10" fillId="8" borderId="19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9" fillId="8" borderId="21" xfId="0" applyFont="1" applyFill="1" applyBorder="1" applyAlignment="1">
      <alignment horizontal="justify" vertical="center" wrapText="1"/>
    </xf>
    <xf numFmtId="3" fontId="9" fillId="8" borderId="22" xfId="0" applyNumberFormat="1" applyFont="1" applyFill="1" applyBorder="1" applyAlignment="1">
      <alignment horizontal="center" vertical="center" wrapText="1"/>
    </xf>
    <xf numFmtId="3" fontId="9" fillId="8" borderId="23" xfId="0" applyNumberFormat="1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justify" vertical="center" wrapText="1"/>
    </xf>
    <xf numFmtId="3" fontId="0" fillId="4" borderId="0" xfId="0" applyNumberFormat="1" applyFont="1" applyFill="1" applyAlignment="1">
      <alignment horizontal="center" vertical="center" wrapText="1"/>
    </xf>
    <xf numFmtId="167" fontId="0" fillId="4" borderId="0" xfId="1" applyNumberFormat="1" applyFont="1" applyFill="1" applyAlignment="1">
      <alignment horizontal="center" vertical="center" wrapText="1"/>
    </xf>
    <xf numFmtId="0" fontId="10" fillId="6" borderId="19" xfId="0" applyFont="1" applyFill="1" applyBorder="1" applyAlignment="1">
      <alignment horizontal="justify" vertical="center" wrapText="1"/>
    </xf>
    <xf numFmtId="3" fontId="10" fillId="6" borderId="0" xfId="0" applyNumberFormat="1" applyFont="1" applyFill="1" applyAlignment="1">
      <alignment horizontal="center" vertical="center" wrapText="1"/>
    </xf>
    <xf numFmtId="3" fontId="10" fillId="6" borderId="20" xfId="0" applyNumberFormat="1" applyFont="1" applyFill="1" applyBorder="1" applyAlignment="1">
      <alignment horizontal="center" vertical="center" wrapText="1"/>
    </xf>
    <xf numFmtId="0" fontId="10" fillId="9" borderId="19" xfId="0" applyFont="1" applyFill="1" applyBorder="1" applyAlignment="1">
      <alignment horizontal="justify" vertical="center" wrapText="1"/>
    </xf>
    <xf numFmtId="3" fontId="10" fillId="9" borderId="0" xfId="0" applyNumberFormat="1" applyFont="1" applyFill="1" applyAlignment="1">
      <alignment horizontal="center" vertical="center" wrapText="1"/>
    </xf>
    <xf numFmtId="3" fontId="10" fillId="9" borderId="20" xfId="0" applyNumberFormat="1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justify" vertical="center" wrapText="1"/>
    </xf>
    <xf numFmtId="3" fontId="11" fillId="8" borderId="18" xfId="0" applyNumberFormat="1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justify" vertical="center" wrapText="1"/>
    </xf>
    <xf numFmtId="3" fontId="11" fillId="8" borderId="20" xfId="0" applyNumberFormat="1" applyFont="1" applyFill="1" applyBorder="1" applyAlignment="1">
      <alignment horizontal="center" vertical="center" wrapText="1"/>
    </xf>
    <xf numFmtId="3" fontId="0" fillId="6" borderId="0" xfId="0" applyNumberFormat="1" applyFont="1" applyFill="1" applyAlignment="1">
      <alignment horizontal="center" vertical="center" wrapText="1"/>
    </xf>
    <xf numFmtId="3" fontId="1" fillId="6" borderId="0" xfId="0" applyNumberFormat="1" applyFont="1" applyFill="1" applyAlignment="1">
      <alignment horizontal="center" vertical="center" wrapText="1"/>
    </xf>
    <xf numFmtId="3" fontId="0" fillId="9" borderId="0" xfId="0" applyNumberFormat="1" applyFont="1" applyFill="1" applyAlignment="1">
      <alignment horizontal="center" vertical="center" wrapText="1"/>
    </xf>
    <xf numFmtId="3" fontId="0" fillId="6" borderId="0" xfId="0" applyNumberFormat="1" applyFont="1" applyFill="1" applyAlignment="1">
      <alignment horizontal="left" vertical="center" wrapText="1"/>
    </xf>
    <xf numFmtId="3" fontId="1" fillId="6" borderId="0" xfId="0" applyNumberFormat="1" applyFont="1" applyFill="1" applyAlignment="1">
      <alignment horizontal="left" vertical="center" wrapText="1"/>
    </xf>
    <xf numFmtId="3" fontId="0" fillId="9" borderId="0" xfId="0" applyNumberFormat="1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left" vertical="center" wrapText="1"/>
    </xf>
    <xf numFmtId="3" fontId="1" fillId="5" borderId="0" xfId="0" applyNumberFormat="1" applyFont="1" applyFill="1" applyAlignment="1">
      <alignment horizontal="center" vertical="center" wrapText="1"/>
    </xf>
    <xf numFmtId="167" fontId="0" fillId="6" borderId="0" xfId="1" applyNumberFormat="1" applyFont="1" applyFill="1" applyAlignment="1">
      <alignment horizontal="center" vertical="center" wrapText="1"/>
    </xf>
    <xf numFmtId="3" fontId="1" fillId="9" borderId="0" xfId="0" applyNumberFormat="1" applyFont="1" applyFill="1" applyAlignment="1">
      <alignment horizontal="left" vertical="center" wrapText="1"/>
    </xf>
    <xf numFmtId="167" fontId="0" fillId="9" borderId="0" xfId="1" applyNumberFormat="1" applyFont="1" applyFill="1" applyAlignment="1">
      <alignment horizontal="center" vertical="center" wrapText="1"/>
    </xf>
    <xf numFmtId="167" fontId="1" fillId="9" borderId="0" xfId="1" applyNumberFormat="1" applyFont="1" applyFill="1" applyAlignment="1">
      <alignment horizontal="center" vertical="center" wrapText="1"/>
    </xf>
    <xf numFmtId="165" fontId="0" fillId="6" borderId="0" xfId="0" applyNumberFormat="1" applyFont="1" applyFill="1" applyAlignment="1">
      <alignment horizontal="center" vertical="center" wrapText="1"/>
    </xf>
    <xf numFmtId="167" fontId="1" fillId="6" borderId="0" xfId="1" applyNumberFormat="1" applyFont="1" applyFill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workbookViewId="0"/>
  </sheetViews>
  <sheetFormatPr defaultRowHeight="15"/>
  <sheetData>
    <row r="2" spans="2:7">
      <c r="B2" s="2" t="s">
        <v>0</v>
      </c>
      <c r="C2" s="2" t="s">
        <v>1</v>
      </c>
      <c r="D2" s="2" t="s">
        <v>2</v>
      </c>
      <c r="E2" s="2" t="s">
        <v>3</v>
      </c>
    </row>
    <row r="3" spans="2:7" ht="30">
      <c r="B3" s="4" t="s">
        <v>4</v>
      </c>
      <c r="C3" s="3">
        <v>1000</v>
      </c>
      <c r="D3" s="3">
        <v>2000</v>
      </c>
      <c r="E3" s="3">
        <v>4000</v>
      </c>
    </row>
    <row r="4" spans="2:7" ht="45">
      <c r="B4" s="4" t="s">
        <v>22</v>
      </c>
      <c r="C4" s="3">
        <v>1800</v>
      </c>
      <c r="D4" s="3">
        <v>3600</v>
      </c>
      <c r="E4" s="3">
        <v>7200</v>
      </c>
    </row>
    <row r="6" spans="2:7" ht="45">
      <c r="B6" s="5" t="s">
        <v>5</v>
      </c>
      <c r="C6" s="5" t="s">
        <v>1</v>
      </c>
      <c r="D6" s="5" t="s">
        <v>2</v>
      </c>
      <c r="E6" s="5" t="s">
        <v>3</v>
      </c>
      <c r="F6" s="137" t="s">
        <v>12</v>
      </c>
      <c r="G6" s="137"/>
    </row>
    <row r="7" spans="2:7" ht="30">
      <c r="B7" s="4" t="s">
        <v>6</v>
      </c>
      <c r="C7" s="3">
        <v>0</v>
      </c>
      <c r="D7" s="3">
        <f>+C4/5</f>
        <v>360</v>
      </c>
      <c r="E7" s="3">
        <f>+C4/5+D4/5</f>
        <v>1080</v>
      </c>
      <c r="F7" s="137"/>
      <c r="G7" s="137"/>
    </row>
    <row r="8" spans="2:7" ht="30">
      <c r="B8" s="4" t="s">
        <v>7</v>
      </c>
      <c r="C8" s="3">
        <f>-C3</f>
        <v>-1000</v>
      </c>
      <c r="D8" s="3">
        <f>-D3</f>
        <v>-2000</v>
      </c>
      <c r="E8" s="3">
        <f>-E3</f>
        <v>-4000</v>
      </c>
      <c r="F8" s="137"/>
      <c r="G8" s="137"/>
    </row>
    <row r="9" spans="2:7" ht="45">
      <c r="B9" s="6" t="s">
        <v>8</v>
      </c>
      <c r="C9" s="5">
        <f>+SUM(C7:C8)</f>
        <v>-1000</v>
      </c>
      <c r="D9" s="5">
        <f t="shared" ref="D9:E9" si="0">+SUM(D7:D8)</f>
        <v>-1640</v>
      </c>
      <c r="E9" s="5">
        <f t="shared" si="0"/>
        <v>-2920</v>
      </c>
      <c r="F9" s="137"/>
      <c r="G9" s="137"/>
    </row>
    <row r="10" spans="2:7" ht="45">
      <c r="B10" s="7" t="s">
        <v>9</v>
      </c>
      <c r="C10" s="8">
        <v>10000</v>
      </c>
      <c r="D10" s="8">
        <f>+C11</f>
        <v>9000</v>
      </c>
      <c r="E10" s="8">
        <f>+D11</f>
        <v>7360</v>
      </c>
      <c r="F10" s="137"/>
      <c r="G10" s="137"/>
    </row>
    <row r="11" spans="2:7" ht="45">
      <c r="B11" s="7" t="s">
        <v>10</v>
      </c>
      <c r="C11" s="8">
        <f>+C10+C9</f>
        <v>9000</v>
      </c>
      <c r="D11" s="8">
        <f>+D10+D9</f>
        <v>7360</v>
      </c>
      <c r="E11" s="8">
        <f>+E10+E9</f>
        <v>4440</v>
      </c>
      <c r="F11" s="137"/>
      <c r="G11" s="137"/>
    </row>
    <row r="13" spans="2:7" ht="45">
      <c r="B13" s="5" t="s">
        <v>11</v>
      </c>
      <c r="C13" s="5" t="s">
        <v>1</v>
      </c>
      <c r="D13" s="5" t="s">
        <v>2</v>
      </c>
      <c r="E13" s="5" t="s">
        <v>3</v>
      </c>
      <c r="F13" s="137" t="s">
        <v>17</v>
      </c>
      <c r="G13" s="137"/>
    </row>
    <row r="14" spans="2:7" ht="30">
      <c r="B14" s="4" t="s">
        <v>13</v>
      </c>
      <c r="C14" s="3">
        <f>+C4</f>
        <v>1800</v>
      </c>
      <c r="D14" s="3">
        <f>+D4</f>
        <v>3600</v>
      </c>
      <c r="E14" s="3">
        <f>+E4</f>
        <v>7200</v>
      </c>
      <c r="F14" s="137"/>
      <c r="G14" s="137"/>
    </row>
    <row r="15" spans="2:7">
      <c r="B15" s="4" t="s">
        <v>14</v>
      </c>
      <c r="C15" s="3">
        <f>-C3</f>
        <v>-1000</v>
      </c>
      <c r="D15" s="3">
        <f>-D3</f>
        <v>-2000</v>
      </c>
      <c r="E15" s="3">
        <f>-E3</f>
        <v>-4000</v>
      </c>
      <c r="F15" s="137"/>
      <c r="G15" s="137"/>
    </row>
    <row r="16" spans="2:7" ht="45">
      <c r="B16" s="6" t="s">
        <v>15</v>
      </c>
      <c r="C16" s="5">
        <f>+SUM(C14:C15)</f>
        <v>800</v>
      </c>
      <c r="D16" s="5">
        <f t="shared" ref="D16" si="1">+SUM(D14:D15)</f>
        <v>1600</v>
      </c>
      <c r="E16" s="5">
        <f t="shared" ref="E16" si="2">+SUM(E14:E15)</f>
        <v>3200</v>
      </c>
      <c r="F16" s="137"/>
      <c r="G16" s="137"/>
    </row>
    <row r="17" spans="2:7">
      <c r="B17" s="4" t="s">
        <v>26</v>
      </c>
      <c r="C17" s="3">
        <f>+C24</f>
        <v>-180</v>
      </c>
      <c r="D17" s="3">
        <f>+D24-C24</f>
        <v>-324</v>
      </c>
      <c r="E17" s="3">
        <f>+E24-D24</f>
        <v>-612</v>
      </c>
      <c r="F17" s="137"/>
      <c r="G17" s="137"/>
    </row>
    <row r="18" spans="2:7" ht="60">
      <c r="B18" s="6" t="s">
        <v>16</v>
      </c>
      <c r="C18" s="5">
        <f>SUM(C16:C17)</f>
        <v>620</v>
      </c>
      <c r="D18" s="5">
        <f t="shared" ref="D18:E18" si="3">SUM(D16:D17)</f>
        <v>1276</v>
      </c>
      <c r="E18" s="5">
        <f t="shared" si="3"/>
        <v>2588</v>
      </c>
      <c r="F18" s="137"/>
      <c r="G18" s="137"/>
    </row>
    <row r="20" spans="2:7" ht="105">
      <c r="B20" s="138" t="s">
        <v>18</v>
      </c>
      <c r="C20" s="139"/>
      <c r="D20" s="139"/>
      <c r="E20" s="140"/>
      <c r="F20" s="141" t="s">
        <v>27</v>
      </c>
      <c r="G20" s="142"/>
    </row>
    <row r="21" spans="2:7">
      <c r="B21" s="9" t="s">
        <v>19</v>
      </c>
      <c r="C21" s="10" t="s">
        <v>1</v>
      </c>
      <c r="D21" s="10" t="s">
        <v>2</v>
      </c>
      <c r="E21" s="11" t="s">
        <v>3</v>
      </c>
      <c r="F21" s="141"/>
      <c r="G21" s="142"/>
    </row>
    <row r="22" spans="2:7" ht="30">
      <c r="B22" s="12" t="s">
        <v>21</v>
      </c>
      <c r="C22" s="13">
        <f>+C11</f>
        <v>9000</v>
      </c>
      <c r="D22" s="13">
        <f>+D11</f>
        <v>7360</v>
      </c>
      <c r="E22" s="14">
        <f>+E11</f>
        <v>4440</v>
      </c>
      <c r="F22" s="141"/>
      <c r="G22" s="142"/>
    </row>
    <row r="23" spans="2:7" ht="30">
      <c r="B23" s="12" t="s">
        <v>23</v>
      </c>
      <c r="C23" s="13">
        <f>+C14</f>
        <v>1800</v>
      </c>
      <c r="D23" s="13">
        <f>+C23+D14-D7</f>
        <v>5040</v>
      </c>
      <c r="E23" s="14">
        <f>+D23+E14-E7</f>
        <v>11160</v>
      </c>
      <c r="F23" s="141"/>
      <c r="G23" s="142"/>
    </row>
    <row r="24" spans="2:7">
      <c r="B24" s="12" t="s">
        <v>26</v>
      </c>
      <c r="C24" s="13">
        <f>-C23*0.1</f>
        <v>-180</v>
      </c>
      <c r="D24" s="13">
        <f>-D23*0.1</f>
        <v>-504</v>
      </c>
      <c r="E24" s="14">
        <f>-E23*0.1</f>
        <v>-1116</v>
      </c>
      <c r="F24" s="141"/>
      <c r="G24" s="142"/>
    </row>
    <row r="25" spans="2:7">
      <c r="B25" s="15"/>
      <c r="C25" s="16">
        <f>+SUM(C22:C24)</f>
        <v>10620</v>
      </c>
      <c r="D25" s="16">
        <f t="shared" ref="D25" si="4">+SUM(D22:D24)</f>
        <v>11896</v>
      </c>
      <c r="E25" s="17">
        <f t="shared" ref="E25" si="5">+SUM(E22:E24)</f>
        <v>14484</v>
      </c>
      <c r="F25" s="141"/>
      <c r="G25" s="142"/>
    </row>
    <row r="26" spans="2:7">
      <c r="B26" s="9" t="s">
        <v>20</v>
      </c>
      <c r="C26" s="10" t="s">
        <v>1</v>
      </c>
      <c r="D26" s="10" t="s">
        <v>2</v>
      </c>
      <c r="E26" s="11" t="s">
        <v>3</v>
      </c>
      <c r="F26" s="141"/>
      <c r="G26" s="142"/>
    </row>
    <row r="27" spans="2:7" ht="30">
      <c r="B27" s="12" t="s">
        <v>24</v>
      </c>
      <c r="C27" s="13">
        <v>10000</v>
      </c>
      <c r="D27" s="13">
        <f>+C27</f>
        <v>10000</v>
      </c>
      <c r="E27" s="14">
        <f>+D27</f>
        <v>10000</v>
      </c>
      <c r="F27" s="141"/>
      <c r="G27" s="142"/>
    </row>
    <row r="28" spans="2:7" ht="60">
      <c r="B28" s="12" t="s">
        <v>25</v>
      </c>
      <c r="C28" s="13">
        <f>+C18</f>
        <v>620</v>
      </c>
      <c r="D28" s="13">
        <f>+C28+D18</f>
        <v>1896</v>
      </c>
      <c r="E28" s="14">
        <f>+D28+E18</f>
        <v>4484</v>
      </c>
      <c r="F28" s="141"/>
      <c r="G28" s="142"/>
    </row>
    <row r="29" spans="2:7">
      <c r="B29" s="15"/>
      <c r="C29" s="16">
        <f>+SUM(C27:C28)</f>
        <v>10620</v>
      </c>
      <c r="D29" s="16">
        <f t="shared" ref="D29" si="6">+SUM(D27:D28)</f>
        <v>11896</v>
      </c>
      <c r="E29" s="17">
        <f t="shared" ref="E29" si="7">+SUM(E27:E28)</f>
        <v>14484</v>
      </c>
      <c r="F29" s="141"/>
      <c r="G29" s="142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31"/>
  <sheetViews>
    <sheetView workbookViewId="0"/>
  </sheetViews>
  <sheetFormatPr defaultRowHeight="15"/>
  <sheetData>
    <row r="2" spans="2:15" ht="42">
      <c r="B2" s="149" t="s">
        <v>38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1"/>
    </row>
    <row r="3" spans="2:15" ht="30">
      <c r="B3" s="27"/>
      <c r="C3" s="146" t="s">
        <v>19</v>
      </c>
      <c r="D3" s="147"/>
      <c r="E3" s="147"/>
      <c r="F3" s="147"/>
      <c r="G3" s="147"/>
      <c r="H3" s="148"/>
      <c r="I3" s="146" t="s">
        <v>33</v>
      </c>
      <c r="J3" s="147"/>
      <c r="K3" s="147"/>
      <c r="L3" s="147"/>
      <c r="M3" s="147"/>
      <c r="N3" s="147"/>
      <c r="O3" s="148"/>
    </row>
    <row r="4" spans="2:15" ht="25.5">
      <c r="B4" s="28"/>
      <c r="C4" s="28" t="s">
        <v>28</v>
      </c>
      <c r="D4" s="29"/>
      <c r="E4" s="29" t="s">
        <v>29</v>
      </c>
      <c r="F4" s="29" t="s">
        <v>30</v>
      </c>
      <c r="G4" s="29"/>
      <c r="H4" s="30"/>
      <c r="I4" s="28" t="s">
        <v>36</v>
      </c>
      <c r="J4" s="29" t="s">
        <v>37</v>
      </c>
      <c r="K4" s="29" t="s">
        <v>31</v>
      </c>
      <c r="L4" s="29" t="s">
        <v>32</v>
      </c>
      <c r="M4" s="29"/>
      <c r="N4" s="29"/>
      <c r="O4" s="30"/>
    </row>
    <row r="5" spans="2:15">
      <c r="B5" s="2" t="s">
        <v>34</v>
      </c>
      <c r="C5" s="18">
        <v>3000</v>
      </c>
      <c r="D5" s="19"/>
      <c r="E5" s="19">
        <v>4000</v>
      </c>
      <c r="F5" s="19">
        <v>8000</v>
      </c>
      <c r="G5" s="19"/>
      <c r="H5" s="20"/>
      <c r="I5" s="18"/>
      <c r="J5" s="19"/>
      <c r="K5" s="19">
        <v>5000</v>
      </c>
      <c r="L5" s="19">
        <v>10000</v>
      </c>
      <c r="M5" s="19"/>
      <c r="N5" s="19"/>
      <c r="O5" s="20"/>
    </row>
    <row r="6" spans="2:15">
      <c r="B6" s="3">
        <v>1</v>
      </c>
      <c r="C6" s="21">
        <v>8000</v>
      </c>
      <c r="D6" s="22"/>
      <c r="E6" s="22"/>
      <c r="F6" s="22"/>
      <c r="G6" s="22"/>
      <c r="H6" s="23"/>
      <c r="I6" s="21"/>
      <c r="J6" s="22"/>
      <c r="K6" s="22">
        <v>8000</v>
      </c>
      <c r="L6" s="22"/>
      <c r="M6" s="22"/>
      <c r="N6" s="22"/>
      <c r="O6" s="23"/>
    </row>
    <row r="7" spans="2:15">
      <c r="B7" s="3">
        <v>2</v>
      </c>
      <c r="C7" s="21">
        <v>-3000</v>
      </c>
      <c r="D7" s="22"/>
      <c r="E7" s="22">
        <v>20000</v>
      </c>
      <c r="F7" s="22"/>
      <c r="G7" s="22"/>
      <c r="H7" s="23"/>
      <c r="I7" s="21">
        <v>17000</v>
      </c>
      <c r="J7" s="22"/>
      <c r="K7" s="22"/>
      <c r="L7" s="22"/>
      <c r="M7" s="22"/>
      <c r="N7" s="22"/>
      <c r="O7" s="23"/>
    </row>
    <row r="8" spans="2:15">
      <c r="B8" s="3">
        <v>3</v>
      </c>
      <c r="C8" s="21">
        <v>-8000</v>
      </c>
      <c r="D8" s="22"/>
      <c r="E8" s="22"/>
      <c r="F8" s="22">
        <v>10000</v>
      </c>
      <c r="G8" s="22"/>
      <c r="H8" s="23"/>
      <c r="I8" s="21"/>
      <c r="J8" s="22">
        <v>2000</v>
      </c>
      <c r="K8" s="22"/>
      <c r="L8" s="22"/>
      <c r="M8" s="22"/>
      <c r="N8" s="22"/>
      <c r="O8" s="23"/>
    </row>
    <row r="9" spans="2:15">
      <c r="B9" s="3">
        <v>4</v>
      </c>
      <c r="C9" s="21">
        <v>-1500</v>
      </c>
      <c r="D9" s="22"/>
      <c r="E9" s="22"/>
      <c r="F9" s="22"/>
      <c r="G9" s="22"/>
      <c r="H9" s="23"/>
      <c r="I9" s="21"/>
      <c r="J9" s="22"/>
      <c r="K9" s="22">
        <v>-1500</v>
      </c>
      <c r="L9" s="22"/>
      <c r="M9" s="22"/>
      <c r="N9" s="22"/>
      <c r="O9" s="23"/>
    </row>
    <row r="10" spans="2:15">
      <c r="B10" s="3">
        <v>5</v>
      </c>
      <c r="C10" s="21">
        <v>3000</v>
      </c>
      <c r="D10" s="22"/>
      <c r="E10" s="22"/>
      <c r="F10" s="22"/>
      <c r="G10" s="22"/>
      <c r="H10" s="23"/>
      <c r="I10" s="21"/>
      <c r="J10" s="22"/>
      <c r="K10" s="22"/>
      <c r="L10" s="22">
        <v>3000</v>
      </c>
      <c r="M10" s="22"/>
      <c r="N10" s="22"/>
      <c r="O10" s="23"/>
    </row>
    <row r="11" spans="2:15">
      <c r="B11" s="3"/>
      <c r="C11" s="21"/>
      <c r="D11" s="22"/>
      <c r="E11" s="22"/>
      <c r="F11" s="22"/>
      <c r="G11" s="22"/>
      <c r="H11" s="23"/>
      <c r="I11" s="21"/>
      <c r="J11" s="22"/>
      <c r="K11" s="22"/>
      <c r="L11" s="22"/>
      <c r="M11" s="22"/>
      <c r="N11" s="22"/>
      <c r="O11" s="23"/>
    </row>
    <row r="12" spans="2:15">
      <c r="B12" s="3"/>
      <c r="C12" s="21"/>
      <c r="D12" s="22"/>
      <c r="E12" s="22"/>
      <c r="F12" s="22"/>
      <c r="G12" s="22"/>
      <c r="H12" s="23"/>
      <c r="I12" s="21"/>
      <c r="J12" s="22"/>
      <c r="K12" s="22"/>
      <c r="L12" s="22"/>
      <c r="M12" s="22"/>
      <c r="N12" s="22"/>
      <c r="O12" s="23"/>
    </row>
    <row r="13" spans="2:15">
      <c r="B13" s="2" t="s">
        <v>35</v>
      </c>
      <c r="C13" s="24">
        <f>SUM(C5:C12)</f>
        <v>1500</v>
      </c>
      <c r="D13" s="25"/>
      <c r="E13" s="25">
        <f t="shared" ref="E13:O13" si="0">SUM(E5:E12)</f>
        <v>24000</v>
      </c>
      <c r="F13" s="25">
        <f t="shared" si="0"/>
        <v>18000</v>
      </c>
      <c r="G13" s="25">
        <f t="shared" si="0"/>
        <v>0</v>
      </c>
      <c r="H13" s="26">
        <f t="shared" si="0"/>
        <v>0</v>
      </c>
      <c r="I13" s="24">
        <f t="shared" si="0"/>
        <v>17000</v>
      </c>
      <c r="J13" s="25">
        <f t="shared" si="0"/>
        <v>2000</v>
      </c>
      <c r="K13" s="25">
        <f t="shared" si="0"/>
        <v>11500</v>
      </c>
      <c r="L13" s="25">
        <f t="shared" si="0"/>
        <v>13000</v>
      </c>
      <c r="M13" s="25">
        <f t="shared" si="0"/>
        <v>0</v>
      </c>
      <c r="N13" s="25">
        <f t="shared" si="0"/>
        <v>0</v>
      </c>
      <c r="O13" s="26">
        <f t="shared" si="0"/>
        <v>0</v>
      </c>
    </row>
    <row r="16" spans="2:15">
      <c r="C16" s="1" t="s">
        <v>19</v>
      </c>
      <c r="E16" s="1">
        <f>+SUM(C13:H13)</f>
        <v>43500</v>
      </c>
    </row>
    <row r="17" spans="2:15">
      <c r="C17" s="1" t="s">
        <v>20</v>
      </c>
      <c r="E17" s="1">
        <f>+SUM(I13:O13)</f>
        <v>43500</v>
      </c>
    </row>
    <row r="20" spans="2:15" ht="42">
      <c r="B20" s="149" t="s">
        <v>61</v>
      </c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1"/>
    </row>
    <row r="21" spans="2:15" ht="30">
      <c r="B21" s="27"/>
      <c r="C21" s="146" t="s">
        <v>19</v>
      </c>
      <c r="D21" s="147"/>
      <c r="E21" s="147"/>
      <c r="F21" s="147"/>
      <c r="G21" s="147"/>
      <c r="H21" s="148"/>
      <c r="I21" s="146" t="s">
        <v>33</v>
      </c>
      <c r="J21" s="147"/>
      <c r="K21" s="147"/>
      <c r="L21" s="147"/>
      <c r="M21" s="147"/>
      <c r="N21" s="147"/>
      <c r="O21" s="148"/>
    </row>
    <row r="22" spans="2:15" ht="25.5">
      <c r="B22" s="28"/>
      <c r="C22" s="28" t="s">
        <v>28</v>
      </c>
      <c r="D22" s="29" t="s">
        <v>67</v>
      </c>
      <c r="E22" s="29" t="s">
        <v>29</v>
      </c>
      <c r="F22" s="29" t="s">
        <v>62</v>
      </c>
      <c r="G22" s="29" t="s">
        <v>63</v>
      </c>
      <c r="H22" s="30" t="s">
        <v>68</v>
      </c>
      <c r="I22" s="28" t="s">
        <v>36</v>
      </c>
      <c r="J22" s="29" t="s">
        <v>37</v>
      </c>
      <c r="K22" s="29" t="s">
        <v>31</v>
      </c>
      <c r="L22" s="29" t="s">
        <v>32</v>
      </c>
      <c r="M22" s="29"/>
      <c r="N22" s="29" t="s">
        <v>66</v>
      </c>
      <c r="O22" s="30" t="s">
        <v>65</v>
      </c>
    </row>
    <row r="23" spans="2:15">
      <c r="B23" s="2" t="s">
        <v>34</v>
      </c>
      <c r="C23" s="18">
        <f>+C13</f>
        <v>1500</v>
      </c>
      <c r="D23" s="19">
        <f t="shared" ref="D23:O23" si="1">+D13</f>
        <v>0</v>
      </c>
      <c r="E23" s="19">
        <f t="shared" si="1"/>
        <v>24000</v>
      </c>
      <c r="F23" s="19">
        <v>8000</v>
      </c>
      <c r="G23" s="19">
        <v>10000</v>
      </c>
      <c r="H23" s="20">
        <f t="shared" si="1"/>
        <v>0</v>
      </c>
      <c r="I23" s="18">
        <f t="shared" si="1"/>
        <v>17000</v>
      </c>
      <c r="J23" s="19">
        <f t="shared" si="1"/>
        <v>2000</v>
      </c>
      <c r="K23" s="19">
        <f t="shared" si="1"/>
        <v>11500</v>
      </c>
      <c r="L23" s="19">
        <f t="shared" si="1"/>
        <v>13000</v>
      </c>
      <c r="M23" s="19">
        <f t="shared" si="1"/>
        <v>0</v>
      </c>
      <c r="N23" s="19">
        <f t="shared" si="1"/>
        <v>0</v>
      </c>
      <c r="O23" s="55">
        <f t="shared" si="1"/>
        <v>0</v>
      </c>
    </row>
    <row r="24" spans="2:15">
      <c r="B24" s="152">
        <v>1</v>
      </c>
      <c r="C24" s="73">
        <v>5000</v>
      </c>
      <c r="D24" s="59">
        <v>1500</v>
      </c>
      <c r="E24" s="59"/>
      <c r="F24" s="59"/>
      <c r="G24" s="59"/>
      <c r="H24" s="60"/>
      <c r="I24" s="58"/>
      <c r="J24" s="59"/>
      <c r="K24" s="59"/>
      <c r="L24" s="59"/>
      <c r="M24" s="59"/>
      <c r="N24" s="59"/>
      <c r="O24" s="61">
        <v>6500</v>
      </c>
    </row>
    <row r="25" spans="2:15">
      <c r="B25" s="153"/>
      <c r="C25" s="74"/>
      <c r="D25" s="22"/>
      <c r="E25" s="22">
        <v>-18000</v>
      </c>
      <c r="F25" s="22"/>
      <c r="G25" s="22"/>
      <c r="H25" s="23"/>
      <c r="I25" s="21"/>
      <c r="J25" s="22"/>
      <c r="K25" s="22"/>
      <c r="L25" s="22"/>
      <c r="M25" s="22"/>
      <c r="N25" s="22"/>
      <c r="O25" s="56">
        <v>-18000</v>
      </c>
    </row>
    <row r="26" spans="2:15">
      <c r="B26" s="143">
        <v>2</v>
      </c>
      <c r="C26" s="73"/>
      <c r="D26" s="59"/>
      <c r="E26" s="59">
        <v>5000</v>
      </c>
      <c r="F26" s="59"/>
      <c r="G26" s="59"/>
      <c r="H26" s="59"/>
      <c r="I26" s="58">
        <v>5000</v>
      </c>
      <c r="J26" s="59"/>
      <c r="K26" s="59"/>
      <c r="L26" s="59"/>
      <c r="M26" s="59"/>
      <c r="N26" s="59"/>
      <c r="O26" s="61"/>
    </row>
    <row r="27" spans="2:15">
      <c r="B27" s="144"/>
      <c r="C27" s="75">
        <v>-1000</v>
      </c>
      <c r="D27" s="63"/>
      <c r="E27" s="63"/>
      <c r="F27" s="63"/>
      <c r="G27" s="63"/>
      <c r="H27" s="63"/>
      <c r="I27" s="62">
        <v>-1000</v>
      </c>
      <c r="J27" s="63"/>
      <c r="K27" s="63"/>
      <c r="L27" s="63"/>
      <c r="M27" s="63"/>
      <c r="N27" s="63"/>
      <c r="O27" s="65"/>
    </row>
    <row r="28" spans="2:15">
      <c r="B28" s="66">
        <v>3</v>
      </c>
      <c r="C28" s="75">
        <v>-500</v>
      </c>
      <c r="D28" s="63"/>
      <c r="E28" s="63"/>
      <c r="F28" s="63"/>
      <c r="G28" s="63"/>
      <c r="H28" s="64"/>
      <c r="I28" s="62"/>
      <c r="J28" s="63">
        <v>1000</v>
      </c>
      <c r="K28" s="63"/>
      <c r="L28" s="63"/>
      <c r="M28" s="63"/>
      <c r="N28" s="63"/>
      <c r="O28" s="65">
        <v>-1500</v>
      </c>
    </row>
    <row r="29" spans="2:15">
      <c r="B29" s="66">
        <v>4</v>
      </c>
      <c r="C29" s="73">
        <v>-200</v>
      </c>
      <c r="D29" s="59"/>
      <c r="E29" s="59"/>
      <c r="F29" s="59"/>
      <c r="G29" s="59"/>
      <c r="H29" s="60"/>
      <c r="I29" s="58"/>
      <c r="J29" s="59">
        <v>800</v>
      </c>
      <c r="K29" s="59"/>
      <c r="L29" s="59"/>
      <c r="M29" s="59"/>
      <c r="N29" s="59"/>
      <c r="O29" s="61">
        <v>-1000</v>
      </c>
    </row>
    <row r="30" spans="2:15">
      <c r="B30" s="143">
        <v>5</v>
      </c>
      <c r="C30" s="73"/>
      <c r="D30" s="59"/>
      <c r="E30" s="59"/>
      <c r="F30" s="59"/>
      <c r="G30" s="59"/>
      <c r="H30" s="59"/>
      <c r="I30" s="58"/>
      <c r="J30" s="59"/>
      <c r="K30" s="59">
        <f>-O30</f>
        <v>200</v>
      </c>
      <c r="L30" s="59"/>
      <c r="M30" s="59"/>
      <c r="N30" s="59"/>
      <c r="O30" s="61">
        <v>-200</v>
      </c>
    </row>
    <row r="31" spans="2:15">
      <c r="B31" s="144"/>
      <c r="C31" s="75">
        <v>-200</v>
      </c>
      <c r="D31" s="63"/>
      <c r="E31" s="63"/>
      <c r="F31" s="63"/>
      <c r="G31" s="63"/>
      <c r="H31" s="63"/>
      <c r="I31" s="62"/>
      <c r="J31" s="63"/>
      <c r="K31" s="63">
        <v>-200</v>
      </c>
      <c r="L31" s="63"/>
      <c r="M31" s="63"/>
      <c r="N31" s="63"/>
      <c r="O31" s="65"/>
    </row>
    <row r="32" spans="2:15">
      <c r="B32" s="66">
        <v>6</v>
      </c>
      <c r="C32" s="76">
        <v>-3000</v>
      </c>
      <c r="D32" s="67"/>
      <c r="E32" s="67"/>
      <c r="F32" s="67"/>
      <c r="G32" s="67"/>
      <c r="H32" s="68"/>
      <c r="I32" s="66">
        <v>-3000</v>
      </c>
      <c r="J32" s="67"/>
      <c r="K32" s="67"/>
      <c r="L32" s="67"/>
      <c r="M32" s="67"/>
      <c r="N32" s="67"/>
      <c r="O32" s="69"/>
    </row>
    <row r="33" spans="2:15">
      <c r="B33" s="66">
        <v>7</v>
      </c>
      <c r="C33" s="76">
        <v>-1000</v>
      </c>
      <c r="D33" s="67"/>
      <c r="E33" s="67"/>
      <c r="F33" s="67"/>
      <c r="G33" s="67"/>
      <c r="H33" s="68"/>
      <c r="I33" s="66"/>
      <c r="J33" s="67">
        <v>-1000</v>
      </c>
      <c r="K33" s="67"/>
      <c r="L33" s="67"/>
      <c r="M33" s="67"/>
      <c r="N33" s="67"/>
      <c r="O33" s="69"/>
    </row>
    <row r="34" spans="2:15">
      <c r="B34" s="66">
        <v>8</v>
      </c>
      <c r="C34" s="76">
        <v>-500</v>
      </c>
      <c r="D34" s="67"/>
      <c r="E34" s="67"/>
      <c r="F34" s="67"/>
      <c r="G34" s="67"/>
      <c r="H34" s="68"/>
      <c r="I34" s="66"/>
      <c r="J34" s="67"/>
      <c r="K34" s="67">
        <v>-500</v>
      </c>
      <c r="L34" s="67"/>
      <c r="M34" s="67"/>
      <c r="N34" s="67"/>
      <c r="O34" s="69"/>
    </row>
    <row r="35" spans="2:15">
      <c r="B35" s="66">
        <v>9</v>
      </c>
      <c r="C35" s="76"/>
      <c r="D35" s="67"/>
      <c r="E35" s="67"/>
      <c r="F35" s="67"/>
      <c r="G35" s="67"/>
      <c r="H35" s="68">
        <v>-100</v>
      </c>
      <c r="I35" s="66"/>
      <c r="J35" s="67"/>
      <c r="K35" s="67"/>
      <c r="L35" s="67"/>
      <c r="M35" s="67"/>
      <c r="N35" s="67"/>
      <c r="O35" s="69">
        <v>-100</v>
      </c>
    </row>
    <row r="36" spans="2:15">
      <c r="B36" s="66"/>
      <c r="C36" s="76"/>
      <c r="D36" s="67"/>
      <c r="E36" s="67"/>
      <c r="F36" s="67"/>
      <c r="G36" s="67"/>
      <c r="H36" s="68"/>
      <c r="I36" s="66"/>
      <c r="J36" s="67"/>
      <c r="K36" s="67"/>
      <c r="L36" s="67"/>
      <c r="M36" s="67"/>
      <c r="N36" s="72">
        <f>-O36</f>
        <v>-14300</v>
      </c>
      <c r="O36" s="69">
        <f>-SUM(O23:O35)</f>
        <v>14300</v>
      </c>
    </row>
    <row r="37" spans="2:15">
      <c r="B37" s="2" t="s">
        <v>35</v>
      </c>
      <c r="C37" s="24">
        <f t="shared" ref="C37:O37" si="2">SUM(C23:C36)</f>
        <v>100</v>
      </c>
      <c r="D37" s="25">
        <f t="shared" si="2"/>
        <v>1500</v>
      </c>
      <c r="E37" s="25">
        <f t="shared" si="2"/>
        <v>11000</v>
      </c>
      <c r="F37" s="25">
        <f t="shared" si="2"/>
        <v>8000</v>
      </c>
      <c r="G37" s="25">
        <f t="shared" si="2"/>
        <v>10000</v>
      </c>
      <c r="H37" s="26">
        <f t="shared" si="2"/>
        <v>-100</v>
      </c>
      <c r="I37" s="24">
        <f t="shared" si="2"/>
        <v>18000</v>
      </c>
      <c r="J37" s="25">
        <f t="shared" si="2"/>
        <v>2800</v>
      </c>
      <c r="K37" s="25">
        <f t="shared" si="2"/>
        <v>11000</v>
      </c>
      <c r="L37" s="25">
        <f t="shared" si="2"/>
        <v>13000</v>
      </c>
      <c r="M37" s="25">
        <f t="shared" si="2"/>
        <v>0</v>
      </c>
      <c r="N37" s="25">
        <f t="shared" si="2"/>
        <v>-14300</v>
      </c>
      <c r="O37" s="57">
        <f t="shared" si="2"/>
        <v>0</v>
      </c>
    </row>
    <row r="40" spans="2:15">
      <c r="C40" s="1" t="s">
        <v>19</v>
      </c>
      <c r="E40" s="1">
        <f>+SUM(C37:H37)</f>
        <v>30500</v>
      </c>
    </row>
    <row r="41" spans="2:15">
      <c r="C41" s="1" t="s">
        <v>20</v>
      </c>
      <c r="E41" s="1">
        <f>+SUM(I37:O37)</f>
        <v>30500</v>
      </c>
    </row>
    <row r="44" spans="2:15" ht="21">
      <c r="B44" s="149" t="s">
        <v>93</v>
      </c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1"/>
    </row>
    <row r="45" spans="2:15" ht="30">
      <c r="B45" s="27"/>
      <c r="C45" s="146" t="s">
        <v>19</v>
      </c>
      <c r="D45" s="147"/>
      <c r="E45" s="147"/>
      <c r="F45" s="147"/>
      <c r="G45" s="147"/>
      <c r="H45" s="148"/>
      <c r="I45" s="146" t="s">
        <v>33</v>
      </c>
      <c r="J45" s="147"/>
      <c r="K45" s="147"/>
      <c r="L45" s="147"/>
      <c r="M45" s="147"/>
      <c r="N45" s="147"/>
      <c r="O45" s="148"/>
    </row>
    <row r="46" spans="2:15" ht="25.5">
      <c r="B46" s="28"/>
      <c r="C46" s="28" t="s">
        <v>28</v>
      </c>
      <c r="D46" s="29" t="s">
        <v>67</v>
      </c>
      <c r="E46" s="29" t="s">
        <v>29</v>
      </c>
      <c r="F46" s="29" t="s">
        <v>62</v>
      </c>
      <c r="G46" s="29" t="s">
        <v>63</v>
      </c>
      <c r="H46" s="30" t="s">
        <v>68</v>
      </c>
      <c r="I46" s="28" t="s">
        <v>36</v>
      </c>
      <c r="J46" s="29" t="s">
        <v>37</v>
      </c>
      <c r="K46" s="29" t="s">
        <v>31</v>
      </c>
      <c r="L46" s="29" t="s">
        <v>32</v>
      </c>
      <c r="M46" s="29"/>
      <c r="N46" s="29" t="s">
        <v>66</v>
      </c>
      <c r="O46" s="30" t="s">
        <v>65</v>
      </c>
    </row>
    <row r="47" spans="2:15">
      <c r="B47" s="79" t="s">
        <v>34</v>
      </c>
      <c r="C47" s="79">
        <f>+C37</f>
        <v>100</v>
      </c>
      <c r="D47" s="80">
        <f t="shared" ref="D47:E47" si="3">+D37</f>
        <v>1500</v>
      </c>
      <c r="E47" s="80">
        <f t="shared" si="3"/>
        <v>11000</v>
      </c>
      <c r="F47" s="80">
        <v>8000</v>
      </c>
      <c r="G47" s="80">
        <v>10000</v>
      </c>
      <c r="H47" s="81">
        <f t="shared" ref="H47:O47" si="4">+H37</f>
        <v>-100</v>
      </c>
      <c r="I47" s="79">
        <f t="shared" si="4"/>
        <v>18000</v>
      </c>
      <c r="J47" s="80">
        <f t="shared" si="4"/>
        <v>2800</v>
      </c>
      <c r="K47" s="80">
        <f t="shared" si="4"/>
        <v>11000</v>
      </c>
      <c r="L47" s="80">
        <f t="shared" si="4"/>
        <v>13000</v>
      </c>
      <c r="M47" s="80">
        <f t="shared" si="4"/>
        <v>0</v>
      </c>
      <c r="N47" s="80">
        <f t="shared" si="4"/>
        <v>-14300</v>
      </c>
      <c r="O47" s="82">
        <f t="shared" si="4"/>
        <v>0</v>
      </c>
    </row>
    <row r="48" spans="2:15">
      <c r="B48" s="83">
        <v>1</v>
      </c>
      <c r="C48" s="70">
        <v>1500</v>
      </c>
      <c r="D48" s="59">
        <f>-C48</f>
        <v>-1500</v>
      </c>
      <c r="E48" s="59"/>
      <c r="F48" s="59"/>
      <c r="G48" s="59"/>
      <c r="H48" s="60"/>
      <c r="I48" s="70"/>
      <c r="J48" s="59"/>
      <c r="K48" s="59"/>
      <c r="L48" s="59"/>
      <c r="M48" s="59"/>
      <c r="N48" s="59"/>
      <c r="O48" s="61"/>
    </row>
    <row r="49" spans="2:15">
      <c r="B49" s="143">
        <f>+B48+1</f>
        <v>2</v>
      </c>
      <c r="C49" s="70">
        <v>25000</v>
      </c>
      <c r="D49" s="59">
        <v>5000</v>
      </c>
      <c r="E49" s="59"/>
      <c r="F49" s="59"/>
      <c r="G49" s="59"/>
      <c r="H49" s="59"/>
      <c r="I49" s="70"/>
      <c r="J49" s="59"/>
      <c r="K49" s="59"/>
      <c r="L49" s="59"/>
      <c r="M49" s="59"/>
      <c r="N49" s="59"/>
      <c r="O49" s="61">
        <v>30000</v>
      </c>
    </row>
    <row r="50" spans="2:15">
      <c r="B50" s="144"/>
      <c r="C50" s="21"/>
      <c r="D50" s="22"/>
      <c r="E50" s="22">
        <v>-11000</v>
      </c>
      <c r="F50" s="22"/>
      <c r="G50" s="22"/>
      <c r="H50" s="22"/>
      <c r="I50" s="21"/>
      <c r="J50" s="22"/>
      <c r="K50" s="22"/>
      <c r="L50" s="22"/>
      <c r="M50" s="22"/>
      <c r="N50" s="22"/>
      <c r="O50" s="56">
        <v>-11000</v>
      </c>
    </row>
    <row r="51" spans="2:15">
      <c r="B51" s="143">
        <f>+B49+1</f>
        <v>3</v>
      </c>
      <c r="C51" s="70"/>
      <c r="D51" s="59"/>
      <c r="E51" s="59"/>
      <c r="F51" s="59"/>
      <c r="G51" s="59"/>
      <c r="H51" s="59"/>
      <c r="I51" s="70">
        <v>-18000</v>
      </c>
      <c r="J51" s="59"/>
      <c r="K51" s="59"/>
      <c r="L51" s="59"/>
      <c r="M51" s="59"/>
      <c r="N51" s="59"/>
      <c r="O51" s="61"/>
    </row>
    <row r="52" spans="2:15">
      <c r="B52" s="145"/>
      <c r="C52" s="21"/>
      <c r="D52" s="22"/>
      <c r="E52" s="22"/>
      <c r="F52" s="22"/>
      <c r="G52" s="22"/>
      <c r="H52" s="22"/>
      <c r="I52" s="21"/>
      <c r="J52" s="22">
        <v>-1000</v>
      </c>
      <c r="K52" s="22"/>
      <c r="L52" s="22"/>
      <c r="M52" s="22"/>
      <c r="N52" s="22"/>
      <c r="O52" s="56"/>
    </row>
    <row r="53" spans="2:15">
      <c r="B53" s="145"/>
      <c r="C53" s="21"/>
      <c r="D53" s="22"/>
      <c r="E53" s="22"/>
      <c r="F53" s="22"/>
      <c r="G53" s="22"/>
      <c r="H53" s="22"/>
      <c r="I53" s="21"/>
      <c r="J53" s="22">
        <v>-1800</v>
      </c>
      <c r="K53" s="22"/>
      <c r="L53" s="22"/>
      <c r="M53" s="22"/>
      <c r="N53" s="22"/>
      <c r="O53" s="56"/>
    </row>
    <row r="54" spans="2:15">
      <c r="B54" s="144"/>
      <c r="C54" s="71">
        <f>SUM(I51:J54)</f>
        <v>-20800</v>
      </c>
      <c r="D54" s="63"/>
      <c r="E54" s="63"/>
      <c r="F54" s="63"/>
      <c r="G54" s="63"/>
      <c r="H54" s="63"/>
      <c r="I54" s="71"/>
      <c r="J54" s="63"/>
      <c r="K54" s="63"/>
      <c r="L54" s="63"/>
      <c r="M54" s="63"/>
      <c r="N54" s="63"/>
      <c r="O54" s="65"/>
    </row>
    <row r="55" spans="2:15">
      <c r="B55" s="83">
        <f>+B51+1</f>
        <v>4</v>
      </c>
      <c r="C55" s="21">
        <v>-1000</v>
      </c>
      <c r="D55" s="22"/>
      <c r="E55" s="22">
        <v>10000</v>
      </c>
      <c r="F55" s="22"/>
      <c r="G55" s="22"/>
      <c r="H55" s="23"/>
      <c r="I55" s="21">
        <v>9000</v>
      </c>
      <c r="J55" s="22"/>
      <c r="K55" s="22"/>
      <c r="L55" s="22"/>
      <c r="M55" s="22"/>
      <c r="N55" s="22"/>
      <c r="O55" s="56"/>
    </row>
    <row r="56" spans="2:15">
      <c r="B56" s="143">
        <f t="shared" ref="B56:B62" si="5">+B55+1</f>
        <v>5</v>
      </c>
      <c r="C56" s="70"/>
      <c r="D56" s="59"/>
      <c r="E56" s="59"/>
      <c r="F56" s="59"/>
      <c r="G56" s="59"/>
      <c r="H56" s="59"/>
      <c r="I56" s="70"/>
      <c r="J56" s="59">
        <v>3000</v>
      </c>
      <c r="K56" s="59"/>
      <c r="L56" s="59"/>
      <c r="M56" s="59"/>
      <c r="N56" s="59"/>
      <c r="O56" s="61">
        <v>-3000</v>
      </c>
    </row>
    <row r="57" spans="2:15">
      <c r="B57" s="144"/>
      <c r="C57" s="21"/>
      <c r="D57" s="22"/>
      <c r="E57" s="22"/>
      <c r="F57" s="22"/>
      <c r="G57" s="22"/>
      <c r="H57" s="22"/>
      <c r="I57" s="21"/>
      <c r="J57" s="22">
        <v>2000</v>
      </c>
      <c r="K57" s="22"/>
      <c r="L57" s="22"/>
      <c r="M57" s="22"/>
      <c r="N57" s="22"/>
      <c r="O57" s="56">
        <v>-2000</v>
      </c>
    </row>
    <row r="58" spans="2:15">
      <c r="B58" s="143">
        <f>+B56+1</f>
        <v>6</v>
      </c>
      <c r="C58" s="70"/>
      <c r="D58" s="59"/>
      <c r="E58" s="59"/>
      <c r="F58" s="59"/>
      <c r="G58" s="59"/>
      <c r="H58" s="59"/>
      <c r="I58" s="70"/>
      <c r="J58" s="59"/>
      <c r="K58" s="59">
        <v>300</v>
      </c>
      <c r="L58" s="59"/>
      <c r="M58" s="59"/>
      <c r="N58" s="59"/>
      <c r="O58" s="61">
        <v>-300</v>
      </c>
    </row>
    <row r="59" spans="2:15">
      <c r="B59" s="144"/>
      <c r="C59" s="71">
        <v>-300</v>
      </c>
      <c r="D59" s="63"/>
      <c r="E59" s="63"/>
      <c r="F59" s="63"/>
      <c r="G59" s="63"/>
      <c r="H59" s="63"/>
      <c r="I59" s="71"/>
      <c r="J59" s="63"/>
      <c r="K59" s="63">
        <v>-300</v>
      </c>
      <c r="L59" s="63"/>
      <c r="M59" s="63"/>
      <c r="N59" s="63"/>
      <c r="O59" s="65"/>
    </row>
    <row r="60" spans="2:15">
      <c r="B60" s="83">
        <f>+B58+1</f>
        <v>7</v>
      </c>
      <c r="C60" s="71">
        <v>-4000</v>
      </c>
      <c r="D60" s="63"/>
      <c r="E60" s="63"/>
      <c r="F60" s="63"/>
      <c r="G60" s="63"/>
      <c r="H60" s="64"/>
      <c r="I60" s="71"/>
      <c r="J60" s="63"/>
      <c r="K60" s="63">
        <v>-4000</v>
      </c>
      <c r="L60" s="63"/>
      <c r="M60" s="63"/>
      <c r="N60" s="63"/>
      <c r="O60" s="65"/>
    </row>
    <row r="61" spans="2:15">
      <c r="B61" s="83">
        <f t="shared" si="5"/>
        <v>8</v>
      </c>
      <c r="C61" s="66"/>
      <c r="D61" s="67"/>
      <c r="E61" s="67"/>
      <c r="F61" s="67"/>
      <c r="G61" s="67"/>
      <c r="H61" s="68">
        <v>-100</v>
      </c>
      <c r="I61" s="66"/>
      <c r="J61" s="67"/>
      <c r="K61" s="67"/>
      <c r="L61" s="67"/>
      <c r="M61" s="67"/>
      <c r="N61" s="67"/>
      <c r="O61" s="69">
        <v>-100</v>
      </c>
    </row>
    <row r="62" spans="2:15">
      <c r="B62" s="83">
        <f t="shared" si="5"/>
        <v>9</v>
      </c>
      <c r="C62" s="66">
        <v>-300</v>
      </c>
      <c r="D62" s="67"/>
      <c r="E62" s="67"/>
      <c r="F62" s="67"/>
      <c r="G62" s="67"/>
      <c r="H62" s="68"/>
      <c r="I62" s="66"/>
      <c r="J62" s="67"/>
      <c r="K62" s="67"/>
      <c r="L62" s="67"/>
      <c r="M62" s="67"/>
      <c r="N62" s="67">
        <v>-300</v>
      </c>
      <c r="O62" s="69"/>
    </row>
    <row r="63" spans="2:15">
      <c r="B63" s="83" t="s">
        <v>95</v>
      </c>
      <c r="C63" s="66"/>
      <c r="D63" s="67"/>
      <c r="E63" s="67"/>
      <c r="F63" s="67"/>
      <c r="G63" s="67"/>
      <c r="H63" s="68"/>
      <c r="I63" s="66"/>
      <c r="J63" s="67"/>
      <c r="K63" s="67"/>
      <c r="L63" s="67"/>
      <c r="M63" s="67"/>
      <c r="N63" s="72">
        <f>-O63</f>
        <v>13600</v>
      </c>
      <c r="O63" s="69">
        <f>-SUM(O48:O62)</f>
        <v>-13600</v>
      </c>
    </row>
    <row r="64" spans="2:15">
      <c r="B64" s="2" t="s">
        <v>35</v>
      </c>
      <c r="C64" s="24">
        <f t="shared" ref="C64:O64" si="6">SUM(C47:C63)</f>
        <v>200</v>
      </c>
      <c r="D64" s="25">
        <f t="shared" si="6"/>
        <v>5000</v>
      </c>
      <c r="E64" s="25">
        <f t="shared" si="6"/>
        <v>10000</v>
      </c>
      <c r="F64" s="25">
        <f t="shared" si="6"/>
        <v>8000</v>
      </c>
      <c r="G64" s="25">
        <f t="shared" si="6"/>
        <v>10000</v>
      </c>
      <c r="H64" s="26">
        <f t="shared" si="6"/>
        <v>-200</v>
      </c>
      <c r="I64" s="24">
        <f t="shared" si="6"/>
        <v>9000</v>
      </c>
      <c r="J64" s="25">
        <f t="shared" si="6"/>
        <v>5000</v>
      </c>
      <c r="K64" s="25">
        <f t="shared" si="6"/>
        <v>7000</v>
      </c>
      <c r="L64" s="25">
        <f t="shared" si="6"/>
        <v>13000</v>
      </c>
      <c r="M64" s="25">
        <f t="shared" si="6"/>
        <v>0</v>
      </c>
      <c r="N64" s="25">
        <f t="shared" si="6"/>
        <v>-1000</v>
      </c>
      <c r="O64" s="57">
        <f t="shared" si="6"/>
        <v>0</v>
      </c>
    </row>
    <row r="67" spans="2:19">
      <c r="C67" s="1" t="s">
        <v>19</v>
      </c>
      <c r="E67" s="1">
        <f>SUM(C64:H64)</f>
        <v>33000</v>
      </c>
      <c r="I67" s="78">
        <v>37539</v>
      </c>
    </row>
    <row r="68" spans="2:19">
      <c r="C68" s="1" t="s">
        <v>20</v>
      </c>
      <c r="E68" s="1">
        <f>+SUM(I64:O64)</f>
        <v>33000</v>
      </c>
      <c r="I68" s="78">
        <v>35713</v>
      </c>
    </row>
    <row r="69" spans="2:19">
      <c r="I69" s="1">
        <f>+I68-I67</f>
        <v>-1826</v>
      </c>
      <c r="J69" s="1" t="s">
        <v>94</v>
      </c>
    </row>
    <row r="71" spans="2:19" ht="21">
      <c r="B71" s="154" t="s">
        <v>96</v>
      </c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5"/>
      <c r="S71" s="156"/>
    </row>
    <row r="72" spans="2:19" ht="30">
      <c r="B72" s="27"/>
      <c r="C72" s="146" t="s">
        <v>19</v>
      </c>
      <c r="D72" s="147"/>
      <c r="E72" s="147"/>
      <c r="F72" s="147"/>
      <c r="G72" s="147"/>
      <c r="H72" s="147"/>
      <c r="I72" s="148"/>
      <c r="J72" s="146" t="s">
        <v>33</v>
      </c>
      <c r="K72" s="147"/>
      <c r="L72" s="147"/>
      <c r="M72" s="147"/>
      <c r="N72" s="147"/>
      <c r="O72" s="147"/>
      <c r="P72" s="147"/>
      <c r="Q72" s="147"/>
      <c r="R72" s="147"/>
      <c r="S72" s="148"/>
    </row>
    <row r="73" spans="2:19" ht="25.5">
      <c r="B73" s="28"/>
      <c r="C73" s="28" t="s">
        <v>28</v>
      </c>
      <c r="D73" s="29" t="s">
        <v>67</v>
      </c>
      <c r="E73" s="29" t="s">
        <v>29</v>
      </c>
      <c r="F73" s="29" t="s">
        <v>127</v>
      </c>
      <c r="G73" s="29" t="s">
        <v>62</v>
      </c>
      <c r="H73" s="29" t="s">
        <v>63</v>
      </c>
      <c r="I73" s="30" t="s">
        <v>68</v>
      </c>
      <c r="J73" s="28" t="s">
        <v>36</v>
      </c>
      <c r="K73" s="29" t="s">
        <v>37</v>
      </c>
      <c r="L73" s="29" t="s">
        <v>126</v>
      </c>
      <c r="M73" s="29" t="s">
        <v>128</v>
      </c>
      <c r="N73" s="29" t="s">
        <v>31</v>
      </c>
      <c r="O73" s="29" t="s">
        <v>129</v>
      </c>
      <c r="P73" s="29" t="s">
        <v>32</v>
      </c>
      <c r="Q73" s="29"/>
      <c r="R73" s="29" t="s">
        <v>66</v>
      </c>
      <c r="S73" s="30" t="s">
        <v>65</v>
      </c>
    </row>
    <row r="74" spans="2:19">
      <c r="B74" s="89" t="s">
        <v>34</v>
      </c>
      <c r="C74" s="89">
        <f>+C64</f>
        <v>200</v>
      </c>
      <c r="D74" s="104">
        <f t="shared" ref="D74:E74" si="7">+D64</f>
        <v>5000</v>
      </c>
      <c r="E74" s="104">
        <f t="shared" si="7"/>
        <v>10000</v>
      </c>
      <c r="F74" s="104">
        <v>0</v>
      </c>
      <c r="G74" s="104">
        <v>8000</v>
      </c>
      <c r="H74" s="104">
        <v>10000</v>
      </c>
      <c r="I74" s="110">
        <f>+H64</f>
        <v>-200</v>
      </c>
      <c r="J74" s="89">
        <f>+I64</f>
        <v>9000</v>
      </c>
      <c r="K74" s="104">
        <f>+J64</f>
        <v>5000</v>
      </c>
      <c r="L74" s="104">
        <v>0</v>
      </c>
      <c r="M74" s="104">
        <v>0</v>
      </c>
      <c r="N74" s="104">
        <f>+K64</f>
        <v>7000</v>
      </c>
      <c r="O74" s="104">
        <v>0</v>
      </c>
      <c r="P74" s="104">
        <f>+L64</f>
        <v>13000</v>
      </c>
      <c r="Q74" s="104">
        <f>+M64</f>
        <v>0</v>
      </c>
      <c r="R74" s="104">
        <f>+N64</f>
        <v>-1000</v>
      </c>
      <c r="S74" s="116">
        <f>+O64</f>
        <v>0</v>
      </c>
    </row>
    <row r="75" spans="2:19">
      <c r="B75" s="66">
        <v>1</v>
      </c>
      <c r="C75" s="76">
        <v>5000</v>
      </c>
      <c r="D75" s="67">
        <v>-5000</v>
      </c>
      <c r="E75" s="67"/>
      <c r="F75" s="67"/>
      <c r="G75" s="67"/>
      <c r="H75" s="67"/>
      <c r="I75" s="67"/>
      <c r="J75" s="66"/>
      <c r="K75" s="67"/>
      <c r="L75" s="67"/>
      <c r="M75" s="67"/>
      <c r="N75" s="67"/>
      <c r="O75" s="67"/>
      <c r="P75" s="67"/>
      <c r="Q75" s="67"/>
      <c r="R75" s="67"/>
      <c r="S75" s="69"/>
    </row>
    <row r="76" spans="2:19">
      <c r="B76" s="83">
        <v>2</v>
      </c>
      <c r="C76" s="76">
        <v>15000</v>
      </c>
      <c r="D76" s="67"/>
      <c r="E76" s="67"/>
      <c r="F76" s="67"/>
      <c r="G76" s="67"/>
      <c r="H76" s="67"/>
      <c r="I76" s="67"/>
      <c r="J76" s="66"/>
      <c r="K76" s="67"/>
      <c r="L76" s="67">
        <v>15000</v>
      </c>
      <c r="M76" s="67"/>
      <c r="N76" s="67"/>
      <c r="O76" s="67"/>
      <c r="P76" s="67"/>
      <c r="Q76" s="67"/>
      <c r="R76" s="67"/>
      <c r="S76" s="69"/>
    </row>
    <row r="77" spans="2:19">
      <c r="B77" s="152">
        <v>3</v>
      </c>
      <c r="C77" s="73">
        <v>13000</v>
      </c>
      <c r="D77" s="114">
        <v>2000</v>
      </c>
      <c r="E77" s="114"/>
      <c r="F77" s="114"/>
      <c r="G77" s="114"/>
      <c r="H77" s="114"/>
      <c r="I77" s="114"/>
      <c r="J77" s="91"/>
      <c r="K77" s="114"/>
      <c r="L77" s="114"/>
      <c r="M77" s="114"/>
      <c r="N77" s="114"/>
      <c r="O77" s="114"/>
      <c r="P77" s="114"/>
      <c r="Q77" s="114"/>
      <c r="R77" s="114"/>
      <c r="S77" s="61">
        <v>15000</v>
      </c>
    </row>
    <row r="78" spans="2:19">
      <c r="B78" s="153"/>
      <c r="C78" s="75"/>
      <c r="D78" s="115"/>
      <c r="E78" s="115">
        <v>-10000</v>
      </c>
      <c r="F78" s="115"/>
      <c r="G78" s="115"/>
      <c r="H78" s="115"/>
      <c r="I78" s="115"/>
      <c r="J78" s="92"/>
      <c r="K78" s="115"/>
      <c r="L78" s="115"/>
      <c r="M78" s="115"/>
      <c r="N78" s="115"/>
      <c r="O78" s="115"/>
      <c r="P78" s="115"/>
      <c r="Q78" s="115"/>
      <c r="R78" s="115"/>
      <c r="S78" s="65">
        <v>-10000</v>
      </c>
    </row>
    <row r="79" spans="2:19">
      <c r="B79" s="83">
        <v>4</v>
      </c>
      <c r="C79" s="76">
        <v>-14000</v>
      </c>
      <c r="D79" s="67"/>
      <c r="E79" s="67"/>
      <c r="F79" s="67"/>
      <c r="G79" s="67"/>
      <c r="H79" s="67"/>
      <c r="I79" s="67"/>
      <c r="J79" s="66">
        <v>-9000</v>
      </c>
      <c r="K79" s="67">
        <v>-5000</v>
      </c>
      <c r="L79" s="67"/>
      <c r="M79" s="67"/>
      <c r="N79" s="67"/>
      <c r="O79" s="67"/>
      <c r="P79" s="67"/>
      <c r="Q79" s="67"/>
      <c r="R79" s="67"/>
      <c r="S79" s="69"/>
    </row>
    <row r="80" spans="2:19">
      <c r="B80" s="83">
        <v>5</v>
      </c>
      <c r="C80" s="76">
        <v>-1000</v>
      </c>
      <c r="D80" s="67"/>
      <c r="E80" s="67"/>
      <c r="F80" s="67"/>
      <c r="G80" s="67"/>
      <c r="H80" s="67"/>
      <c r="I80" s="67"/>
      <c r="J80" s="66"/>
      <c r="K80" s="67">
        <v>500</v>
      </c>
      <c r="L80" s="67"/>
      <c r="M80" s="67"/>
      <c r="N80" s="67"/>
      <c r="O80" s="67"/>
      <c r="P80" s="67"/>
      <c r="Q80" s="67"/>
      <c r="R80" s="67"/>
      <c r="S80" s="69">
        <v>-1500</v>
      </c>
    </row>
    <row r="81" spans="2:19">
      <c r="B81" s="83">
        <v>6</v>
      </c>
      <c r="C81" s="76"/>
      <c r="D81" s="67"/>
      <c r="E81" s="67"/>
      <c r="F81" s="67"/>
      <c r="G81" s="67"/>
      <c r="H81" s="67"/>
      <c r="I81" s="67"/>
      <c r="J81" s="66"/>
      <c r="K81" s="67">
        <v>1200</v>
      </c>
      <c r="L81" s="67"/>
      <c r="M81" s="67"/>
      <c r="N81" s="67"/>
      <c r="O81" s="67"/>
      <c r="P81" s="67"/>
      <c r="Q81" s="67"/>
      <c r="R81" s="67"/>
      <c r="S81" s="69">
        <v>-1200</v>
      </c>
    </row>
    <row r="82" spans="2:19">
      <c r="B82" s="152">
        <v>7</v>
      </c>
      <c r="C82" s="73"/>
      <c r="D82" s="114"/>
      <c r="E82" s="114"/>
      <c r="F82" s="114"/>
      <c r="G82" s="114"/>
      <c r="H82" s="114"/>
      <c r="I82" s="114"/>
      <c r="J82" s="91"/>
      <c r="K82" s="114"/>
      <c r="L82" s="114"/>
      <c r="M82" s="114"/>
      <c r="N82" s="114">
        <v>200</v>
      </c>
      <c r="O82" s="114"/>
      <c r="P82" s="114"/>
      <c r="Q82" s="114"/>
      <c r="R82" s="114"/>
      <c r="S82" s="61">
        <v>-200</v>
      </c>
    </row>
    <row r="83" spans="2:19">
      <c r="B83" s="153"/>
      <c r="C83" s="75">
        <v>-200</v>
      </c>
      <c r="D83" s="115"/>
      <c r="E83" s="115"/>
      <c r="F83" s="115"/>
      <c r="G83" s="115"/>
      <c r="H83" s="115"/>
      <c r="I83" s="115"/>
      <c r="J83" s="92"/>
      <c r="K83" s="115"/>
      <c r="L83" s="115"/>
      <c r="M83" s="115"/>
      <c r="N83" s="115">
        <v>-200</v>
      </c>
      <c r="O83" s="115"/>
      <c r="P83" s="115"/>
      <c r="Q83" s="115"/>
      <c r="R83" s="115"/>
      <c r="S83" s="65"/>
    </row>
    <row r="84" spans="2:19">
      <c r="B84" s="83">
        <v>8</v>
      </c>
      <c r="C84" s="76"/>
      <c r="D84" s="67"/>
      <c r="E84" s="67"/>
      <c r="F84" s="67"/>
      <c r="G84" s="67"/>
      <c r="H84" s="67"/>
      <c r="I84" s="67">
        <v>-100</v>
      </c>
      <c r="J84" s="66"/>
      <c r="K84" s="67"/>
      <c r="L84" s="67"/>
      <c r="M84" s="67"/>
      <c r="N84" s="67"/>
      <c r="O84" s="67"/>
      <c r="P84" s="67"/>
      <c r="Q84" s="67"/>
      <c r="R84" s="67"/>
      <c r="S84" s="69">
        <v>-100</v>
      </c>
    </row>
    <row r="85" spans="2:19">
      <c r="B85" s="152">
        <v>9</v>
      </c>
      <c r="C85" s="73">
        <v>-1200</v>
      </c>
      <c r="D85" s="114"/>
      <c r="E85" s="114"/>
      <c r="F85" s="114">
        <v>1200</v>
      </c>
      <c r="G85" s="114"/>
      <c r="H85" s="114"/>
      <c r="I85" s="114"/>
      <c r="J85" s="91"/>
      <c r="K85" s="114"/>
      <c r="L85" s="114"/>
      <c r="M85" s="114"/>
      <c r="N85" s="114"/>
      <c r="O85" s="114"/>
      <c r="P85" s="114"/>
      <c r="Q85" s="114"/>
      <c r="R85" s="114"/>
      <c r="S85" s="61"/>
    </row>
    <row r="86" spans="2:19">
      <c r="B86" s="153"/>
      <c r="C86" s="75"/>
      <c r="D86" s="115"/>
      <c r="E86" s="115"/>
      <c r="F86" s="115">
        <v>-100</v>
      </c>
      <c r="G86" s="115"/>
      <c r="H86" s="115"/>
      <c r="I86" s="115"/>
      <c r="J86" s="92"/>
      <c r="K86" s="115"/>
      <c r="L86" s="115"/>
      <c r="M86" s="115"/>
      <c r="N86" s="115"/>
      <c r="O86" s="115"/>
      <c r="P86" s="115"/>
      <c r="Q86" s="115"/>
      <c r="R86" s="115"/>
      <c r="S86" s="65">
        <v>-100</v>
      </c>
    </row>
    <row r="87" spans="2:19">
      <c r="B87" s="66">
        <v>10</v>
      </c>
      <c r="C87" s="76">
        <v>-10000</v>
      </c>
      <c r="D87" s="67"/>
      <c r="E87" s="67">
        <v>12000</v>
      </c>
      <c r="F87" s="67"/>
      <c r="G87" s="67"/>
      <c r="H87" s="67"/>
      <c r="I87" s="67"/>
      <c r="J87" s="66">
        <v>2000</v>
      </c>
      <c r="K87" s="67"/>
      <c r="L87" s="67"/>
      <c r="M87" s="67"/>
      <c r="N87" s="67"/>
      <c r="O87" s="67"/>
      <c r="P87" s="67"/>
      <c r="Q87" s="67"/>
      <c r="R87" s="67"/>
      <c r="S87" s="69"/>
    </row>
    <row r="88" spans="2:19">
      <c r="B88" s="152">
        <v>11</v>
      </c>
      <c r="C88" s="73">
        <v>10000</v>
      </c>
      <c r="D88" s="114"/>
      <c r="E88" s="114"/>
      <c r="F88" s="114"/>
      <c r="G88" s="114"/>
      <c r="H88" s="114"/>
      <c r="I88" s="114"/>
      <c r="J88" s="91"/>
      <c r="K88" s="114"/>
      <c r="L88" s="114"/>
      <c r="M88" s="114"/>
      <c r="N88" s="114"/>
      <c r="O88" s="114"/>
      <c r="P88" s="114"/>
      <c r="Q88" s="114"/>
      <c r="R88" s="114"/>
      <c r="S88" s="61">
        <v>10000</v>
      </c>
    </row>
    <row r="89" spans="2:19">
      <c r="B89" s="153"/>
      <c r="C89" s="75"/>
      <c r="D89" s="115"/>
      <c r="E89" s="115"/>
      <c r="F89" s="115"/>
      <c r="G89" s="115">
        <v>-8000</v>
      </c>
      <c r="H89" s="115"/>
      <c r="I89" s="115"/>
      <c r="J89" s="92"/>
      <c r="K89" s="115"/>
      <c r="L89" s="115"/>
      <c r="M89" s="115"/>
      <c r="N89" s="115"/>
      <c r="O89" s="115"/>
      <c r="P89" s="115"/>
      <c r="Q89" s="115"/>
      <c r="R89" s="115"/>
      <c r="S89" s="65">
        <v>-8000</v>
      </c>
    </row>
    <row r="90" spans="2:19">
      <c r="B90" s="66">
        <v>12</v>
      </c>
      <c r="C90" s="76"/>
      <c r="D90" s="67"/>
      <c r="E90" s="67"/>
      <c r="F90" s="67"/>
      <c r="G90" s="67"/>
      <c r="H90" s="67"/>
      <c r="I90" s="67"/>
      <c r="J90" s="66"/>
      <c r="K90" s="67"/>
      <c r="L90" s="67"/>
      <c r="M90" s="67">
        <f>-S90</f>
        <v>1560</v>
      </c>
      <c r="N90" s="67"/>
      <c r="O90" s="67"/>
      <c r="P90" s="67"/>
      <c r="Q90" s="67"/>
      <c r="R90" s="67"/>
      <c r="S90" s="69">
        <f>-SUM(S77:S89)*40%</f>
        <v>-1560</v>
      </c>
    </row>
    <row r="91" spans="2:19">
      <c r="B91" s="66">
        <v>13</v>
      </c>
      <c r="C91" s="76"/>
      <c r="D91" s="67"/>
      <c r="E91" s="67"/>
      <c r="F91" s="67"/>
      <c r="G91" s="67"/>
      <c r="H91" s="67"/>
      <c r="I91" s="67"/>
      <c r="J91" s="66"/>
      <c r="K91" s="67"/>
      <c r="L91" s="67"/>
      <c r="M91" s="67"/>
      <c r="N91" s="67"/>
      <c r="O91" s="67">
        <f>-S91</f>
        <v>585</v>
      </c>
      <c r="P91" s="67"/>
      <c r="Q91" s="67"/>
      <c r="R91" s="67"/>
      <c r="S91" s="69">
        <f>-2340*0.25</f>
        <v>-585</v>
      </c>
    </row>
    <row r="92" spans="2:19">
      <c r="B92" s="92" t="s">
        <v>95</v>
      </c>
      <c r="C92" s="75"/>
      <c r="D92" s="115"/>
      <c r="E92" s="115"/>
      <c r="F92" s="115"/>
      <c r="G92" s="115"/>
      <c r="H92" s="115"/>
      <c r="I92" s="115"/>
      <c r="J92" s="92"/>
      <c r="K92" s="115"/>
      <c r="L92" s="115"/>
      <c r="M92" s="115"/>
      <c r="N92" s="115"/>
      <c r="O92" s="115"/>
      <c r="P92" s="115"/>
      <c r="Q92" s="115"/>
      <c r="R92" s="117">
        <f>-S92</f>
        <v>1755</v>
      </c>
      <c r="S92" s="65">
        <f>-SUM(S75:S91)</f>
        <v>-1755</v>
      </c>
    </row>
    <row r="93" spans="2:19">
      <c r="B93" s="2" t="s">
        <v>35</v>
      </c>
      <c r="C93" s="24">
        <f t="shared" ref="C93:S93" si="8">SUM(C74:C92)</f>
        <v>16800</v>
      </c>
      <c r="D93" s="25">
        <f t="shared" si="8"/>
        <v>2000</v>
      </c>
      <c r="E93" s="25">
        <f t="shared" si="8"/>
        <v>12000</v>
      </c>
      <c r="F93" s="25">
        <f t="shared" si="8"/>
        <v>1100</v>
      </c>
      <c r="G93" s="25">
        <f t="shared" si="8"/>
        <v>0</v>
      </c>
      <c r="H93" s="25">
        <f t="shared" si="8"/>
        <v>10000</v>
      </c>
      <c r="I93" s="26">
        <f t="shared" si="8"/>
        <v>-300</v>
      </c>
      <c r="J93" s="24">
        <f t="shared" si="8"/>
        <v>2000</v>
      </c>
      <c r="K93" s="25">
        <f t="shared" si="8"/>
        <v>1700</v>
      </c>
      <c r="L93" s="25">
        <f t="shared" si="8"/>
        <v>15000</v>
      </c>
      <c r="M93" s="25">
        <f t="shared" si="8"/>
        <v>1560</v>
      </c>
      <c r="N93" s="25">
        <f t="shared" si="8"/>
        <v>7000</v>
      </c>
      <c r="O93" s="25">
        <f t="shared" si="8"/>
        <v>585</v>
      </c>
      <c r="P93" s="25">
        <f t="shared" si="8"/>
        <v>13000</v>
      </c>
      <c r="Q93" s="25">
        <f t="shared" si="8"/>
        <v>0</v>
      </c>
      <c r="R93" s="25">
        <f t="shared" si="8"/>
        <v>755</v>
      </c>
      <c r="S93" s="57">
        <f t="shared" si="8"/>
        <v>0</v>
      </c>
    </row>
    <row r="96" spans="2:19">
      <c r="C96" s="1" t="s">
        <v>19</v>
      </c>
      <c r="E96" s="1">
        <f>SUM(C93:I93)</f>
        <v>41600</v>
      </c>
      <c r="I96" s="78"/>
    </row>
    <row r="97" spans="2:19">
      <c r="C97" s="1" t="s">
        <v>20</v>
      </c>
      <c r="E97" s="1">
        <f>+SUM(J93:S93)</f>
        <v>41600</v>
      </c>
      <c r="I97" s="78"/>
    </row>
    <row r="100" spans="2:19" ht="42">
      <c r="B100" s="154" t="s">
        <v>146</v>
      </c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6"/>
    </row>
    <row r="101" spans="2:19" ht="30">
      <c r="B101" s="27"/>
      <c r="C101" s="146" t="s">
        <v>19</v>
      </c>
      <c r="D101" s="147"/>
      <c r="E101" s="147"/>
      <c r="F101" s="147"/>
      <c r="G101" s="147"/>
      <c r="H101" s="147"/>
      <c r="I101" s="148"/>
      <c r="J101" s="146" t="s">
        <v>33</v>
      </c>
      <c r="K101" s="147"/>
      <c r="L101" s="147"/>
      <c r="M101" s="147"/>
      <c r="N101" s="147"/>
      <c r="O101" s="147"/>
      <c r="P101" s="147"/>
      <c r="Q101" s="147"/>
      <c r="R101" s="147"/>
      <c r="S101" s="148"/>
    </row>
    <row r="102" spans="2:19" ht="25.5">
      <c r="B102" s="28"/>
      <c r="C102" s="28" t="s">
        <v>28</v>
      </c>
      <c r="D102" s="29" t="s">
        <v>67</v>
      </c>
      <c r="E102" s="29" t="s">
        <v>29</v>
      </c>
      <c r="F102" s="29" t="s">
        <v>127</v>
      </c>
      <c r="G102" s="29" t="s">
        <v>62</v>
      </c>
      <c r="H102" s="29" t="s">
        <v>63</v>
      </c>
      <c r="I102" s="30" t="s">
        <v>68</v>
      </c>
      <c r="J102" s="28" t="s">
        <v>36</v>
      </c>
      <c r="K102" s="29" t="s">
        <v>37</v>
      </c>
      <c r="L102" s="29" t="s">
        <v>126</v>
      </c>
      <c r="M102" s="29" t="s">
        <v>128</v>
      </c>
      <c r="N102" s="29" t="s">
        <v>31</v>
      </c>
      <c r="O102" s="29" t="s">
        <v>129</v>
      </c>
      <c r="P102" s="29" t="s">
        <v>32</v>
      </c>
      <c r="Q102" s="29"/>
      <c r="R102" s="29" t="s">
        <v>66</v>
      </c>
      <c r="S102" s="30" t="s">
        <v>65</v>
      </c>
    </row>
    <row r="103" spans="2:19">
      <c r="B103" s="89" t="s">
        <v>34</v>
      </c>
      <c r="C103" s="89">
        <f>+C93</f>
        <v>16800</v>
      </c>
      <c r="D103" s="104">
        <f t="shared" ref="D103:S103" si="9">+D93</f>
        <v>2000</v>
      </c>
      <c r="E103" s="104">
        <f t="shared" si="9"/>
        <v>12000</v>
      </c>
      <c r="F103" s="104">
        <f t="shared" si="9"/>
        <v>1100</v>
      </c>
      <c r="G103" s="104">
        <f t="shared" si="9"/>
        <v>0</v>
      </c>
      <c r="H103" s="104">
        <f t="shared" si="9"/>
        <v>10000</v>
      </c>
      <c r="I103" s="110">
        <f t="shared" si="9"/>
        <v>-300</v>
      </c>
      <c r="J103" s="89">
        <f t="shared" si="9"/>
        <v>2000</v>
      </c>
      <c r="K103" s="104">
        <f t="shared" si="9"/>
        <v>1700</v>
      </c>
      <c r="L103" s="104">
        <f t="shared" si="9"/>
        <v>15000</v>
      </c>
      <c r="M103" s="104">
        <f t="shared" si="9"/>
        <v>1560</v>
      </c>
      <c r="N103" s="104">
        <f t="shared" si="9"/>
        <v>7000</v>
      </c>
      <c r="O103" s="104">
        <f t="shared" si="9"/>
        <v>585</v>
      </c>
      <c r="P103" s="104">
        <f t="shared" si="9"/>
        <v>13000</v>
      </c>
      <c r="Q103" s="104">
        <f t="shared" si="9"/>
        <v>0</v>
      </c>
      <c r="R103" s="104">
        <f t="shared" si="9"/>
        <v>755</v>
      </c>
      <c r="S103" s="116">
        <f t="shared" si="9"/>
        <v>0</v>
      </c>
    </row>
    <row r="104" spans="2:19">
      <c r="B104" s="83">
        <v>1</v>
      </c>
      <c r="C104" s="72">
        <v>2000</v>
      </c>
      <c r="D104" s="67">
        <v>-2000</v>
      </c>
      <c r="E104" s="67"/>
      <c r="F104" s="67"/>
      <c r="G104" s="67"/>
      <c r="H104" s="67"/>
      <c r="I104" s="68"/>
      <c r="J104" s="67"/>
      <c r="K104" s="67"/>
      <c r="L104" s="67"/>
      <c r="M104" s="67"/>
      <c r="N104" s="67"/>
      <c r="O104" s="67"/>
      <c r="P104" s="67"/>
      <c r="Q104" s="67"/>
      <c r="R104" s="67"/>
      <c r="S104" s="69"/>
    </row>
    <row r="105" spans="2:19">
      <c r="B105" s="152">
        <v>2</v>
      </c>
      <c r="C105" s="122"/>
      <c r="D105" s="122"/>
      <c r="E105" s="122"/>
      <c r="F105" s="122"/>
      <c r="G105" s="122"/>
      <c r="H105" s="122"/>
      <c r="I105" s="60"/>
      <c r="J105" s="122">
        <v>-2000</v>
      </c>
      <c r="K105" s="122"/>
      <c r="L105" s="122"/>
      <c r="M105" s="122"/>
      <c r="N105" s="122"/>
      <c r="O105" s="122"/>
      <c r="P105" s="122"/>
      <c r="Q105" s="122"/>
      <c r="R105" s="122"/>
      <c r="S105" s="61"/>
    </row>
    <row r="106" spans="2:19">
      <c r="B106" s="157"/>
      <c r="C106" s="22"/>
      <c r="D106" s="22"/>
      <c r="E106" s="22"/>
      <c r="F106" s="22"/>
      <c r="G106" s="22"/>
      <c r="H106" s="22"/>
      <c r="I106" s="23"/>
      <c r="J106" s="22"/>
      <c r="K106" s="22">
        <v>-1700</v>
      </c>
      <c r="L106" s="22"/>
      <c r="M106" s="22"/>
      <c r="N106" s="22"/>
      <c r="O106" s="22"/>
      <c r="P106" s="22"/>
      <c r="Q106" s="22"/>
      <c r="R106" s="22"/>
      <c r="S106" s="56"/>
    </row>
    <row r="107" spans="2:19">
      <c r="B107" s="157"/>
      <c r="C107" s="22"/>
      <c r="D107" s="22"/>
      <c r="E107" s="22"/>
      <c r="F107" s="22"/>
      <c r="G107" s="22"/>
      <c r="H107" s="22"/>
      <c r="I107" s="23"/>
      <c r="J107" s="22"/>
      <c r="K107" s="22"/>
      <c r="L107" s="22"/>
      <c r="M107" s="22">
        <v>-1560</v>
      </c>
      <c r="N107" s="22"/>
      <c r="O107" s="22"/>
      <c r="P107" s="22"/>
      <c r="Q107" s="22"/>
      <c r="R107" s="22"/>
      <c r="S107" s="56"/>
    </row>
    <row r="108" spans="2:19">
      <c r="B108" s="157"/>
      <c r="C108" s="22"/>
      <c r="D108" s="22"/>
      <c r="E108" s="22"/>
      <c r="F108" s="22"/>
      <c r="G108" s="22"/>
      <c r="H108" s="22"/>
      <c r="I108" s="23"/>
      <c r="J108" s="22"/>
      <c r="K108" s="22"/>
      <c r="L108" s="22"/>
      <c r="M108" s="22"/>
      <c r="N108" s="22"/>
      <c r="O108" s="22">
        <v>-585</v>
      </c>
      <c r="P108" s="22"/>
      <c r="Q108" s="22"/>
      <c r="R108" s="22"/>
      <c r="S108" s="56"/>
    </row>
    <row r="109" spans="2:19">
      <c r="B109" s="153"/>
      <c r="C109" s="117">
        <f>+SUM(J105:O109)</f>
        <v>-5845</v>
      </c>
      <c r="D109" s="123"/>
      <c r="E109" s="123"/>
      <c r="F109" s="123"/>
      <c r="G109" s="123"/>
      <c r="H109" s="123"/>
      <c r="I109" s="64"/>
      <c r="J109" s="123"/>
      <c r="K109" s="123"/>
      <c r="L109" s="123"/>
      <c r="M109" s="123"/>
      <c r="N109" s="123"/>
      <c r="O109" s="123"/>
      <c r="P109" s="123"/>
      <c r="Q109" s="123"/>
      <c r="R109" s="123"/>
      <c r="S109" s="65"/>
    </row>
    <row r="110" spans="2:19">
      <c r="B110" s="83">
        <v>3</v>
      </c>
      <c r="C110" s="72">
        <v>-3500</v>
      </c>
      <c r="D110" s="67"/>
      <c r="E110" s="67"/>
      <c r="F110" s="67"/>
      <c r="G110" s="67"/>
      <c r="H110" s="67"/>
      <c r="I110" s="68"/>
      <c r="J110" s="67"/>
      <c r="K110" s="67"/>
      <c r="L110" s="67"/>
      <c r="M110" s="67"/>
      <c r="N110" s="67">
        <v>-3500</v>
      </c>
      <c r="O110" s="67"/>
      <c r="P110" s="67"/>
      <c r="Q110" s="67"/>
      <c r="R110" s="67"/>
      <c r="S110" s="69"/>
    </row>
    <row r="111" spans="2:19">
      <c r="B111" s="152">
        <v>4</v>
      </c>
      <c r="C111" s="122"/>
      <c r="D111" s="122"/>
      <c r="E111" s="122"/>
      <c r="F111" s="122"/>
      <c r="G111" s="122"/>
      <c r="H111" s="122"/>
      <c r="I111" s="60"/>
      <c r="J111" s="122"/>
      <c r="K111" s="122"/>
      <c r="L111" s="122">
        <v>-15000</v>
      </c>
      <c r="M111" s="122"/>
      <c r="N111" s="122"/>
      <c r="O111" s="122"/>
      <c r="P111" s="122"/>
      <c r="Q111" s="122"/>
      <c r="R111" s="122"/>
      <c r="S111" s="61">
        <f>-L111</f>
        <v>15000</v>
      </c>
    </row>
    <row r="112" spans="2:19">
      <c r="B112" s="153"/>
      <c r="C112" s="123"/>
      <c r="D112" s="123"/>
      <c r="E112" s="123">
        <f>-E103/3*2</f>
        <v>-8000</v>
      </c>
      <c r="F112" s="123"/>
      <c r="G112" s="123"/>
      <c r="H112" s="123"/>
      <c r="I112" s="64"/>
      <c r="J112" s="123"/>
      <c r="K112" s="123"/>
      <c r="L112" s="123"/>
      <c r="M112" s="123"/>
      <c r="N112" s="123"/>
      <c r="O112" s="123"/>
      <c r="P112" s="123"/>
      <c r="Q112" s="123"/>
      <c r="R112" s="123"/>
      <c r="S112" s="65">
        <f>+E112</f>
        <v>-8000</v>
      </c>
    </row>
    <row r="113" spans="2:19">
      <c r="B113" s="83">
        <v>5</v>
      </c>
      <c r="C113" s="72">
        <v>-2000</v>
      </c>
      <c r="D113" s="67"/>
      <c r="E113" s="67">
        <v>10000</v>
      </c>
      <c r="F113" s="67"/>
      <c r="G113" s="67"/>
      <c r="H113" s="67"/>
      <c r="I113" s="68"/>
      <c r="J113" s="67">
        <v>8000</v>
      </c>
      <c r="K113" s="67"/>
      <c r="L113" s="67"/>
      <c r="M113" s="67"/>
      <c r="N113" s="67"/>
      <c r="O113" s="67"/>
      <c r="P113" s="67"/>
      <c r="Q113" s="67"/>
      <c r="R113" s="67"/>
      <c r="S113" s="69"/>
    </row>
    <row r="114" spans="2:19">
      <c r="B114" s="152">
        <v>6</v>
      </c>
      <c r="C114" s="136">
        <v>6000</v>
      </c>
      <c r="D114" s="122">
        <v>6000</v>
      </c>
      <c r="E114" s="122"/>
      <c r="F114" s="122"/>
      <c r="G114" s="122"/>
      <c r="H114" s="122"/>
      <c r="I114" s="60"/>
      <c r="J114" s="122"/>
      <c r="K114" s="122"/>
      <c r="L114" s="122"/>
      <c r="M114" s="122"/>
      <c r="N114" s="122"/>
      <c r="O114" s="122"/>
      <c r="P114" s="122"/>
      <c r="Q114" s="122"/>
      <c r="R114" s="122"/>
      <c r="S114" s="61">
        <v>12000</v>
      </c>
    </row>
    <row r="115" spans="2:19">
      <c r="B115" s="153"/>
      <c r="C115" s="123"/>
      <c r="D115" s="123"/>
      <c r="E115" s="123">
        <v>-7000</v>
      </c>
      <c r="F115" s="123"/>
      <c r="G115" s="123"/>
      <c r="H115" s="123"/>
      <c r="I115" s="64"/>
      <c r="J115" s="123"/>
      <c r="K115" s="123"/>
      <c r="L115" s="123"/>
      <c r="M115" s="123"/>
      <c r="N115" s="123"/>
      <c r="O115" s="123"/>
      <c r="P115" s="123"/>
      <c r="Q115" s="123"/>
      <c r="R115" s="123"/>
      <c r="S115" s="65">
        <v>-7000</v>
      </c>
    </row>
    <row r="116" spans="2:19">
      <c r="B116" s="83">
        <v>7</v>
      </c>
      <c r="C116" s="72">
        <v>-1200</v>
      </c>
      <c r="D116" s="67"/>
      <c r="E116" s="67"/>
      <c r="F116" s="67"/>
      <c r="G116" s="67"/>
      <c r="H116" s="67"/>
      <c r="I116" s="68"/>
      <c r="J116" s="67"/>
      <c r="K116" s="67">
        <v>800</v>
      </c>
      <c r="L116" s="67"/>
      <c r="M116" s="67"/>
      <c r="N116" s="67"/>
      <c r="O116" s="67"/>
      <c r="P116" s="67"/>
      <c r="Q116" s="67"/>
      <c r="R116" s="67"/>
      <c r="S116" s="69">
        <v>-2000</v>
      </c>
    </row>
    <row r="117" spans="2:19">
      <c r="B117" s="83">
        <v>8</v>
      </c>
      <c r="C117" s="72">
        <v>-1000</v>
      </c>
      <c r="D117" s="67"/>
      <c r="E117" s="67"/>
      <c r="F117" s="67"/>
      <c r="G117" s="67"/>
      <c r="H117" s="67"/>
      <c r="I117" s="68"/>
      <c r="J117" s="67"/>
      <c r="K117" s="67">
        <v>500</v>
      </c>
      <c r="L117" s="67"/>
      <c r="M117" s="67"/>
      <c r="N117" s="67"/>
      <c r="O117" s="67"/>
      <c r="P117" s="67"/>
      <c r="Q117" s="67"/>
      <c r="R117" s="67"/>
      <c r="S117" s="69">
        <v>-1500</v>
      </c>
    </row>
    <row r="118" spans="2:19">
      <c r="B118" s="152">
        <v>9</v>
      </c>
      <c r="C118" s="122"/>
      <c r="D118" s="122"/>
      <c r="E118" s="122"/>
      <c r="F118" s="122"/>
      <c r="G118" s="122"/>
      <c r="H118" s="122"/>
      <c r="I118" s="60"/>
      <c r="J118" s="122"/>
      <c r="K118" s="122"/>
      <c r="L118" s="122"/>
      <c r="M118" s="122"/>
      <c r="N118" s="122">
        <v>150</v>
      </c>
      <c r="O118" s="122"/>
      <c r="P118" s="122"/>
      <c r="Q118" s="122"/>
      <c r="R118" s="122"/>
      <c r="S118" s="61">
        <v>-150</v>
      </c>
    </row>
    <row r="119" spans="2:19">
      <c r="B119" s="153"/>
      <c r="C119" s="123">
        <v>-150</v>
      </c>
      <c r="D119" s="123"/>
      <c r="E119" s="123"/>
      <c r="F119" s="123"/>
      <c r="G119" s="123"/>
      <c r="H119" s="123"/>
      <c r="I119" s="64"/>
      <c r="J119" s="123"/>
      <c r="K119" s="123"/>
      <c r="L119" s="123"/>
      <c r="M119" s="123"/>
      <c r="N119" s="123">
        <v>-150</v>
      </c>
      <c r="O119" s="123"/>
      <c r="P119" s="123"/>
      <c r="Q119" s="123"/>
      <c r="R119" s="123"/>
      <c r="S119" s="65"/>
    </row>
    <row r="120" spans="2:19">
      <c r="B120" s="83">
        <v>10</v>
      </c>
      <c r="C120" s="67"/>
      <c r="D120" s="67"/>
      <c r="E120" s="67"/>
      <c r="F120" s="67"/>
      <c r="G120" s="67"/>
      <c r="H120" s="67"/>
      <c r="I120" s="68">
        <v>-100</v>
      </c>
      <c r="J120" s="67"/>
      <c r="K120" s="67"/>
      <c r="L120" s="67"/>
      <c r="M120" s="67"/>
      <c r="N120" s="67"/>
      <c r="O120" s="67"/>
      <c r="P120" s="67"/>
      <c r="Q120" s="67"/>
      <c r="R120" s="67"/>
      <c r="S120" s="69">
        <v>-100</v>
      </c>
    </row>
    <row r="121" spans="2:19">
      <c r="B121" s="83">
        <v>11</v>
      </c>
      <c r="C121" s="67"/>
      <c r="D121" s="67"/>
      <c r="E121" s="67"/>
      <c r="F121" s="67">
        <v>-100</v>
      </c>
      <c r="G121" s="67"/>
      <c r="H121" s="67"/>
      <c r="I121" s="68"/>
      <c r="J121" s="67"/>
      <c r="K121" s="67"/>
      <c r="L121" s="67"/>
      <c r="M121" s="67"/>
      <c r="N121" s="67"/>
      <c r="O121" s="67"/>
      <c r="P121" s="67"/>
      <c r="Q121" s="67"/>
      <c r="R121" s="67"/>
      <c r="S121" s="69">
        <v>-100</v>
      </c>
    </row>
    <row r="122" spans="2:19">
      <c r="B122" s="83">
        <v>12</v>
      </c>
      <c r="C122" s="67">
        <v>-3500</v>
      </c>
      <c r="D122" s="67"/>
      <c r="E122" s="67"/>
      <c r="F122" s="67"/>
      <c r="G122" s="67"/>
      <c r="H122" s="67"/>
      <c r="I122" s="68"/>
      <c r="J122" s="67"/>
      <c r="K122" s="67"/>
      <c r="L122" s="67"/>
      <c r="M122" s="67"/>
      <c r="N122" s="67">
        <v>-3500</v>
      </c>
      <c r="O122" s="67"/>
      <c r="P122" s="67"/>
      <c r="Q122" s="67"/>
      <c r="R122" s="67"/>
      <c r="S122" s="69"/>
    </row>
    <row r="123" spans="2:19">
      <c r="B123" s="83">
        <v>13</v>
      </c>
      <c r="C123" s="67">
        <v>-5000</v>
      </c>
      <c r="D123" s="67"/>
      <c r="E123" s="67"/>
      <c r="F123" s="67"/>
      <c r="G123" s="67"/>
      <c r="H123" s="67">
        <v>5000</v>
      </c>
      <c r="I123" s="68"/>
      <c r="J123" s="67"/>
      <c r="K123" s="67"/>
      <c r="L123" s="67"/>
      <c r="M123" s="67"/>
      <c r="N123" s="67"/>
      <c r="O123" s="67"/>
      <c r="P123" s="67"/>
      <c r="Q123" s="67"/>
      <c r="R123" s="67"/>
      <c r="S123" s="69"/>
    </row>
    <row r="124" spans="2:19">
      <c r="B124" s="83">
        <v>14</v>
      </c>
      <c r="C124" s="67"/>
      <c r="D124" s="67"/>
      <c r="E124" s="67"/>
      <c r="F124" s="67"/>
      <c r="G124" s="67"/>
      <c r="H124" s="67"/>
      <c r="I124" s="68"/>
      <c r="J124" s="67"/>
      <c r="K124" s="67"/>
      <c r="L124" s="67"/>
      <c r="M124" s="67">
        <f>-S124</f>
        <v>3260</v>
      </c>
      <c r="N124" s="67"/>
      <c r="O124" s="67"/>
      <c r="P124" s="67"/>
      <c r="Q124" s="67"/>
      <c r="R124" s="67"/>
      <c r="S124" s="69">
        <f>-40%*SUM(S104:S123)</f>
        <v>-3260</v>
      </c>
    </row>
    <row r="125" spans="2:19">
      <c r="B125" s="83">
        <v>15</v>
      </c>
      <c r="C125" s="67">
        <f>-O125</f>
        <v>-1956</v>
      </c>
      <c r="D125" s="67"/>
      <c r="E125" s="67"/>
      <c r="F125" s="67"/>
      <c r="G125" s="67"/>
      <c r="H125" s="67"/>
      <c r="I125" s="68"/>
      <c r="J125" s="67"/>
      <c r="K125" s="67"/>
      <c r="L125" s="67"/>
      <c r="M125" s="67"/>
      <c r="N125" s="67"/>
      <c r="O125" s="67">
        <f>-R125/2</f>
        <v>1956</v>
      </c>
      <c r="P125" s="67"/>
      <c r="Q125" s="67"/>
      <c r="R125" s="67">
        <f>-4890*0.8</f>
        <v>-3912</v>
      </c>
      <c r="S125" s="69"/>
    </row>
    <row r="126" spans="2:19">
      <c r="B126" s="121" t="s">
        <v>95</v>
      </c>
      <c r="C126" s="75"/>
      <c r="D126" s="123"/>
      <c r="E126" s="123"/>
      <c r="F126" s="123"/>
      <c r="G126" s="123"/>
      <c r="H126" s="123"/>
      <c r="I126" s="64"/>
      <c r="J126" s="121"/>
      <c r="K126" s="123"/>
      <c r="L126" s="123"/>
      <c r="M126" s="123"/>
      <c r="N126" s="123"/>
      <c r="O126" s="123"/>
      <c r="P126" s="123"/>
      <c r="Q126" s="123"/>
      <c r="R126" s="117">
        <f>-S126</f>
        <v>4890</v>
      </c>
      <c r="S126" s="65">
        <f>-SUM(S104:S125)</f>
        <v>-4890</v>
      </c>
    </row>
    <row r="127" spans="2:19">
      <c r="B127" s="2" t="s">
        <v>35</v>
      </c>
      <c r="C127" s="24">
        <f t="shared" ref="C127:S127" si="10">SUM(C103:C126)</f>
        <v>649</v>
      </c>
      <c r="D127" s="25">
        <f t="shared" si="10"/>
        <v>6000</v>
      </c>
      <c r="E127" s="25">
        <f t="shared" si="10"/>
        <v>7000</v>
      </c>
      <c r="F127" s="25">
        <f t="shared" si="10"/>
        <v>1000</v>
      </c>
      <c r="G127" s="25">
        <f t="shared" si="10"/>
        <v>0</v>
      </c>
      <c r="H127" s="25">
        <f t="shared" si="10"/>
        <v>15000</v>
      </c>
      <c r="I127" s="26">
        <f t="shared" si="10"/>
        <v>-400</v>
      </c>
      <c r="J127" s="24">
        <f t="shared" si="10"/>
        <v>8000</v>
      </c>
      <c r="K127" s="25">
        <f t="shared" si="10"/>
        <v>1300</v>
      </c>
      <c r="L127" s="25">
        <f t="shared" si="10"/>
        <v>0</v>
      </c>
      <c r="M127" s="25">
        <f t="shared" si="10"/>
        <v>3260</v>
      </c>
      <c r="N127" s="25">
        <f t="shared" si="10"/>
        <v>0</v>
      </c>
      <c r="O127" s="25">
        <f t="shared" si="10"/>
        <v>1956</v>
      </c>
      <c r="P127" s="25">
        <f t="shared" si="10"/>
        <v>13000</v>
      </c>
      <c r="Q127" s="25">
        <f t="shared" si="10"/>
        <v>0</v>
      </c>
      <c r="R127" s="25">
        <f t="shared" si="10"/>
        <v>1733</v>
      </c>
      <c r="S127" s="57">
        <f t="shared" si="10"/>
        <v>0</v>
      </c>
    </row>
    <row r="130" spans="3:9">
      <c r="C130" s="1" t="s">
        <v>19</v>
      </c>
      <c r="E130" s="1">
        <f>SUM(C127:I127)</f>
        <v>29249</v>
      </c>
      <c r="I130" s="78"/>
    </row>
    <row r="131" spans="3:9">
      <c r="C131" s="1" t="s">
        <v>20</v>
      </c>
      <c r="E131" s="1">
        <f>+SUM(J127:S127)</f>
        <v>29249</v>
      </c>
      <c r="I131" s="78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06"/>
  <sheetViews>
    <sheetView workbookViewId="0"/>
  </sheetViews>
  <sheetFormatPr defaultRowHeight="15"/>
  <sheetData>
    <row r="2" spans="2:11" ht="105">
      <c r="B2" s="154" t="s">
        <v>39</v>
      </c>
      <c r="C2" s="155"/>
      <c r="D2" s="155"/>
      <c r="E2" s="155"/>
      <c r="F2" s="155"/>
      <c r="G2" s="155"/>
      <c r="H2" s="156"/>
    </row>
    <row r="3" spans="2:11">
      <c r="B3" s="31" t="s">
        <v>19</v>
      </c>
      <c r="C3" s="32">
        <v>41670</v>
      </c>
      <c r="D3" s="32">
        <v>41698</v>
      </c>
      <c r="E3" s="32">
        <v>41729</v>
      </c>
      <c r="F3" s="32">
        <v>41759</v>
      </c>
      <c r="G3" s="32">
        <v>41790</v>
      </c>
      <c r="H3" s="33">
        <v>41820</v>
      </c>
    </row>
    <row r="4" spans="2:11" ht="30">
      <c r="B4" s="34" t="s">
        <v>40</v>
      </c>
      <c r="C4" s="22">
        <f>+'Exercício inicial - lançamentos'!C5</f>
        <v>3000</v>
      </c>
      <c r="D4" s="22">
        <f>+'Exercício inicial - lançamentos'!C13</f>
        <v>1500</v>
      </c>
      <c r="E4" s="22">
        <f>+'Exercício inicial - lançamentos'!C37</f>
        <v>100</v>
      </c>
      <c r="F4" s="22">
        <f>+'Exercício inicial - lançamentos'!C64</f>
        <v>200</v>
      </c>
      <c r="G4" s="22">
        <f>+'Exercício inicial - lançamentos'!C93</f>
        <v>16800</v>
      </c>
      <c r="H4" s="23">
        <f>+'Exercício inicial - lançamentos'!C127</f>
        <v>649</v>
      </c>
    </row>
    <row r="5" spans="2:11" ht="30">
      <c r="B5" s="34" t="s">
        <v>23</v>
      </c>
      <c r="C5" s="22">
        <v>0</v>
      </c>
      <c r="D5" s="22">
        <v>0</v>
      </c>
      <c r="E5" s="22">
        <f>+'Exercício inicial - lançamentos'!D37</f>
        <v>1500</v>
      </c>
      <c r="F5" s="22">
        <f>+'Exercício inicial - lançamentos'!D64</f>
        <v>5000</v>
      </c>
      <c r="G5" s="22">
        <f>+'Exercício inicial - lançamentos'!D93</f>
        <v>2000</v>
      </c>
      <c r="H5" s="23">
        <f>+'Exercício inicial - lançamentos'!D127</f>
        <v>6000</v>
      </c>
    </row>
    <row r="6" spans="2:11">
      <c r="B6" s="34" t="s">
        <v>29</v>
      </c>
      <c r="C6" s="22">
        <f>+'Exercício inicial - lançamentos'!E5</f>
        <v>4000</v>
      </c>
      <c r="D6" s="22">
        <f>+'Exercício inicial - lançamentos'!E13</f>
        <v>24000</v>
      </c>
      <c r="E6" s="22">
        <f>+'Exercício inicial - lançamentos'!E37</f>
        <v>11000</v>
      </c>
      <c r="F6" s="22">
        <f>+'Exercício inicial - lançamentos'!E64</f>
        <v>10000</v>
      </c>
      <c r="G6" s="22">
        <f>+'Exercício inicial - lançamentos'!E93</f>
        <v>12000</v>
      </c>
      <c r="H6" s="23">
        <f>+'Exercício inicial - lançamentos'!E127</f>
        <v>7000</v>
      </c>
    </row>
    <row r="7" spans="2:11" ht="45">
      <c r="B7" s="34" t="s">
        <v>130</v>
      </c>
      <c r="C7" s="22">
        <v>0</v>
      </c>
      <c r="D7" s="22">
        <v>0</v>
      </c>
      <c r="E7" s="22">
        <v>0</v>
      </c>
      <c r="F7" s="22">
        <v>0</v>
      </c>
      <c r="G7" s="22">
        <f>+'Exercício inicial - lançamentos'!F93</f>
        <v>1100</v>
      </c>
      <c r="H7" s="23">
        <f>+'Exercício inicial - lançamentos'!F127</f>
        <v>1000</v>
      </c>
      <c r="J7" s="124" t="s">
        <v>143</v>
      </c>
      <c r="K7" s="124" t="s">
        <v>144</v>
      </c>
    </row>
    <row r="8" spans="2:11">
      <c r="B8" s="34" t="s">
        <v>62</v>
      </c>
      <c r="C8" s="22">
        <f>+'Exercício inicial - lançamentos'!F5</f>
        <v>8000</v>
      </c>
      <c r="D8" s="22">
        <f>+C8</f>
        <v>8000</v>
      </c>
      <c r="E8" s="22">
        <f>+'Exercício inicial - lançamentos'!F37</f>
        <v>8000</v>
      </c>
      <c r="F8" s="22">
        <f>+'Exercício inicial - lançamentos'!F64</f>
        <v>8000</v>
      </c>
      <c r="G8" s="22">
        <v>0</v>
      </c>
      <c r="H8" s="23">
        <v>0</v>
      </c>
      <c r="I8" s="1" t="s">
        <v>145</v>
      </c>
      <c r="J8" s="1">
        <f>+G4</f>
        <v>16800</v>
      </c>
      <c r="K8" s="1">
        <f>15000-12000*0.666666666666667</f>
        <v>7000</v>
      </c>
    </row>
    <row r="9" spans="2:11">
      <c r="B9" s="34" t="s">
        <v>64</v>
      </c>
      <c r="C9" s="22">
        <v>0</v>
      </c>
      <c r="D9" s="22">
        <v>10000</v>
      </c>
      <c r="E9" s="22">
        <f>+'Exercício inicial - lançamentos'!G37</f>
        <v>10000</v>
      </c>
      <c r="F9" s="22">
        <f>+'Exercício inicial - lançamentos'!G64</f>
        <v>10000</v>
      </c>
      <c r="G9" s="22">
        <f>+'Exercício inicial - lançamentos'!H93</f>
        <v>10000</v>
      </c>
      <c r="H9" s="23">
        <f>+'Exercício inicial - lançamentos'!H127</f>
        <v>15000</v>
      </c>
      <c r="J9" s="1">
        <v>2000</v>
      </c>
      <c r="K9" s="1">
        <f>12000-7000</f>
        <v>5000</v>
      </c>
    </row>
    <row r="10" spans="2:11" ht="45">
      <c r="B10" s="34" t="s">
        <v>69</v>
      </c>
      <c r="C10" s="22">
        <v>0</v>
      </c>
      <c r="D10" s="22">
        <v>0</v>
      </c>
      <c r="E10" s="22">
        <f>+'Exercício inicial - lançamentos'!H37</f>
        <v>-100</v>
      </c>
      <c r="F10" s="22">
        <f>+'Exercício inicial - lançamentos'!H64</f>
        <v>-200</v>
      </c>
      <c r="G10" s="22">
        <f>+'Exercício inicial - lançamentos'!I93</f>
        <v>-300</v>
      </c>
      <c r="H10" s="23">
        <f>+'Exercício inicial - lançamentos'!I127</f>
        <v>-400</v>
      </c>
      <c r="J10" s="1">
        <f>-SUM(G14:G15,G17,G19)</f>
        <v>-5845</v>
      </c>
      <c r="K10" s="1">
        <v>-2000</v>
      </c>
    </row>
    <row r="11" spans="2:11">
      <c r="B11" s="34"/>
      <c r="C11" s="22"/>
      <c r="D11" s="22"/>
      <c r="E11" s="22"/>
      <c r="F11" s="22"/>
      <c r="G11" s="22"/>
      <c r="H11" s="23"/>
      <c r="J11" s="1">
        <v>-3500</v>
      </c>
      <c r="K11" s="1">
        <v>-1500</v>
      </c>
    </row>
    <row r="12" spans="2:11">
      <c r="B12" s="35" t="s">
        <v>41</v>
      </c>
      <c r="C12" s="36">
        <f>SUM(C4:C11)</f>
        <v>15000</v>
      </c>
      <c r="D12" s="36">
        <f>SUM(D4:D11)</f>
        <v>43500</v>
      </c>
      <c r="E12" s="36">
        <f t="shared" ref="E12:H12" si="0">SUM(E4:E11)</f>
        <v>30500</v>
      </c>
      <c r="F12" s="36">
        <f t="shared" si="0"/>
        <v>33000</v>
      </c>
      <c r="G12" s="36">
        <f t="shared" si="0"/>
        <v>41600</v>
      </c>
      <c r="H12" s="37">
        <f t="shared" si="0"/>
        <v>29249</v>
      </c>
      <c r="J12" s="1">
        <v>-2000</v>
      </c>
      <c r="K12" s="1">
        <v>-150</v>
      </c>
    </row>
    <row r="13" spans="2:11" ht="30">
      <c r="B13" s="90" t="s">
        <v>33</v>
      </c>
      <c r="C13" s="32">
        <f>+C3</f>
        <v>41670</v>
      </c>
      <c r="D13" s="32">
        <f t="shared" ref="D13:H13" si="1">+D3</f>
        <v>41698</v>
      </c>
      <c r="E13" s="32">
        <f t="shared" si="1"/>
        <v>41729</v>
      </c>
      <c r="F13" s="32">
        <f t="shared" si="1"/>
        <v>41759</v>
      </c>
      <c r="G13" s="32">
        <f t="shared" si="1"/>
        <v>41790</v>
      </c>
      <c r="H13" s="33">
        <f t="shared" si="1"/>
        <v>41820</v>
      </c>
      <c r="J13" s="1">
        <v>6000</v>
      </c>
      <c r="K13" s="1">
        <v>-100</v>
      </c>
    </row>
    <row r="14" spans="2:11" ht="45">
      <c r="B14" s="34" t="s">
        <v>42</v>
      </c>
      <c r="C14" s="22">
        <f>+'Exercício inicial - lançamentos'!I5</f>
        <v>0</v>
      </c>
      <c r="D14" s="22">
        <f>+'Exercício inicial - lançamentos'!I13</f>
        <v>17000</v>
      </c>
      <c r="E14" s="22">
        <f>+'Exercício inicial - lançamentos'!I37</f>
        <v>18000</v>
      </c>
      <c r="F14" s="22">
        <f>+'Exercício inicial - lançamentos'!I64</f>
        <v>9000</v>
      </c>
      <c r="G14" s="22">
        <f>+'Exercício inicial - lançamentos'!J93</f>
        <v>2000</v>
      </c>
      <c r="H14" s="23">
        <f>+'Exercício inicial - lançamentos'!J127</f>
        <v>8000</v>
      </c>
      <c r="J14" s="1">
        <v>-1200</v>
      </c>
      <c r="K14" s="1">
        <v>-100</v>
      </c>
    </row>
    <row r="15" spans="2:11" ht="30">
      <c r="B15" s="34" t="s">
        <v>37</v>
      </c>
      <c r="C15" s="22">
        <f>+'Exercício inicial - lançamentos'!J5</f>
        <v>0</v>
      </c>
      <c r="D15" s="22">
        <f>+'Exercício inicial - lançamentos'!J13</f>
        <v>2000</v>
      </c>
      <c r="E15" s="22">
        <f>+'Exercício inicial - lançamentos'!J37</f>
        <v>2800</v>
      </c>
      <c r="F15" s="22">
        <f>+'Exercício inicial - lançamentos'!J64</f>
        <v>5000</v>
      </c>
      <c r="G15" s="22">
        <f>+'Exercício inicial - lançamentos'!K93</f>
        <v>1700</v>
      </c>
      <c r="H15" s="23">
        <f>+'Exercício inicial - lançamentos'!K127</f>
        <v>1300</v>
      </c>
      <c r="J15" s="1">
        <v>-1000</v>
      </c>
    </row>
    <row r="16" spans="2:11" ht="45">
      <c r="B16" s="34" t="s">
        <v>131</v>
      </c>
      <c r="C16" s="22">
        <v>0</v>
      </c>
      <c r="D16" s="22">
        <v>0</v>
      </c>
      <c r="E16" s="22">
        <v>0</v>
      </c>
      <c r="F16" s="22">
        <v>0</v>
      </c>
      <c r="G16" s="22">
        <f>+'Exercício inicial - lançamentos'!L93</f>
        <v>15000</v>
      </c>
      <c r="H16" s="23">
        <f>+'Exercício inicial - lançamentos'!L127</f>
        <v>0</v>
      </c>
      <c r="J16" s="1">
        <v>-150</v>
      </c>
    </row>
    <row r="17" spans="2:11" ht="30">
      <c r="B17" s="34" t="s">
        <v>128</v>
      </c>
      <c r="C17" s="22">
        <v>0</v>
      </c>
      <c r="D17" s="22">
        <v>0</v>
      </c>
      <c r="E17" s="22">
        <v>0</v>
      </c>
      <c r="F17" s="22">
        <v>0</v>
      </c>
      <c r="G17" s="22">
        <f>+'Exercício inicial - lançamentos'!M93</f>
        <v>1560</v>
      </c>
      <c r="H17" s="23">
        <f>+'Exercício inicial - lançamentos'!M127</f>
        <v>3260</v>
      </c>
      <c r="J17" s="1">
        <v>-3500</v>
      </c>
    </row>
    <row r="18" spans="2:11" ht="45">
      <c r="B18" s="34" t="s">
        <v>43</v>
      </c>
      <c r="C18" s="22">
        <f>+'Exercício inicial - lançamentos'!K5</f>
        <v>5000</v>
      </c>
      <c r="D18" s="22">
        <f>+'Exercício inicial - lançamentos'!K13</f>
        <v>11500</v>
      </c>
      <c r="E18" s="22">
        <f>+'Exercício inicial - lançamentos'!K37</f>
        <v>11000</v>
      </c>
      <c r="F18" s="22">
        <f>+'Exercício inicial - lançamentos'!K64</f>
        <v>7000</v>
      </c>
      <c r="G18" s="22">
        <f>+'Exercício inicial - lançamentos'!N93</f>
        <v>7000</v>
      </c>
      <c r="H18" s="23">
        <v>0</v>
      </c>
      <c r="J18" s="1">
        <v>-5000</v>
      </c>
    </row>
    <row r="19" spans="2:11" ht="45">
      <c r="B19" s="34" t="s">
        <v>129</v>
      </c>
      <c r="C19" s="22">
        <v>0</v>
      </c>
      <c r="D19" s="22">
        <v>0</v>
      </c>
      <c r="E19" s="22">
        <v>0</v>
      </c>
      <c r="F19" s="22">
        <v>0</v>
      </c>
      <c r="G19" s="22">
        <f>+'Exercício inicial - lançamentos'!O93</f>
        <v>585</v>
      </c>
      <c r="H19" s="23">
        <f>+'Exercício inicial - lançamentos'!O127</f>
        <v>1956</v>
      </c>
      <c r="K19" s="1">
        <f>-SUM(K8:K18)*0.4</f>
        <v>-3260</v>
      </c>
    </row>
    <row r="20" spans="2:11" ht="30">
      <c r="B20" s="34" t="s">
        <v>24</v>
      </c>
      <c r="C20" s="22">
        <f>+'Exercício inicial - lançamentos'!L5</f>
        <v>10000</v>
      </c>
      <c r="D20" s="22">
        <f>+'Exercício inicial - lançamentos'!L13</f>
        <v>13000</v>
      </c>
      <c r="E20" s="22">
        <f>+'Exercício inicial - lançamentos'!L37</f>
        <v>13000</v>
      </c>
      <c r="F20" s="22">
        <f>+'Exercício inicial - lançamentos'!L64</f>
        <v>13000</v>
      </c>
      <c r="G20" s="22">
        <f>+'Exercício inicial - lançamentos'!P93</f>
        <v>13000</v>
      </c>
      <c r="H20" s="23">
        <f>+'Exercício inicial - lançamentos'!P127</f>
        <v>13000</v>
      </c>
    </row>
    <row r="21" spans="2:11">
      <c r="B21" s="34" t="s">
        <v>70</v>
      </c>
      <c r="C21" s="22">
        <v>0</v>
      </c>
      <c r="D21" s="22">
        <v>0</v>
      </c>
      <c r="E21" s="22">
        <v>0</v>
      </c>
      <c r="F21" s="22">
        <v>0</v>
      </c>
      <c r="G21" s="22">
        <f>+'Exercício inicial - lançamentos'!R93</f>
        <v>755</v>
      </c>
      <c r="H21" s="23">
        <f>+'Exercício inicial - lançamentos'!R127</f>
        <v>1733</v>
      </c>
      <c r="J21" s="124">
        <f>SUM(J8:J20)</f>
        <v>2605</v>
      </c>
      <c r="K21" s="124">
        <f>SUM(K8:K20)</f>
        <v>4890</v>
      </c>
    </row>
    <row r="22" spans="2:11" ht="45">
      <c r="B22" s="34" t="s">
        <v>72</v>
      </c>
      <c r="C22" s="22">
        <v>0</v>
      </c>
      <c r="D22" s="22">
        <v>0</v>
      </c>
      <c r="E22" s="22">
        <f>+'Exercício inicial - lançamentos'!N37</f>
        <v>-14300</v>
      </c>
      <c r="F22" s="22">
        <f>+'Exercício inicial - lançamentos'!N64</f>
        <v>-1000</v>
      </c>
      <c r="G22" s="22">
        <v>0</v>
      </c>
      <c r="H22" s="23">
        <v>0</v>
      </c>
    </row>
    <row r="23" spans="2:11">
      <c r="B23" s="34"/>
      <c r="C23" s="22"/>
      <c r="D23" s="22"/>
      <c r="E23" s="22"/>
      <c r="F23" s="22"/>
      <c r="G23" s="22"/>
      <c r="H23" s="23"/>
    </row>
    <row r="24" spans="2:11">
      <c r="B24" s="35" t="s">
        <v>41</v>
      </c>
      <c r="C24" s="36">
        <f t="shared" ref="C24:H24" si="2">SUM(C14:C23)</f>
        <v>15000</v>
      </c>
      <c r="D24" s="36">
        <f t="shared" si="2"/>
        <v>43500</v>
      </c>
      <c r="E24" s="36">
        <f t="shared" si="2"/>
        <v>30500</v>
      </c>
      <c r="F24" s="36">
        <f t="shared" si="2"/>
        <v>33000</v>
      </c>
      <c r="G24" s="36">
        <f t="shared" si="2"/>
        <v>41600</v>
      </c>
      <c r="H24" s="37">
        <f t="shared" si="2"/>
        <v>29249</v>
      </c>
    </row>
    <row r="26" spans="2:11" ht="168.75">
      <c r="B26" s="158" t="s">
        <v>54</v>
      </c>
      <c r="C26" s="159"/>
      <c r="D26" s="159"/>
      <c r="E26" s="159"/>
      <c r="F26" s="159"/>
      <c r="G26" s="159"/>
      <c r="H26" s="160"/>
    </row>
    <row r="27" spans="2:11">
      <c r="B27" s="118"/>
      <c r="C27" s="32" t="str">
        <f>+C51</f>
        <v>JAN</v>
      </c>
      <c r="D27" s="32" t="str">
        <f t="shared" ref="D27:E27" si="3">+D51</f>
        <v>FEV</v>
      </c>
      <c r="E27" s="32" t="str">
        <f t="shared" si="3"/>
        <v>MAR</v>
      </c>
      <c r="F27" s="32" t="s">
        <v>97</v>
      </c>
      <c r="G27" s="32" t="s">
        <v>125</v>
      </c>
      <c r="H27" s="33" t="s">
        <v>142</v>
      </c>
    </row>
    <row r="28" spans="2:11" ht="30">
      <c r="B28" s="50" t="s">
        <v>13</v>
      </c>
      <c r="C28" s="19">
        <v>0</v>
      </c>
      <c r="D28" s="19">
        <v>0</v>
      </c>
      <c r="E28" s="19">
        <f>+'Exercício inicial - lançamentos'!O24</f>
        <v>6500</v>
      </c>
      <c r="F28" s="19">
        <f>+'Exercício inicial - lançamentos'!O49</f>
        <v>30000</v>
      </c>
      <c r="G28" s="19">
        <f>+'Exercício inicial - lançamentos'!S77</f>
        <v>15000</v>
      </c>
      <c r="H28" s="20">
        <f>+'Exercício inicial - lançamentos'!S111+'Exercício inicial - lançamentos'!S114</f>
        <v>27000</v>
      </c>
    </row>
    <row r="29" spans="2:11">
      <c r="B29" s="51" t="s">
        <v>14</v>
      </c>
      <c r="C29" s="52">
        <v>0</v>
      </c>
      <c r="D29" s="52">
        <v>0</v>
      </c>
      <c r="E29" s="52">
        <f>+'Exercício inicial - lançamentos'!O25</f>
        <v>-18000</v>
      </c>
      <c r="F29" s="52">
        <f>+'Exercício inicial - lançamentos'!O50</f>
        <v>-11000</v>
      </c>
      <c r="G29" s="52">
        <f>+'Exercício inicial - lançamentos'!S78</f>
        <v>-10000</v>
      </c>
      <c r="H29" s="53">
        <f>+'Exercício inicial - lançamentos'!S112+'Exercício inicial - lançamentos'!S115</f>
        <v>-15000</v>
      </c>
    </row>
    <row r="30" spans="2:11" ht="30">
      <c r="B30" s="50" t="s">
        <v>55</v>
      </c>
      <c r="C30" s="19">
        <f>+SUM(C28:C29)</f>
        <v>0</v>
      </c>
      <c r="D30" s="19">
        <f t="shared" ref="D30:H30" si="4">+SUM(D28:D29)</f>
        <v>0</v>
      </c>
      <c r="E30" s="19">
        <f t="shared" si="4"/>
        <v>-11500</v>
      </c>
      <c r="F30" s="19">
        <f t="shared" si="4"/>
        <v>19000</v>
      </c>
      <c r="G30" s="19">
        <f t="shared" si="4"/>
        <v>5000</v>
      </c>
      <c r="H30" s="20">
        <f t="shared" si="4"/>
        <v>12000</v>
      </c>
    </row>
    <row r="31" spans="2:11" ht="75">
      <c r="B31" s="51" t="s">
        <v>56</v>
      </c>
      <c r="C31" s="52">
        <v>0</v>
      </c>
      <c r="D31" s="52">
        <v>0</v>
      </c>
      <c r="E31" s="52">
        <f>+'Exercício inicial - lançamentos'!O28</f>
        <v>-1500</v>
      </c>
      <c r="F31" s="52">
        <f>+'Exercício inicial - lançamentos'!O56</f>
        <v>-3000</v>
      </c>
      <c r="G31" s="52">
        <f>+'Exercício inicial - lançamentos'!S80</f>
        <v>-1500</v>
      </c>
      <c r="H31" s="53">
        <f>+'Exercício inicial - lançamentos'!S116</f>
        <v>-2000</v>
      </c>
    </row>
    <row r="32" spans="2:11" ht="75">
      <c r="B32" s="51" t="s">
        <v>57</v>
      </c>
      <c r="C32" s="52">
        <v>0</v>
      </c>
      <c r="D32" s="52">
        <v>0</v>
      </c>
      <c r="E32" s="52">
        <f>+'Exercício inicial - lançamentos'!O29</f>
        <v>-1000</v>
      </c>
      <c r="F32" s="52">
        <f>+'Exercício inicial - lançamentos'!O57</f>
        <v>-2000</v>
      </c>
      <c r="G32" s="52">
        <f>+'Exercício inicial - lançamentos'!S81</f>
        <v>-1200</v>
      </c>
      <c r="H32" s="53">
        <f>+'Exercício inicial - lançamentos'!S117</f>
        <v>-1500</v>
      </c>
    </row>
    <row r="33" spans="2:8" ht="45">
      <c r="B33" s="51" t="s">
        <v>132</v>
      </c>
      <c r="C33" s="52">
        <v>0</v>
      </c>
      <c r="D33" s="52">
        <v>0</v>
      </c>
      <c r="E33" s="52">
        <v>0</v>
      </c>
      <c r="F33" s="52">
        <v>0</v>
      </c>
      <c r="G33" s="52">
        <f>+'Exercício inicial - lançamentos'!S86</f>
        <v>-100</v>
      </c>
      <c r="H33" s="53">
        <f>+'Exercício inicial - lançamentos'!S121</f>
        <v>-100</v>
      </c>
    </row>
    <row r="34" spans="2:8" ht="45">
      <c r="B34" s="51" t="s">
        <v>58</v>
      </c>
      <c r="C34" s="52">
        <v>0</v>
      </c>
      <c r="D34" s="52">
        <v>0</v>
      </c>
      <c r="E34" s="52">
        <f>+'Exercício inicial - lançamentos'!O35</f>
        <v>-100</v>
      </c>
      <c r="F34" s="52">
        <f>+'Exercício inicial - lançamentos'!O61</f>
        <v>-100</v>
      </c>
      <c r="G34" s="52">
        <f>+'Exercício inicial - lançamentos'!S84</f>
        <v>-100</v>
      </c>
      <c r="H34" s="53">
        <f>+'Exercício inicial - lançamentos'!S120</f>
        <v>-100</v>
      </c>
    </row>
    <row r="35" spans="2:8" ht="60">
      <c r="B35" s="50" t="s">
        <v>16</v>
      </c>
      <c r="C35" s="19">
        <f>SUM(C30:C34)</f>
        <v>0</v>
      </c>
      <c r="D35" s="19">
        <f t="shared" ref="D35:H35" si="5">SUM(D30:D34)</f>
        <v>0</v>
      </c>
      <c r="E35" s="19">
        <f t="shared" si="5"/>
        <v>-14100</v>
      </c>
      <c r="F35" s="19">
        <f t="shared" si="5"/>
        <v>13900</v>
      </c>
      <c r="G35" s="19">
        <f t="shared" si="5"/>
        <v>2100</v>
      </c>
      <c r="H35" s="20">
        <f t="shared" si="5"/>
        <v>8300</v>
      </c>
    </row>
    <row r="36" spans="2:8" ht="45">
      <c r="B36" s="51" t="s">
        <v>71</v>
      </c>
      <c r="C36" s="52">
        <v>0</v>
      </c>
      <c r="D36" s="52">
        <v>0</v>
      </c>
      <c r="E36" s="52">
        <f>+'Exercício inicial - lançamentos'!O30</f>
        <v>-200</v>
      </c>
      <c r="F36" s="52">
        <f>+'Exercício inicial - lançamentos'!O58</f>
        <v>-300</v>
      </c>
      <c r="G36" s="52">
        <f>+'Exercício inicial - lançamentos'!S82</f>
        <v>-200</v>
      </c>
      <c r="H36" s="53">
        <f>+'Exercício inicial - lançamentos'!S118</f>
        <v>-150</v>
      </c>
    </row>
    <row r="37" spans="2:8" ht="45">
      <c r="B37" s="51" t="s">
        <v>133</v>
      </c>
      <c r="C37" s="52">
        <v>0</v>
      </c>
      <c r="D37" s="52">
        <v>0</v>
      </c>
      <c r="E37" s="52">
        <v>0</v>
      </c>
      <c r="F37" s="52">
        <v>0</v>
      </c>
      <c r="G37" s="52">
        <f>+SUM('Exercício inicial - lançamentos'!S88:S89)</f>
        <v>2000</v>
      </c>
      <c r="H37" s="53">
        <v>0</v>
      </c>
    </row>
    <row r="38" spans="2:8" ht="30">
      <c r="B38" s="50" t="s">
        <v>134</v>
      </c>
      <c r="C38" s="19">
        <f>SUM(C35:C37)</f>
        <v>0</v>
      </c>
      <c r="D38" s="19">
        <f t="shared" ref="D38:H38" si="6">SUM(D35:D37)</f>
        <v>0</v>
      </c>
      <c r="E38" s="19">
        <f t="shared" si="6"/>
        <v>-14300</v>
      </c>
      <c r="F38" s="19">
        <f t="shared" si="6"/>
        <v>13600</v>
      </c>
      <c r="G38" s="19">
        <f t="shared" si="6"/>
        <v>3900</v>
      </c>
      <c r="H38" s="20">
        <f t="shared" si="6"/>
        <v>8150</v>
      </c>
    </row>
    <row r="39" spans="2:8" ht="30">
      <c r="B39" s="51" t="s">
        <v>135</v>
      </c>
      <c r="C39" s="52">
        <v>0</v>
      </c>
      <c r="D39" s="52">
        <v>0</v>
      </c>
      <c r="E39" s="52">
        <v>0</v>
      </c>
      <c r="F39" s="52">
        <v>0</v>
      </c>
      <c r="G39" s="52">
        <f>+'Exercício inicial - lançamentos'!S90</f>
        <v>-1560</v>
      </c>
      <c r="H39" s="53">
        <f>+'Exercício inicial - lançamentos'!S124</f>
        <v>-3260</v>
      </c>
    </row>
    <row r="40" spans="2:8" ht="45">
      <c r="B40" s="35" t="s">
        <v>59</v>
      </c>
      <c r="C40" s="36">
        <f>+SUM(C38:C39)</f>
        <v>0</v>
      </c>
      <c r="D40" s="36">
        <f t="shared" ref="D40:H40" si="7">+SUM(D38:D39)</f>
        <v>0</v>
      </c>
      <c r="E40" s="36">
        <f t="shared" si="7"/>
        <v>-14300</v>
      </c>
      <c r="F40" s="36">
        <f t="shared" si="7"/>
        <v>13600</v>
      </c>
      <c r="G40" s="36">
        <f t="shared" si="7"/>
        <v>2340</v>
      </c>
      <c r="H40" s="37">
        <f t="shared" si="7"/>
        <v>4890</v>
      </c>
    </row>
    <row r="42" spans="2:8" ht="131.25">
      <c r="B42" s="161" t="s">
        <v>87</v>
      </c>
      <c r="C42" s="162"/>
      <c r="D42" s="162"/>
      <c r="E42" s="162"/>
      <c r="F42" s="162"/>
      <c r="G42" s="162"/>
      <c r="H42" s="162"/>
    </row>
    <row r="43" spans="2:8">
      <c r="B43" s="54"/>
      <c r="C43" s="32" t="str">
        <f>+C64</f>
        <v>JAN</v>
      </c>
      <c r="D43" s="32" t="str">
        <f t="shared" ref="D43:E43" si="8">+D64</f>
        <v>FEV</v>
      </c>
      <c r="E43" s="32" t="str">
        <f t="shared" si="8"/>
        <v>MAR</v>
      </c>
      <c r="F43" s="32" t="s">
        <v>97</v>
      </c>
      <c r="G43" s="32" t="s">
        <v>125</v>
      </c>
      <c r="H43" s="33" t="str">
        <f>+H27</f>
        <v>JUN</v>
      </c>
    </row>
    <row r="44" spans="2:8" ht="45">
      <c r="B44" s="50" t="s">
        <v>88</v>
      </c>
      <c r="C44" s="19">
        <v>0</v>
      </c>
      <c r="D44" s="19">
        <f>+C48</f>
        <v>10000</v>
      </c>
      <c r="E44" s="19">
        <f>+D48</f>
        <v>13000</v>
      </c>
      <c r="F44" s="19">
        <f>+E48</f>
        <v>-1300</v>
      </c>
      <c r="G44" s="19">
        <f>+SUM(F20:F22)</f>
        <v>12000</v>
      </c>
      <c r="H44" s="20">
        <f>+SUM(G20:G22)</f>
        <v>13755</v>
      </c>
    </row>
    <row r="45" spans="2:8" ht="60">
      <c r="B45" s="51" t="s">
        <v>89</v>
      </c>
      <c r="C45" s="52">
        <f>+C20</f>
        <v>10000</v>
      </c>
      <c r="D45" s="52">
        <f>+D20-C20</f>
        <v>3000</v>
      </c>
      <c r="E45" s="52">
        <f>+E20-D20</f>
        <v>0</v>
      </c>
      <c r="F45" s="52">
        <f>+F20-E20</f>
        <v>0</v>
      </c>
      <c r="G45" s="52">
        <v>0</v>
      </c>
      <c r="H45" s="53">
        <v>0</v>
      </c>
    </row>
    <row r="46" spans="2:8" ht="60">
      <c r="B46" s="51" t="s">
        <v>90</v>
      </c>
      <c r="C46" s="52">
        <f t="shared" ref="C46:H46" si="9">+C40</f>
        <v>0</v>
      </c>
      <c r="D46" s="52">
        <f t="shared" si="9"/>
        <v>0</v>
      </c>
      <c r="E46" s="52">
        <f t="shared" si="9"/>
        <v>-14300</v>
      </c>
      <c r="F46" s="52">
        <f t="shared" si="9"/>
        <v>13600</v>
      </c>
      <c r="G46" s="52">
        <f t="shared" si="9"/>
        <v>2340</v>
      </c>
      <c r="H46" s="53">
        <f t="shared" si="9"/>
        <v>4890</v>
      </c>
    </row>
    <row r="47" spans="2:8" ht="45">
      <c r="B47" s="51" t="s">
        <v>91</v>
      </c>
      <c r="C47" s="52">
        <v>0</v>
      </c>
      <c r="D47" s="52">
        <v>0</v>
      </c>
      <c r="E47" s="52">
        <v>0</v>
      </c>
      <c r="F47" s="52">
        <f>+'Exercício inicial - lançamentos'!N62</f>
        <v>-300</v>
      </c>
      <c r="G47" s="52">
        <f>+'Exercício inicial - lançamentos'!S91</f>
        <v>-585</v>
      </c>
      <c r="H47" s="53">
        <f>+'Exercício inicial - lançamentos'!R125</f>
        <v>-3912</v>
      </c>
    </row>
    <row r="48" spans="2:8" ht="45">
      <c r="B48" s="77" t="s">
        <v>92</v>
      </c>
      <c r="C48" s="25">
        <f>SUM(C44:C47)</f>
        <v>10000</v>
      </c>
      <c r="D48" s="25">
        <f t="shared" ref="D48:H48" si="10">SUM(D44:D47)</f>
        <v>13000</v>
      </c>
      <c r="E48" s="25">
        <f t="shared" si="10"/>
        <v>-1300</v>
      </c>
      <c r="F48" s="25">
        <f t="shared" si="10"/>
        <v>12000</v>
      </c>
      <c r="G48" s="25">
        <f t="shared" si="10"/>
        <v>13755</v>
      </c>
      <c r="H48" s="26">
        <f t="shared" si="10"/>
        <v>14733</v>
      </c>
    </row>
    <row r="50" spans="2:8" ht="187.5">
      <c r="B50" s="158" t="s">
        <v>49</v>
      </c>
      <c r="C50" s="159"/>
      <c r="D50" s="159"/>
      <c r="E50" s="159"/>
      <c r="F50" s="159"/>
      <c r="G50" s="159"/>
      <c r="H50" s="160"/>
    </row>
    <row r="51" spans="2:8" ht="45">
      <c r="B51" s="38" t="s">
        <v>44</v>
      </c>
      <c r="C51" s="119" t="s">
        <v>45</v>
      </c>
      <c r="D51" s="119" t="s">
        <v>46</v>
      </c>
      <c r="E51" s="119" t="s">
        <v>60</v>
      </c>
      <c r="F51" s="119" t="s">
        <v>97</v>
      </c>
      <c r="G51" s="119" t="s">
        <v>125</v>
      </c>
      <c r="H51" s="120" t="str">
        <f>+H43</f>
        <v>JUN</v>
      </c>
    </row>
    <row r="52" spans="2:8" ht="60">
      <c r="B52" s="39" t="s">
        <v>73</v>
      </c>
      <c r="C52" s="40">
        <v>0</v>
      </c>
      <c r="D52" s="40">
        <v>0</v>
      </c>
      <c r="E52" s="40">
        <f>+'Exercício inicial - lançamentos'!C24</f>
        <v>5000</v>
      </c>
      <c r="F52" s="40">
        <f>+'Exercício inicial - lançamentos'!C48+'Exercício inicial - lançamentos'!C49</f>
        <v>26500</v>
      </c>
      <c r="G52" s="40">
        <f>+'Exercício inicial - lançamentos'!C75+'Exercício inicial - lançamentos'!C76+'Exercício inicial - lançamentos'!C77</f>
        <v>33000</v>
      </c>
      <c r="H52" s="41">
        <f>+'Exercício inicial - lançamentos'!C104+'Exercício inicial - lançamentos'!C114</f>
        <v>8000</v>
      </c>
    </row>
    <row r="53" spans="2:8" ht="60">
      <c r="B53" s="39" t="s">
        <v>53</v>
      </c>
      <c r="C53" s="40">
        <v>-4000</v>
      </c>
      <c r="D53" s="40">
        <v>-3000</v>
      </c>
      <c r="E53" s="40">
        <f>+'Exercício inicial - lançamentos'!C27+'Exercício inicial - lançamentos'!C32</f>
        <v>-4000</v>
      </c>
      <c r="F53" s="40">
        <f>+'Exercício inicial - lançamentos'!I51+'Exercício inicial - lançamentos'!C55</f>
        <v>-19000</v>
      </c>
      <c r="G53" s="40">
        <f>+'Exercício inicial - lançamentos'!J79+'Exercício inicial - lançamentos'!C87</f>
        <v>-19000</v>
      </c>
      <c r="H53" s="41">
        <f>+'Exercício inicial - lançamentos'!J105+'Exercício inicial - lançamentos'!C113</f>
        <v>-4000</v>
      </c>
    </row>
    <row r="54" spans="2:8" ht="60">
      <c r="B54" s="39" t="s">
        <v>74</v>
      </c>
      <c r="C54" s="40">
        <v>0</v>
      </c>
      <c r="D54" s="40">
        <v>0</v>
      </c>
      <c r="E54" s="40">
        <f>+'Exercício inicial - lançamentos'!C28+'Exercício inicial - lançamentos'!C29</f>
        <v>-700</v>
      </c>
      <c r="F54" s="40">
        <f>+'Exercício inicial - lançamentos'!J53</f>
        <v>-1800</v>
      </c>
      <c r="G54" s="40">
        <f>+'Exercício inicial - lançamentos'!K79+'Exercício inicial - lançamentos'!C80+'Exercício inicial - lançamentos'!C85</f>
        <v>-7200</v>
      </c>
      <c r="H54" s="41">
        <f>+'Exercício inicial - lançamentos'!K106+'Exercício inicial - lançamentos'!C116+'Exercício inicial - lançamentos'!C117</f>
        <v>-3900</v>
      </c>
    </row>
    <row r="55" spans="2:8">
      <c r="B55" s="39" t="s">
        <v>147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1">
        <f>+'Exercício inicial - lançamentos'!M107</f>
        <v>-1560</v>
      </c>
    </row>
    <row r="56" spans="2:8">
      <c r="B56" s="39"/>
      <c r="C56" s="40"/>
      <c r="D56" s="40"/>
      <c r="E56" s="40"/>
      <c r="F56" s="40"/>
      <c r="G56" s="40"/>
      <c r="H56" s="41"/>
    </row>
    <row r="57" spans="2:8">
      <c r="B57" s="35" t="s">
        <v>41</v>
      </c>
      <c r="C57" s="36">
        <f>+SUM(C52:C56)</f>
        <v>-4000</v>
      </c>
      <c r="D57" s="36">
        <f t="shared" ref="D57:H57" si="11">+SUM(D52:D56)</f>
        <v>-3000</v>
      </c>
      <c r="E57" s="36">
        <f t="shared" si="11"/>
        <v>300</v>
      </c>
      <c r="F57" s="36">
        <f t="shared" si="11"/>
        <v>5700</v>
      </c>
      <c r="G57" s="36">
        <f t="shared" si="11"/>
        <v>6800</v>
      </c>
      <c r="H57" s="37">
        <f t="shared" si="11"/>
        <v>-1460</v>
      </c>
    </row>
    <row r="58" spans="2:8" ht="45">
      <c r="B58" s="38" t="s">
        <v>47</v>
      </c>
      <c r="C58" s="119" t="str">
        <f>+C51</f>
        <v>JAN</v>
      </c>
      <c r="D58" s="119" t="str">
        <f t="shared" ref="D58:F58" si="12">+D51</f>
        <v>FEV</v>
      </c>
      <c r="E58" s="119" t="str">
        <f t="shared" si="12"/>
        <v>MAR</v>
      </c>
      <c r="F58" s="119" t="str">
        <f t="shared" si="12"/>
        <v>ABR</v>
      </c>
      <c r="G58" s="119" t="s">
        <v>125</v>
      </c>
      <c r="H58" s="120" t="str">
        <f>+H51</f>
        <v>JUN</v>
      </c>
    </row>
    <row r="59" spans="2:8" ht="30">
      <c r="B59" s="39" t="s">
        <v>52</v>
      </c>
      <c r="C59" s="40">
        <v>-8000</v>
      </c>
      <c r="D59" s="40">
        <f>+'Exercício inicial - lançamentos'!C8</f>
        <v>-8000</v>
      </c>
      <c r="E59" s="40">
        <f>'Exercício inicial - lançamentos'!C33</f>
        <v>-1000</v>
      </c>
      <c r="F59" s="40">
        <f>+'Exercício inicial - lançamentos'!J52</f>
        <v>-1000</v>
      </c>
      <c r="G59" s="40">
        <f>+'Exercício inicial - lançamentos'!C88</f>
        <v>10000</v>
      </c>
      <c r="H59" s="41">
        <f>'Exercício inicial - lançamentos'!C123</f>
        <v>-5000</v>
      </c>
    </row>
    <row r="60" spans="2:8">
      <c r="B60" s="39"/>
      <c r="C60" s="40"/>
      <c r="D60" s="40"/>
      <c r="E60" s="40"/>
      <c r="F60" s="40"/>
      <c r="G60" s="40"/>
      <c r="H60" s="41"/>
    </row>
    <row r="61" spans="2:8">
      <c r="B61" s="39"/>
      <c r="C61" s="40"/>
      <c r="D61" s="40"/>
      <c r="E61" s="40"/>
      <c r="F61" s="40"/>
      <c r="G61" s="40"/>
      <c r="H61" s="41"/>
    </row>
    <row r="62" spans="2:8">
      <c r="B62" s="39"/>
      <c r="C62" s="40"/>
      <c r="D62" s="40"/>
      <c r="E62" s="40"/>
      <c r="F62" s="40"/>
      <c r="G62" s="40"/>
      <c r="H62" s="41"/>
    </row>
    <row r="63" spans="2:8">
      <c r="B63" s="35" t="s">
        <v>41</v>
      </c>
      <c r="C63" s="36">
        <f>+SUM(C59:C62)</f>
        <v>-8000</v>
      </c>
      <c r="D63" s="36">
        <f t="shared" ref="D63" si="13">+SUM(D59:D62)</f>
        <v>-8000</v>
      </c>
      <c r="E63" s="36">
        <f t="shared" ref="E63" si="14">+SUM(E59:E62)</f>
        <v>-1000</v>
      </c>
      <c r="F63" s="36">
        <f t="shared" ref="F63" si="15">+SUM(F59:F62)</f>
        <v>-1000</v>
      </c>
      <c r="G63" s="36">
        <f t="shared" ref="G63:H63" si="16">+SUM(G59:G62)</f>
        <v>10000</v>
      </c>
      <c r="H63" s="37">
        <f t="shared" si="16"/>
        <v>-5000</v>
      </c>
    </row>
    <row r="64" spans="2:8" ht="60">
      <c r="B64" s="38" t="s">
        <v>48</v>
      </c>
      <c r="C64" s="119" t="str">
        <f>+C58</f>
        <v>JAN</v>
      </c>
      <c r="D64" s="119" t="str">
        <f t="shared" ref="D64:F64" si="17">+D58</f>
        <v>FEV</v>
      </c>
      <c r="E64" s="119" t="str">
        <f t="shared" si="17"/>
        <v>MAR</v>
      </c>
      <c r="F64" s="119" t="str">
        <f t="shared" si="17"/>
        <v>ABR</v>
      </c>
      <c r="G64" s="119" t="s">
        <v>125</v>
      </c>
      <c r="H64" s="120" t="str">
        <f>+H58</f>
        <v>JUN</v>
      </c>
    </row>
    <row r="65" spans="2:8" ht="45">
      <c r="B65" s="39" t="s">
        <v>51</v>
      </c>
      <c r="C65" s="40">
        <v>10000</v>
      </c>
      <c r="D65" s="40">
        <v>3000</v>
      </c>
      <c r="E65" s="40">
        <v>0</v>
      </c>
      <c r="F65" s="40"/>
      <c r="G65" s="40"/>
      <c r="H65" s="41"/>
    </row>
    <row r="66" spans="2:8" ht="30">
      <c r="B66" s="39" t="s">
        <v>50</v>
      </c>
      <c r="C66" s="40">
        <v>5000</v>
      </c>
      <c r="D66" s="40">
        <f>8000-1500</f>
        <v>6500</v>
      </c>
      <c r="E66" s="40">
        <f>'Exercício inicial - lançamentos'!C34</f>
        <v>-500</v>
      </c>
      <c r="F66" s="40">
        <f>+'Exercício inicial - lançamentos'!C60</f>
        <v>-4000</v>
      </c>
      <c r="G66" s="40"/>
      <c r="H66" s="41">
        <f>+'Exercício inicial - lançamentos'!C110+'Exercício inicial - lançamentos'!C122</f>
        <v>-7000</v>
      </c>
    </row>
    <row r="67" spans="2:8">
      <c r="B67" s="39" t="s">
        <v>75</v>
      </c>
      <c r="C67" s="40">
        <v>0</v>
      </c>
      <c r="D67" s="40">
        <v>0</v>
      </c>
      <c r="E67" s="40">
        <f>+'Exercício inicial - lançamentos'!C31</f>
        <v>-200</v>
      </c>
      <c r="F67" s="40">
        <f>+'Exercício inicial - lançamentos'!C59</f>
        <v>-300</v>
      </c>
      <c r="G67" s="40">
        <f>+'Exercício inicial - lançamentos'!C83</f>
        <v>-200</v>
      </c>
      <c r="H67" s="41">
        <f>+'Exercício inicial - lançamentos'!C119</f>
        <v>-150</v>
      </c>
    </row>
    <row r="68" spans="2:8" ht="30">
      <c r="B68" s="39" t="s">
        <v>98</v>
      </c>
      <c r="C68" s="40">
        <v>0</v>
      </c>
      <c r="D68" s="40">
        <v>0</v>
      </c>
      <c r="E68" s="40">
        <v>0</v>
      </c>
      <c r="F68" s="40">
        <f>+'Exercício inicial - lançamentos'!C62</f>
        <v>-300</v>
      </c>
      <c r="G68" s="40"/>
      <c r="H68" s="41">
        <f>+'Exercício inicial - lançamentos'!O108+'Exercício inicial - lançamentos'!C125</f>
        <v>-2541</v>
      </c>
    </row>
    <row r="69" spans="2:8">
      <c r="B69" s="35" t="s">
        <v>41</v>
      </c>
      <c r="C69" s="36">
        <f>+SUM(C65:C68)</f>
        <v>15000</v>
      </c>
      <c r="D69" s="36">
        <f t="shared" ref="D69" si="18">+SUM(D65:D68)</f>
        <v>9500</v>
      </c>
      <c r="E69" s="36">
        <f t="shared" ref="E69" si="19">+SUM(E65:E68)</f>
        <v>-700</v>
      </c>
      <c r="F69" s="36">
        <f t="shared" ref="F69" si="20">+SUM(F65:F68)</f>
        <v>-4600</v>
      </c>
      <c r="G69" s="36">
        <f t="shared" ref="G69:H69" si="21">+SUM(G65:G68)</f>
        <v>-200</v>
      </c>
      <c r="H69" s="37">
        <f t="shared" si="21"/>
        <v>-9691</v>
      </c>
    </row>
    <row r="70" spans="2:8" ht="30">
      <c r="B70" s="44" t="s">
        <v>5</v>
      </c>
      <c r="C70" s="42">
        <f>+C57+C63+C69</f>
        <v>3000</v>
      </c>
      <c r="D70" s="42">
        <f t="shared" ref="D70:H70" si="22">+D57+D63+D69</f>
        <v>-1500</v>
      </c>
      <c r="E70" s="42">
        <f t="shared" si="22"/>
        <v>-1400</v>
      </c>
      <c r="F70" s="42">
        <f t="shared" si="22"/>
        <v>100</v>
      </c>
      <c r="G70" s="42">
        <f t="shared" si="22"/>
        <v>16600</v>
      </c>
      <c r="H70" s="43">
        <f t="shared" si="22"/>
        <v>-16151</v>
      </c>
    </row>
    <row r="72" spans="2:8" ht="45">
      <c r="B72" s="45" t="s">
        <v>9</v>
      </c>
      <c r="C72" s="46">
        <v>0</v>
      </c>
      <c r="D72" s="46">
        <f>+C73</f>
        <v>3000</v>
      </c>
      <c r="E72" s="46">
        <f t="shared" ref="E72:F72" si="23">+D73</f>
        <v>1500</v>
      </c>
      <c r="F72" s="46">
        <f t="shared" si="23"/>
        <v>100</v>
      </c>
      <c r="G72" s="46">
        <f>+F73</f>
        <v>200</v>
      </c>
      <c r="H72" s="47">
        <f>+G73</f>
        <v>16800</v>
      </c>
    </row>
    <row r="73" spans="2:8" ht="45">
      <c r="B73" s="48" t="s">
        <v>10</v>
      </c>
      <c r="C73" s="40">
        <f t="shared" ref="C73:H73" si="24">+C4</f>
        <v>3000</v>
      </c>
      <c r="D73" s="40">
        <f t="shared" si="24"/>
        <v>1500</v>
      </c>
      <c r="E73" s="40">
        <f t="shared" si="24"/>
        <v>100</v>
      </c>
      <c r="F73" s="40">
        <f t="shared" si="24"/>
        <v>200</v>
      </c>
      <c r="G73" s="40">
        <f t="shared" si="24"/>
        <v>16800</v>
      </c>
      <c r="H73" s="41">
        <f t="shared" si="24"/>
        <v>649</v>
      </c>
    </row>
    <row r="74" spans="2:8" ht="30">
      <c r="B74" s="49" t="s">
        <v>5</v>
      </c>
      <c r="C74" s="36">
        <f>+C73-C72</f>
        <v>3000</v>
      </c>
      <c r="D74" s="36">
        <f t="shared" ref="D74:G74" si="25">+D73-D72</f>
        <v>-1500</v>
      </c>
      <c r="E74" s="36">
        <f t="shared" si="25"/>
        <v>-1400</v>
      </c>
      <c r="F74" s="36">
        <f t="shared" si="25"/>
        <v>100</v>
      </c>
      <c r="G74" s="36">
        <f t="shared" si="25"/>
        <v>16600</v>
      </c>
      <c r="H74" s="37">
        <f t="shared" ref="H74" si="26">+H73-H72</f>
        <v>-16151</v>
      </c>
    </row>
    <row r="76" spans="2:8" ht="206.25">
      <c r="B76" s="158" t="s">
        <v>76</v>
      </c>
      <c r="C76" s="159"/>
      <c r="D76" s="159"/>
      <c r="E76" s="159"/>
      <c r="F76" s="159"/>
      <c r="G76" s="159"/>
      <c r="H76" s="160"/>
    </row>
    <row r="77" spans="2:8" ht="45">
      <c r="B77" s="38" t="s">
        <v>44</v>
      </c>
      <c r="C77" s="119" t="s">
        <v>45</v>
      </c>
      <c r="D77" s="119" t="s">
        <v>46</v>
      </c>
      <c r="E77" s="119" t="s">
        <v>60</v>
      </c>
      <c r="F77" s="119" t="s">
        <v>97</v>
      </c>
      <c r="G77" s="119" t="s">
        <v>125</v>
      </c>
      <c r="H77" s="120" t="str">
        <f>+H51</f>
        <v>JUN</v>
      </c>
    </row>
    <row r="78" spans="2:8" ht="60">
      <c r="B78" s="39" t="s">
        <v>77</v>
      </c>
      <c r="C78" s="40">
        <f t="shared" ref="C78:H78" si="27">+C40</f>
        <v>0</v>
      </c>
      <c r="D78" s="40">
        <f t="shared" si="27"/>
        <v>0</v>
      </c>
      <c r="E78" s="40">
        <f t="shared" si="27"/>
        <v>-14300</v>
      </c>
      <c r="F78" s="40">
        <f t="shared" si="27"/>
        <v>13600</v>
      </c>
      <c r="G78" s="40">
        <f t="shared" si="27"/>
        <v>2340</v>
      </c>
      <c r="H78" s="41">
        <f t="shared" si="27"/>
        <v>4890</v>
      </c>
    </row>
    <row r="79" spans="2:8" ht="45">
      <c r="B79" s="39" t="s">
        <v>78</v>
      </c>
      <c r="C79" s="40">
        <f t="shared" ref="C79:H79" si="28">-C34</f>
        <v>0</v>
      </c>
      <c r="D79" s="40">
        <f t="shared" si="28"/>
        <v>0</v>
      </c>
      <c r="E79" s="40">
        <f t="shared" si="28"/>
        <v>100</v>
      </c>
      <c r="F79" s="40">
        <f t="shared" si="28"/>
        <v>100</v>
      </c>
      <c r="G79" s="40">
        <f t="shared" si="28"/>
        <v>100</v>
      </c>
      <c r="H79" s="41">
        <f t="shared" si="28"/>
        <v>100</v>
      </c>
    </row>
    <row r="80" spans="2:8" ht="30">
      <c r="B80" s="39" t="s">
        <v>79</v>
      </c>
      <c r="C80" s="40">
        <f t="shared" ref="C80:H80" si="29">-C36</f>
        <v>0</v>
      </c>
      <c r="D80" s="40">
        <f t="shared" si="29"/>
        <v>0</v>
      </c>
      <c r="E80" s="40">
        <f t="shared" si="29"/>
        <v>200</v>
      </c>
      <c r="F80" s="40">
        <f t="shared" si="29"/>
        <v>300</v>
      </c>
      <c r="G80" s="40">
        <f t="shared" si="29"/>
        <v>200</v>
      </c>
      <c r="H80" s="41">
        <f t="shared" si="29"/>
        <v>150</v>
      </c>
    </row>
    <row r="81" spans="2:8" ht="60">
      <c r="B81" s="39" t="s">
        <v>136</v>
      </c>
      <c r="C81" s="40">
        <v>0</v>
      </c>
      <c r="D81" s="40">
        <v>0</v>
      </c>
      <c r="E81" s="40">
        <v>0</v>
      </c>
      <c r="F81" s="40">
        <v>0</v>
      </c>
      <c r="G81" s="40">
        <f>-G37</f>
        <v>-2000</v>
      </c>
      <c r="H81" s="41">
        <v>0</v>
      </c>
    </row>
    <row r="82" spans="2:8" ht="60">
      <c r="B82" s="39" t="s">
        <v>86</v>
      </c>
      <c r="C82" s="40">
        <v>0</v>
      </c>
      <c r="D82" s="40">
        <v>0</v>
      </c>
      <c r="E82" s="40">
        <f t="shared" ref="E82:H83" si="30">+D5-E5</f>
        <v>-1500</v>
      </c>
      <c r="F82" s="40">
        <f t="shared" si="30"/>
        <v>-3500</v>
      </c>
      <c r="G82" s="40">
        <f t="shared" si="30"/>
        <v>3000</v>
      </c>
      <c r="H82" s="41">
        <f t="shared" si="30"/>
        <v>-4000</v>
      </c>
    </row>
    <row r="83" spans="2:8" ht="45">
      <c r="B83" s="39" t="s">
        <v>80</v>
      </c>
      <c r="C83" s="40">
        <f>-C6</f>
        <v>-4000</v>
      </c>
      <c r="D83" s="40">
        <f>+C6-D6</f>
        <v>-20000</v>
      </c>
      <c r="E83" s="40">
        <f t="shared" si="30"/>
        <v>13000</v>
      </c>
      <c r="F83" s="40">
        <f t="shared" si="30"/>
        <v>1000</v>
      </c>
      <c r="G83" s="40">
        <f t="shared" si="30"/>
        <v>-2000</v>
      </c>
      <c r="H83" s="41">
        <f t="shared" si="30"/>
        <v>5000</v>
      </c>
    </row>
    <row r="84" spans="2:8" ht="60">
      <c r="B84" s="39" t="s">
        <v>140</v>
      </c>
      <c r="C84" s="40">
        <v>0</v>
      </c>
      <c r="D84" s="40">
        <v>0</v>
      </c>
      <c r="E84" s="40">
        <v>0</v>
      </c>
      <c r="F84" s="40">
        <v>0</v>
      </c>
      <c r="G84" s="40">
        <f>+F7-G7</f>
        <v>-1100</v>
      </c>
      <c r="H84" s="41">
        <f>+G7-H7</f>
        <v>100</v>
      </c>
    </row>
    <row r="85" spans="2:8" ht="60">
      <c r="B85" s="39" t="s">
        <v>84</v>
      </c>
      <c r="C85" s="40">
        <v>0</v>
      </c>
      <c r="D85" s="40">
        <f>+D14-C14</f>
        <v>17000</v>
      </c>
      <c r="E85" s="40">
        <f>+E14-D14</f>
        <v>1000</v>
      </c>
      <c r="F85" s="40">
        <f>+F14-E14</f>
        <v>-9000</v>
      </c>
      <c r="G85" s="40">
        <f>+G14-F14</f>
        <v>-7000</v>
      </c>
      <c r="H85" s="41">
        <f>+H14-G14</f>
        <v>6000</v>
      </c>
    </row>
    <row r="86" spans="2:8" ht="60">
      <c r="B86" s="39" t="s">
        <v>85</v>
      </c>
      <c r="C86" s="40">
        <v>0</v>
      </c>
      <c r="D86" s="40">
        <f>+D15-C15</f>
        <v>2000</v>
      </c>
      <c r="E86" s="40">
        <f>+E15-D15</f>
        <v>800</v>
      </c>
      <c r="F86" s="40">
        <f>+F15-E15+1000</f>
        <v>3200</v>
      </c>
      <c r="G86" s="40">
        <f t="shared" ref="G86:H88" si="31">+G15-F15</f>
        <v>-3300</v>
      </c>
      <c r="H86" s="41">
        <f t="shared" si="31"/>
        <v>-400</v>
      </c>
    </row>
    <row r="87" spans="2:8" ht="60">
      <c r="B87" s="39" t="s">
        <v>137</v>
      </c>
      <c r="C87" s="40"/>
      <c r="D87" s="40"/>
      <c r="E87" s="40"/>
      <c r="F87" s="40"/>
      <c r="G87" s="40">
        <f t="shared" si="31"/>
        <v>15000</v>
      </c>
      <c r="H87" s="41">
        <f t="shared" si="31"/>
        <v>-15000</v>
      </c>
    </row>
    <row r="88" spans="2:8" ht="45">
      <c r="B88" s="39" t="s">
        <v>138</v>
      </c>
      <c r="C88" s="40"/>
      <c r="D88" s="40"/>
      <c r="E88" s="40"/>
      <c r="F88" s="40"/>
      <c r="G88" s="40">
        <f t="shared" si="31"/>
        <v>1560</v>
      </c>
      <c r="H88" s="41">
        <f t="shared" si="31"/>
        <v>1700</v>
      </c>
    </row>
    <row r="89" spans="2:8">
      <c r="B89" s="39"/>
      <c r="C89" s="40"/>
      <c r="D89" s="40"/>
      <c r="E89" s="40"/>
      <c r="F89" s="40"/>
      <c r="G89" s="40"/>
      <c r="H89" s="41"/>
    </row>
    <row r="90" spans="2:8">
      <c r="B90" s="35" t="s">
        <v>41</v>
      </c>
      <c r="C90" s="36">
        <f t="shared" ref="C90:H90" si="32">+SUM(C78:C89)</f>
        <v>-4000</v>
      </c>
      <c r="D90" s="36">
        <f t="shared" si="32"/>
        <v>-1000</v>
      </c>
      <c r="E90" s="36">
        <f t="shared" si="32"/>
        <v>-700</v>
      </c>
      <c r="F90" s="36">
        <f t="shared" si="32"/>
        <v>5700</v>
      </c>
      <c r="G90" s="36">
        <f t="shared" si="32"/>
        <v>6800</v>
      </c>
      <c r="H90" s="37">
        <f t="shared" si="32"/>
        <v>-1460</v>
      </c>
    </row>
    <row r="91" spans="2:8" ht="45">
      <c r="B91" s="38" t="s">
        <v>47</v>
      </c>
      <c r="C91" s="119" t="str">
        <f>+C77</f>
        <v>JAN</v>
      </c>
      <c r="D91" s="119" t="str">
        <f>+D77</f>
        <v>FEV</v>
      </c>
      <c r="E91" s="119" t="str">
        <f>+E77</f>
        <v>MAR</v>
      </c>
      <c r="F91" s="119" t="str">
        <f>+F77</f>
        <v>ABR</v>
      </c>
      <c r="G91" s="119" t="s">
        <v>125</v>
      </c>
      <c r="H91" s="120" t="str">
        <f>+H77</f>
        <v>JUN</v>
      </c>
    </row>
    <row r="92" spans="2:8" ht="45">
      <c r="B92" s="39" t="s">
        <v>81</v>
      </c>
      <c r="C92" s="40">
        <f>-C8</f>
        <v>-8000</v>
      </c>
      <c r="D92" s="40">
        <f>+SUM(C8:C9)-SUM(D8:D9)</f>
        <v>-10000</v>
      </c>
      <c r="E92" s="40">
        <f>+SUM(D8:D9)-SUM(E8:E9)</f>
        <v>0</v>
      </c>
      <c r="F92" s="40">
        <v>-1000</v>
      </c>
      <c r="G92" s="40">
        <f>-G81</f>
        <v>2000</v>
      </c>
      <c r="H92" s="41">
        <f>+G9-H9</f>
        <v>-5000</v>
      </c>
    </row>
    <row r="93" spans="2:8" ht="45">
      <c r="B93" s="39" t="s">
        <v>139</v>
      </c>
      <c r="C93" s="40">
        <v>0</v>
      </c>
      <c r="D93" s="40">
        <v>0</v>
      </c>
      <c r="E93" s="40">
        <v>0</v>
      </c>
      <c r="F93" s="40">
        <v>0</v>
      </c>
      <c r="G93" s="40">
        <f>-'Exercício inicial - lançamentos'!S89</f>
        <v>8000</v>
      </c>
      <c r="H93" s="41">
        <v>0</v>
      </c>
    </row>
    <row r="94" spans="2:8">
      <c r="B94" s="39"/>
      <c r="C94" s="40"/>
      <c r="D94" s="40"/>
      <c r="E94" s="40"/>
      <c r="F94" s="40"/>
      <c r="G94" s="40"/>
      <c r="H94" s="41"/>
    </row>
    <row r="95" spans="2:8">
      <c r="B95" s="35" t="s">
        <v>41</v>
      </c>
      <c r="C95" s="36">
        <f t="shared" ref="C95:H95" si="33">+SUM(C92:C94)</f>
        <v>-8000</v>
      </c>
      <c r="D95" s="36">
        <f t="shared" si="33"/>
        <v>-10000</v>
      </c>
      <c r="E95" s="36">
        <f t="shared" si="33"/>
        <v>0</v>
      </c>
      <c r="F95" s="36">
        <f t="shared" si="33"/>
        <v>-1000</v>
      </c>
      <c r="G95" s="36">
        <f t="shared" si="33"/>
        <v>10000</v>
      </c>
      <c r="H95" s="37">
        <f t="shared" si="33"/>
        <v>-5000</v>
      </c>
    </row>
    <row r="96" spans="2:8" ht="60">
      <c r="B96" s="38" t="s">
        <v>48</v>
      </c>
      <c r="C96" s="125" t="str">
        <f>+C91</f>
        <v>JAN</v>
      </c>
      <c r="D96" s="125" t="str">
        <f>+D91</f>
        <v>FEV</v>
      </c>
      <c r="E96" s="125" t="str">
        <f>+E91</f>
        <v>MAR</v>
      </c>
      <c r="F96" s="125" t="str">
        <f>+F91</f>
        <v>ABR</v>
      </c>
      <c r="G96" s="125" t="s">
        <v>125</v>
      </c>
      <c r="H96" s="126" t="str">
        <f>+H91</f>
        <v>JUN</v>
      </c>
    </row>
    <row r="97" spans="2:8" ht="60">
      <c r="B97" s="39" t="s">
        <v>82</v>
      </c>
      <c r="C97" s="40">
        <f>+C18</f>
        <v>5000</v>
      </c>
      <c r="D97" s="40">
        <f>+D18-C18</f>
        <v>6500</v>
      </c>
      <c r="E97" s="40">
        <f>+E18-D18</f>
        <v>-500</v>
      </c>
      <c r="F97" s="40">
        <f>+F18-E18</f>
        <v>-4000</v>
      </c>
      <c r="G97" s="40">
        <v>0</v>
      </c>
      <c r="H97" s="41">
        <f>+H18-G18</f>
        <v>-7000</v>
      </c>
    </row>
    <row r="98" spans="2:8" ht="60">
      <c r="B98" s="39" t="s">
        <v>83</v>
      </c>
      <c r="C98" s="40">
        <f>+C20</f>
        <v>10000</v>
      </c>
      <c r="D98" s="40">
        <f>+D20-C20</f>
        <v>3000</v>
      </c>
      <c r="E98" s="40">
        <f>+E20-D20</f>
        <v>0</v>
      </c>
      <c r="F98" s="40">
        <f>+F20-E20</f>
        <v>0</v>
      </c>
      <c r="G98" s="40">
        <v>0</v>
      </c>
      <c r="H98" s="41">
        <v>0</v>
      </c>
    </row>
    <row r="99" spans="2:8" ht="45">
      <c r="B99" s="39" t="s">
        <v>71</v>
      </c>
      <c r="C99" s="40">
        <f>-C80</f>
        <v>0</v>
      </c>
      <c r="D99" s="40">
        <v>0</v>
      </c>
      <c r="E99" s="40">
        <f>-E80</f>
        <v>-200</v>
      </c>
      <c r="F99" s="40">
        <f>-F80</f>
        <v>-300</v>
      </c>
      <c r="G99" s="40">
        <f>-G80</f>
        <v>-200</v>
      </c>
      <c r="H99" s="41">
        <f>-H80</f>
        <v>-150</v>
      </c>
    </row>
    <row r="100" spans="2:8" ht="45">
      <c r="B100" s="39" t="s">
        <v>141</v>
      </c>
      <c r="C100" s="40">
        <v>0</v>
      </c>
      <c r="D100" s="40">
        <v>0</v>
      </c>
      <c r="E100" s="40">
        <v>0</v>
      </c>
      <c r="F100" s="40">
        <v>-300</v>
      </c>
      <c r="G100" s="40">
        <v>0</v>
      </c>
      <c r="H100" s="41">
        <f>+H68</f>
        <v>-2541</v>
      </c>
    </row>
    <row r="101" spans="2:8">
      <c r="B101" s="35" t="s">
        <v>41</v>
      </c>
      <c r="C101" s="36">
        <f t="shared" ref="C101:E101" si="34">+SUM(C97:C100)</f>
        <v>15000</v>
      </c>
      <c r="D101" s="36">
        <f t="shared" si="34"/>
        <v>9500</v>
      </c>
      <c r="E101" s="36">
        <f t="shared" si="34"/>
        <v>-700</v>
      </c>
      <c r="F101" s="36">
        <f>+SUM(F97:F100)</f>
        <v>-4600</v>
      </c>
      <c r="G101" s="36">
        <f>+SUM(G97:G100)</f>
        <v>-200</v>
      </c>
      <c r="H101" s="37">
        <f>+SUM(H97:H100)</f>
        <v>-9691</v>
      </c>
    </row>
    <row r="102" spans="2:8" ht="30">
      <c r="B102" s="44" t="s">
        <v>5</v>
      </c>
      <c r="C102" s="42">
        <f t="shared" ref="C102:H102" si="35">+C90+C95+C101</f>
        <v>3000</v>
      </c>
      <c r="D102" s="42">
        <f t="shared" si="35"/>
        <v>-1500</v>
      </c>
      <c r="E102" s="42">
        <f t="shared" si="35"/>
        <v>-1400</v>
      </c>
      <c r="F102" s="42">
        <f t="shared" si="35"/>
        <v>100</v>
      </c>
      <c r="G102" s="42">
        <f t="shared" si="35"/>
        <v>16600</v>
      </c>
      <c r="H102" s="43">
        <f t="shared" si="35"/>
        <v>-16151</v>
      </c>
    </row>
    <row r="104" spans="2:8" ht="45">
      <c r="B104" s="45" t="s">
        <v>9</v>
      </c>
      <c r="C104" s="46">
        <v>0</v>
      </c>
      <c r="D104" s="46">
        <f>+C105</f>
        <v>3000</v>
      </c>
      <c r="E104" s="46">
        <f t="shared" ref="E104" si="36">+D105</f>
        <v>1500</v>
      </c>
      <c r="F104" s="46">
        <f t="shared" ref="F104" si="37">+E105</f>
        <v>100</v>
      </c>
      <c r="G104" s="46">
        <f>+F105</f>
        <v>200</v>
      </c>
      <c r="H104" s="47">
        <f>+G105</f>
        <v>16800</v>
      </c>
    </row>
    <row r="105" spans="2:8" ht="45">
      <c r="B105" s="48" t="s">
        <v>10</v>
      </c>
      <c r="C105" s="40">
        <f>+C104+C102</f>
        <v>3000</v>
      </c>
      <c r="D105" s="40">
        <f t="shared" ref="D105:G105" si="38">+D104+D102</f>
        <v>1500</v>
      </c>
      <c r="E105" s="40">
        <f t="shared" si="38"/>
        <v>100</v>
      </c>
      <c r="F105" s="40">
        <f t="shared" si="38"/>
        <v>200</v>
      </c>
      <c r="G105" s="40">
        <f t="shared" si="38"/>
        <v>16800</v>
      </c>
      <c r="H105" s="41">
        <f t="shared" ref="H105" si="39">+H104+H102</f>
        <v>649</v>
      </c>
    </row>
    <row r="106" spans="2:8" ht="30">
      <c r="B106" s="49" t="s">
        <v>5</v>
      </c>
      <c r="C106" s="36">
        <f>+C105-C104</f>
        <v>3000</v>
      </c>
      <c r="D106" s="36">
        <f t="shared" ref="D106:G106" si="40">+D105-D104</f>
        <v>-1500</v>
      </c>
      <c r="E106" s="36">
        <f t="shared" si="40"/>
        <v>-1400</v>
      </c>
      <c r="F106" s="36">
        <f t="shared" si="40"/>
        <v>100</v>
      </c>
      <c r="G106" s="36">
        <f t="shared" si="40"/>
        <v>16600</v>
      </c>
      <c r="H106" s="37">
        <f t="shared" ref="H106" si="41">+H105-H104</f>
        <v>-16151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B2:R45"/>
  <sheetViews>
    <sheetView workbookViewId="0"/>
  </sheetViews>
  <sheetFormatPr defaultRowHeight="15"/>
  <sheetData>
    <row r="2" spans="2:18">
      <c r="B2" s="169" t="s">
        <v>0</v>
      </c>
      <c r="C2" s="170"/>
      <c r="D2" s="93" t="s">
        <v>99</v>
      </c>
      <c r="E2" s="93" t="s">
        <v>100</v>
      </c>
      <c r="F2" s="93" t="s">
        <v>101</v>
      </c>
      <c r="G2" s="94"/>
      <c r="I2" s="163" t="s">
        <v>113</v>
      </c>
      <c r="J2" s="164"/>
      <c r="K2" s="164"/>
      <c r="L2" s="164"/>
      <c r="M2" s="165"/>
    </row>
    <row r="3" spans="2:18" ht="30">
      <c r="B3" s="171" t="s">
        <v>1</v>
      </c>
      <c r="C3" s="95" t="s">
        <v>103</v>
      </c>
      <c r="D3" s="99">
        <v>0</v>
      </c>
      <c r="E3" s="99"/>
      <c r="F3" s="99">
        <v>0</v>
      </c>
      <c r="G3" s="97"/>
      <c r="I3" s="49" t="s">
        <v>112</v>
      </c>
      <c r="J3" s="36" t="s">
        <v>117</v>
      </c>
      <c r="K3" s="36" t="s">
        <v>114</v>
      </c>
      <c r="L3" s="36" t="s">
        <v>115</v>
      </c>
      <c r="M3" s="37" t="s">
        <v>116</v>
      </c>
      <c r="P3" s="108"/>
      <c r="Q3" s="108"/>
      <c r="R3" s="108"/>
    </row>
    <row r="4" spans="2:18" ht="75">
      <c r="B4" s="171"/>
      <c r="C4" s="95" t="s">
        <v>104</v>
      </c>
      <c r="D4" s="95">
        <v>200</v>
      </c>
      <c r="E4" s="96">
        <v>14</v>
      </c>
      <c r="F4" s="95">
        <f>+D4*E4</f>
        <v>2800</v>
      </c>
      <c r="G4" s="97"/>
      <c r="I4" s="143" t="s">
        <v>1</v>
      </c>
      <c r="J4" s="104" t="s">
        <v>119</v>
      </c>
      <c r="K4" s="104">
        <v>0</v>
      </c>
      <c r="L4" s="109">
        <v>0</v>
      </c>
      <c r="M4" s="110">
        <v>0</v>
      </c>
    </row>
    <row r="5" spans="2:18" ht="75">
      <c r="B5" s="171"/>
      <c r="C5" s="95" t="s">
        <v>105</v>
      </c>
      <c r="D5" s="95">
        <v>300</v>
      </c>
      <c r="E5" s="96">
        <v>18</v>
      </c>
      <c r="F5" s="95">
        <f>+D5*E5</f>
        <v>5400</v>
      </c>
      <c r="G5" s="98"/>
      <c r="I5" s="145"/>
      <c r="J5" s="22" t="s">
        <v>118</v>
      </c>
      <c r="K5" s="22">
        <v>200</v>
      </c>
      <c r="L5" s="106">
        <v>14</v>
      </c>
      <c r="M5" s="23">
        <f t="shared" ref="M5:M10" si="0">+K5*L5</f>
        <v>2800</v>
      </c>
    </row>
    <row r="6" spans="2:18">
      <c r="B6" s="171"/>
      <c r="C6" s="95" t="s">
        <v>102</v>
      </c>
      <c r="D6" s="99">
        <f>SUM(D4:D5)</f>
        <v>500</v>
      </c>
      <c r="E6" s="96"/>
      <c r="F6" s="99">
        <f>SUM(F4:F5)</f>
        <v>8200</v>
      </c>
      <c r="G6" s="100">
        <f>+F6/D6</f>
        <v>16</v>
      </c>
      <c r="I6" s="145"/>
      <c r="J6" s="22" t="s">
        <v>118</v>
      </c>
      <c r="K6" s="22">
        <f>+D5</f>
        <v>300</v>
      </c>
      <c r="L6" s="106">
        <f>+E5</f>
        <v>18</v>
      </c>
      <c r="M6" s="23">
        <f t="shared" si="0"/>
        <v>5400</v>
      </c>
    </row>
    <row r="7" spans="2:18" ht="105">
      <c r="B7" s="172"/>
      <c r="C7" s="168" t="s">
        <v>106</v>
      </c>
      <c r="D7" s="168"/>
      <c r="E7" s="168"/>
      <c r="F7" s="168"/>
      <c r="G7" s="101"/>
      <c r="I7" s="145"/>
      <c r="J7" s="22" t="s">
        <v>121</v>
      </c>
      <c r="K7" s="22">
        <v>-400</v>
      </c>
      <c r="L7" s="106">
        <f>SUM(M5:M6)/SUM(K5:K6)</f>
        <v>16</v>
      </c>
      <c r="M7" s="23">
        <f t="shared" si="0"/>
        <v>-6559</v>
      </c>
    </row>
    <row r="8" spans="2:18" ht="30">
      <c r="I8" s="144"/>
      <c r="J8" s="25" t="s">
        <v>120</v>
      </c>
      <c r="K8" s="25">
        <f>SUM(K5:K7)</f>
        <v>100</v>
      </c>
      <c r="L8" s="111">
        <f>+L7</f>
        <v>16</v>
      </c>
      <c r="M8" s="26">
        <f t="shared" si="0"/>
        <v>1639</v>
      </c>
    </row>
    <row r="9" spans="2:18" ht="30">
      <c r="B9" s="169" t="s">
        <v>0</v>
      </c>
      <c r="C9" s="170"/>
      <c r="D9" s="93" t="s">
        <v>99</v>
      </c>
      <c r="E9" s="93" t="s">
        <v>100</v>
      </c>
      <c r="F9" s="93" t="s">
        <v>101</v>
      </c>
      <c r="G9" s="94"/>
      <c r="I9" s="143" t="s">
        <v>2</v>
      </c>
      <c r="J9" s="104" t="s">
        <v>119</v>
      </c>
      <c r="K9" s="104">
        <f>+K8</f>
        <v>100</v>
      </c>
      <c r="L9" s="109">
        <f>+L8</f>
        <v>16</v>
      </c>
      <c r="M9" s="110">
        <f t="shared" si="0"/>
        <v>1639</v>
      </c>
    </row>
    <row r="10" spans="2:18" ht="30">
      <c r="B10" s="171" t="s">
        <v>2</v>
      </c>
      <c r="C10" s="95" t="s">
        <v>103</v>
      </c>
      <c r="D10" s="99">
        <v>100</v>
      </c>
      <c r="E10" s="99"/>
      <c r="F10" s="99">
        <v>0</v>
      </c>
      <c r="G10" s="97"/>
      <c r="I10" s="145"/>
      <c r="J10" s="22" t="s">
        <v>118</v>
      </c>
      <c r="K10" s="22">
        <v>300</v>
      </c>
      <c r="L10" s="106">
        <v>20</v>
      </c>
      <c r="M10" s="23">
        <f t="shared" si="0"/>
        <v>6000</v>
      </c>
    </row>
    <row r="11" spans="2:18" ht="75">
      <c r="B11" s="171"/>
      <c r="C11" s="95" t="s">
        <v>104</v>
      </c>
      <c r="D11" s="95">
        <v>300</v>
      </c>
      <c r="E11" s="96">
        <v>20</v>
      </c>
      <c r="F11" s="95">
        <f>+D11*E11</f>
        <v>6000</v>
      </c>
      <c r="G11" s="97"/>
      <c r="I11" s="145"/>
      <c r="J11" s="22" t="s">
        <v>102</v>
      </c>
      <c r="K11" s="22">
        <f>+SUM(K9:K10)</f>
        <v>400</v>
      </c>
      <c r="L11" s="106">
        <f>+M11/K11</f>
        <v>19</v>
      </c>
      <c r="M11" s="23">
        <f>SUM(M9:M10)</f>
        <v>7640</v>
      </c>
    </row>
    <row r="12" spans="2:18" ht="30">
      <c r="B12" s="171"/>
      <c r="C12" s="95"/>
      <c r="D12" s="95"/>
      <c r="E12" s="96"/>
      <c r="F12" s="95"/>
      <c r="G12" s="98"/>
      <c r="I12" s="145"/>
      <c r="J12" s="22" t="s">
        <v>121</v>
      </c>
      <c r="K12" s="22">
        <v>-400</v>
      </c>
      <c r="L12" s="106">
        <f>+L11</f>
        <v>19</v>
      </c>
      <c r="M12" s="23">
        <f>+K12*L12</f>
        <v>-7640</v>
      </c>
    </row>
    <row r="13" spans="2:18" ht="30">
      <c r="B13" s="171"/>
      <c r="C13" s="95"/>
      <c r="D13" s="99"/>
      <c r="E13" s="96"/>
      <c r="F13" s="99"/>
      <c r="G13" s="100"/>
      <c r="I13" s="144"/>
      <c r="J13" s="25" t="s">
        <v>120</v>
      </c>
      <c r="K13" s="25">
        <f>+K9+K10+K12</f>
        <v>0</v>
      </c>
      <c r="L13" s="111">
        <v>0</v>
      </c>
      <c r="M13" s="26">
        <f>+K13*L13</f>
        <v>0</v>
      </c>
    </row>
    <row r="14" spans="2:18" ht="105">
      <c r="B14" s="172"/>
      <c r="C14" s="168" t="s">
        <v>122</v>
      </c>
      <c r="D14" s="168"/>
      <c r="E14" s="168"/>
      <c r="F14" s="168"/>
      <c r="G14" s="101"/>
    </row>
    <row r="15" spans="2:18">
      <c r="I15" s="163" t="s">
        <v>110</v>
      </c>
      <c r="J15" s="164"/>
      <c r="K15" s="164"/>
      <c r="L15" s="164"/>
      <c r="M15" s="165"/>
    </row>
    <row r="16" spans="2:18" ht="30">
      <c r="I16" s="49" t="s">
        <v>112</v>
      </c>
      <c r="J16" s="36" t="s">
        <v>117</v>
      </c>
      <c r="K16" s="36" t="s">
        <v>114</v>
      </c>
      <c r="L16" s="36" t="s">
        <v>115</v>
      </c>
      <c r="M16" s="37" t="s">
        <v>116</v>
      </c>
    </row>
    <row r="17" spans="3:13" ht="30">
      <c r="I17" s="143" t="str">
        <f>+I4</f>
        <v>MÊS 1</v>
      </c>
      <c r="J17" s="59" t="s">
        <v>119</v>
      </c>
      <c r="K17" s="59">
        <v>0</v>
      </c>
      <c r="L17" s="105">
        <v>0</v>
      </c>
      <c r="M17" s="60">
        <v>0</v>
      </c>
    </row>
    <row r="18" spans="3:13" ht="60">
      <c r="C18" s="87" t="s">
        <v>108</v>
      </c>
      <c r="D18" s="88" t="s">
        <v>107</v>
      </c>
      <c r="E18" s="88" t="s">
        <v>123</v>
      </c>
      <c r="F18" s="88" t="s">
        <v>41</v>
      </c>
      <c r="G18" s="47"/>
      <c r="I18" s="145"/>
      <c r="J18" s="59" t="s">
        <v>118</v>
      </c>
      <c r="K18" s="59">
        <v>200</v>
      </c>
      <c r="L18" s="105">
        <v>14</v>
      </c>
      <c r="M18" s="60">
        <f t="shared" ref="M18:M29" si="1">+K18*L18</f>
        <v>2800</v>
      </c>
    </row>
    <row r="19" spans="3:13" ht="30">
      <c r="C19" s="103" t="s">
        <v>13</v>
      </c>
      <c r="D19" s="104">
        <f>400*20</f>
        <v>8000</v>
      </c>
      <c r="E19" s="104">
        <f>400*25</f>
        <v>10000</v>
      </c>
      <c r="F19" s="104">
        <f>SUM(D19:E19)</f>
        <v>18000</v>
      </c>
      <c r="G19" s="60"/>
      <c r="I19" s="145"/>
      <c r="J19" s="63" t="s">
        <v>118</v>
      </c>
      <c r="K19" s="63">
        <v>300</v>
      </c>
      <c r="L19" s="107">
        <v>18</v>
      </c>
      <c r="M19" s="64">
        <f t="shared" si="1"/>
        <v>5400</v>
      </c>
    </row>
    <row r="20" spans="3:13" ht="30">
      <c r="C20" s="34" t="s">
        <v>14</v>
      </c>
      <c r="D20" s="22">
        <f>-G6*400</f>
        <v>-6559</v>
      </c>
      <c r="E20" s="22">
        <f>+M12</f>
        <v>-7640</v>
      </c>
      <c r="F20" s="22">
        <f>SUM(D20:E20)</f>
        <v>-14200</v>
      </c>
      <c r="G20" s="23"/>
      <c r="I20" s="145"/>
      <c r="J20" s="59" t="s">
        <v>121</v>
      </c>
      <c r="K20" s="59">
        <v>-200</v>
      </c>
      <c r="L20" s="105">
        <f>+L18</f>
        <v>14</v>
      </c>
      <c r="M20" s="60">
        <f t="shared" si="1"/>
        <v>-2800</v>
      </c>
    </row>
    <row r="21" spans="3:13" ht="30">
      <c r="C21" s="77" t="s">
        <v>55</v>
      </c>
      <c r="D21" s="25">
        <f>SUM(D19:D20)</f>
        <v>1440</v>
      </c>
      <c r="E21" s="25">
        <f>SUM(E19:E20)</f>
        <v>2359</v>
      </c>
      <c r="F21" s="25">
        <f>SUM(F19:F20)</f>
        <v>3800</v>
      </c>
      <c r="G21" s="64"/>
      <c r="I21" s="145"/>
      <c r="J21" s="63" t="s">
        <v>121</v>
      </c>
      <c r="K21" s="63">
        <v>-200</v>
      </c>
      <c r="L21" s="107">
        <f>+L19</f>
        <v>18</v>
      </c>
      <c r="M21" s="64">
        <f t="shared" si="1"/>
        <v>-3600</v>
      </c>
    </row>
    <row r="22" spans="3:13" ht="30">
      <c r="C22" s="77" t="s">
        <v>109</v>
      </c>
      <c r="D22" s="25">
        <f>+G6*100</f>
        <v>1639</v>
      </c>
      <c r="E22" s="25">
        <f>+M13</f>
        <v>0</v>
      </c>
      <c r="F22" s="63"/>
      <c r="G22" s="64"/>
      <c r="I22" s="144"/>
      <c r="J22" s="80" t="s">
        <v>120</v>
      </c>
      <c r="K22" s="80">
        <v>100</v>
      </c>
      <c r="L22" s="113">
        <v>18</v>
      </c>
      <c r="M22" s="81">
        <f t="shared" si="1"/>
        <v>1800</v>
      </c>
    </row>
    <row r="23" spans="3:13" ht="30">
      <c r="C23" s="102"/>
      <c r="I23" s="84" t="str">
        <f>+I9</f>
        <v>MÊS 2</v>
      </c>
      <c r="J23" s="104" t="s">
        <v>119</v>
      </c>
      <c r="K23" s="104">
        <f>+K22</f>
        <v>100</v>
      </c>
      <c r="L23" s="109">
        <f>+L22</f>
        <v>18</v>
      </c>
      <c r="M23" s="81">
        <f t="shared" si="1"/>
        <v>1800</v>
      </c>
    </row>
    <row r="24" spans="3:13">
      <c r="C24" s="87" t="s">
        <v>110</v>
      </c>
      <c r="D24" s="88" t="str">
        <f>+D18</f>
        <v>Mês 1</v>
      </c>
      <c r="E24" s="88" t="str">
        <f>+E18</f>
        <v>Mês 2</v>
      </c>
      <c r="F24" s="88" t="s">
        <v>41</v>
      </c>
      <c r="G24" s="47"/>
      <c r="I24" s="86"/>
      <c r="J24" s="67" t="s">
        <v>118</v>
      </c>
      <c r="K24" s="67">
        <v>300</v>
      </c>
      <c r="L24" s="112">
        <v>20</v>
      </c>
      <c r="M24" s="68">
        <f t="shared" si="1"/>
        <v>6000</v>
      </c>
    </row>
    <row r="25" spans="3:13" ht="30">
      <c r="C25" s="103" t="s">
        <v>13</v>
      </c>
      <c r="D25" s="104">
        <f>400*20</f>
        <v>8000</v>
      </c>
      <c r="E25" s="104">
        <f>400*25</f>
        <v>10000</v>
      </c>
      <c r="F25" s="104">
        <f>SUM(D25:E25)</f>
        <v>18000</v>
      </c>
      <c r="G25" s="60"/>
      <c r="I25" s="86"/>
      <c r="J25" s="22" t="s">
        <v>102</v>
      </c>
      <c r="K25" s="22">
        <f>+K23</f>
        <v>100</v>
      </c>
      <c r="L25" s="106">
        <f>+L23</f>
        <v>18</v>
      </c>
      <c r="M25" s="60">
        <f t="shared" si="1"/>
        <v>1800</v>
      </c>
    </row>
    <row r="26" spans="3:13">
      <c r="C26" s="34" t="s">
        <v>14</v>
      </c>
      <c r="D26" s="22">
        <f>-(D4*E4+200*E5)</f>
        <v>-6400</v>
      </c>
      <c r="E26" s="22">
        <f>+SUM(M27:M28)</f>
        <v>-7800</v>
      </c>
      <c r="F26" s="22">
        <f>SUM(D26:E26)</f>
        <v>-14200</v>
      </c>
      <c r="G26" s="23"/>
      <c r="I26" s="86"/>
      <c r="J26" s="63"/>
      <c r="K26" s="63">
        <f>+K24</f>
        <v>300</v>
      </c>
      <c r="L26" s="107">
        <f>+L24</f>
        <v>20</v>
      </c>
      <c r="M26" s="64">
        <f t="shared" si="1"/>
        <v>6000</v>
      </c>
    </row>
    <row r="27" spans="3:13" ht="30">
      <c r="C27" s="77" t="s">
        <v>55</v>
      </c>
      <c r="D27" s="25">
        <f>SUM(D25:D26)</f>
        <v>1600</v>
      </c>
      <c r="E27" s="25">
        <f>SUM(E25:E26)</f>
        <v>2200</v>
      </c>
      <c r="F27" s="25">
        <f>SUM(F25:F26)</f>
        <v>3800</v>
      </c>
      <c r="G27" s="64"/>
      <c r="I27" s="86"/>
      <c r="J27" s="166" t="s">
        <v>124</v>
      </c>
      <c r="K27" s="59">
        <v>-100</v>
      </c>
      <c r="L27" s="105">
        <v>18</v>
      </c>
      <c r="M27" s="60">
        <f t="shared" si="1"/>
        <v>-1800</v>
      </c>
    </row>
    <row r="28" spans="3:13" ht="30">
      <c r="C28" s="77" t="s">
        <v>109</v>
      </c>
      <c r="D28" s="25">
        <f>100*E5</f>
        <v>1800</v>
      </c>
      <c r="E28" s="63">
        <v>0</v>
      </c>
      <c r="F28" s="63"/>
      <c r="G28" s="64"/>
      <c r="I28" s="86"/>
      <c r="J28" s="167"/>
      <c r="K28" s="63">
        <v>-300</v>
      </c>
      <c r="L28" s="107">
        <v>20</v>
      </c>
      <c r="M28" s="64">
        <f t="shared" si="1"/>
        <v>-6000</v>
      </c>
    </row>
    <row r="29" spans="3:13" ht="30">
      <c r="I29" s="85"/>
      <c r="J29" s="25" t="s">
        <v>120</v>
      </c>
      <c r="K29" s="25">
        <v>0</v>
      </c>
      <c r="L29" s="111">
        <v>0</v>
      </c>
      <c r="M29" s="26">
        <f t="shared" si="1"/>
        <v>0</v>
      </c>
    </row>
    <row r="30" spans="3:13">
      <c r="C30" s="87" t="s">
        <v>111</v>
      </c>
      <c r="D30" s="88" t="str">
        <f>+D24</f>
        <v>Mês 1</v>
      </c>
      <c r="E30" s="88" t="str">
        <f>+E24</f>
        <v>Mês 2</v>
      </c>
      <c r="F30" s="88" t="s">
        <v>41</v>
      </c>
      <c r="G30" s="47"/>
    </row>
    <row r="31" spans="3:13" ht="30">
      <c r="C31" s="103" t="s">
        <v>13</v>
      </c>
      <c r="D31" s="104">
        <f>400*20</f>
        <v>8000</v>
      </c>
      <c r="E31" s="104">
        <f>+E25</f>
        <v>10000</v>
      </c>
      <c r="F31" s="104">
        <f>SUM(D31:E31)</f>
        <v>18000</v>
      </c>
      <c r="G31" s="60"/>
      <c r="I31" s="163" t="s">
        <v>111</v>
      </c>
      <c r="J31" s="164"/>
      <c r="K31" s="164"/>
      <c r="L31" s="164"/>
      <c r="M31" s="165"/>
    </row>
    <row r="32" spans="3:13" ht="30">
      <c r="C32" s="34" t="s">
        <v>14</v>
      </c>
      <c r="D32" s="22">
        <f>-(D5*E5+100*E4)</f>
        <v>-6800</v>
      </c>
      <c r="E32" s="22">
        <f>+SUM(M43:M44)</f>
        <v>-7400</v>
      </c>
      <c r="F32" s="22">
        <f>SUM(D32:E32)</f>
        <v>-14200</v>
      </c>
      <c r="G32" s="23"/>
      <c r="I32" s="49" t="s">
        <v>112</v>
      </c>
      <c r="J32" s="36" t="s">
        <v>117</v>
      </c>
      <c r="K32" s="36" t="s">
        <v>114</v>
      </c>
      <c r="L32" s="36" t="s">
        <v>115</v>
      </c>
      <c r="M32" s="37" t="s">
        <v>116</v>
      </c>
    </row>
    <row r="33" spans="3:13" ht="30">
      <c r="C33" s="77" t="s">
        <v>55</v>
      </c>
      <c r="D33" s="25">
        <f>SUM(D31:D32)</f>
        <v>1200</v>
      </c>
      <c r="E33" s="25">
        <f>SUM(E31:E32)</f>
        <v>2600</v>
      </c>
      <c r="F33" s="25">
        <f>SUM(F31:F32)</f>
        <v>3800</v>
      </c>
      <c r="G33" s="64"/>
      <c r="I33" s="143" t="str">
        <f>+I17</f>
        <v>MÊS 1</v>
      </c>
      <c r="J33" s="59" t="s">
        <v>119</v>
      </c>
      <c r="K33" s="59">
        <v>0</v>
      </c>
      <c r="L33" s="105">
        <v>0</v>
      </c>
      <c r="M33" s="60">
        <v>0</v>
      </c>
    </row>
    <row r="34" spans="3:13" ht="30">
      <c r="C34" s="77" t="s">
        <v>109</v>
      </c>
      <c r="D34" s="25">
        <f>100*E4</f>
        <v>1400</v>
      </c>
      <c r="E34" s="25">
        <v>0</v>
      </c>
      <c r="F34" s="63"/>
      <c r="G34" s="64"/>
      <c r="I34" s="145"/>
      <c r="J34" s="59" t="s">
        <v>118</v>
      </c>
      <c r="K34" s="59">
        <v>200</v>
      </c>
      <c r="L34" s="105">
        <v>14</v>
      </c>
      <c r="M34" s="60">
        <f t="shared" ref="M34:M45" si="2">+K34*L34</f>
        <v>2800</v>
      </c>
    </row>
    <row r="35" spans="3:13">
      <c r="I35" s="145"/>
      <c r="J35" s="63" t="s">
        <v>118</v>
      </c>
      <c r="K35" s="63">
        <v>300</v>
      </c>
      <c r="L35" s="107">
        <v>18</v>
      </c>
      <c r="M35" s="64">
        <f t="shared" si="2"/>
        <v>5400</v>
      </c>
    </row>
    <row r="36" spans="3:13" ht="30">
      <c r="I36" s="145"/>
      <c r="J36" s="59" t="s">
        <v>121</v>
      </c>
      <c r="K36" s="59">
        <v>-300</v>
      </c>
      <c r="L36" s="105">
        <v>18</v>
      </c>
      <c r="M36" s="60">
        <f t="shared" si="2"/>
        <v>-5400</v>
      </c>
    </row>
    <row r="37" spans="3:13" ht="30">
      <c r="I37" s="145"/>
      <c r="J37" s="63" t="s">
        <v>121</v>
      </c>
      <c r="K37" s="63">
        <v>-100</v>
      </c>
      <c r="L37" s="107">
        <v>14</v>
      </c>
      <c r="M37" s="64">
        <f t="shared" si="2"/>
        <v>-1400</v>
      </c>
    </row>
    <row r="38" spans="3:13" ht="30">
      <c r="I38" s="145"/>
      <c r="J38" s="104" t="s">
        <v>120</v>
      </c>
      <c r="K38" s="104">
        <v>100</v>
      </c>
      <c r="L38" s="109">
        <v>14</v>
      </c>
      <c r="M38" s="110">
        <f t="shared" si="2"/>
        <v>1400</v>
      </c>
    </row>
    <row r="39" spans="3:13" ht="30">
      <c r="I39" s="143" t="str">
        <f>+I23</f>
        <v>MÊS 2</v>
      </c>
      <c r="J39" s="80" t="s">
        <v>119</v>
      </c>
      <c r="K39" s="80">
        <f>+K38</f>
        <v>100</v>
      </c>
      <c r="L39" s="113">
        <f>+L38</f>
        <v>14</v>
      </c>
      <c r="M39" s="81">
        <f t="shared" si="2"/>
        <v>1400</v>
      </c>
    </row>
    <row r="40" spans="3:13">
      <c r="I40" s="145"/>
      <c r="J40" s="67" t="s">
        <v>118</v>
      </c>
      <c r="K40" s="67">
        <v>300</v>
      </c>
      <c r="L40" s="112">
        <v>20</v>
      </c>
      <c r="M40" s="68">
        <f t="shared" si="2"/>
        <v>6000</v>
      </c>
    </row>
    <row r="41" spans="3:13">
      <c r="I41" s="145"/>
      <c r="J41" s="22" t="s">
        <v>102</v>
      </c>
      <c r="K41" s="22">
        <f>+K39</f>
        <v>100</v>
      </c>
      <c r="L41" s="106">
        <f>+L39</f>
        <v>14</v>
      </c>
      <c r="M41" s="23">
        <f t="shared" si="2"/>
        <v>1400</v>
      </c>
    </row>
    <row r="42" spans="3:13">
      <c r="I42" s="145"/>
      <c r="J42" s="63"/>
      <c r="K42" s="63">
        <f>+K40</f>
        <v>300</v>
      </c>
      <c r="L42" s="107">
        <f>+L40</f>
        <v>20</v>
      </c>
      <c r="M42" s="64">
        <f t="shared" si="2"/>
        <v>6000</v>
      </c>
    </row>
    <row r="43" spans="3:13" ht="30">
      <c r="I43" s="145"/>
      <c r="J43" s="59" t="s">
        <v>121</v>
      </c>
      <c r="K43" s="22">
        <f>-K42</f>
        <v>-300</v>
      </c>
      <c r="L43" s="106">
        <f>+L42</f>
        <v>20</v>
      </c>
      <c r="M43" s="23">
        <f t="shared" si="2"/>
        <v>-6000</v>
      </c>
    </row>
    <row r="44" spans="3:13" ht="30">
      <c r="I44" s="145"/>
      <c r="J44" s="63" t="s">
        <v>121</v>
      </c>
      <c r="K44" s="63">
        <f>-K41</f>
        <v>-100</v>
      </c>
      <c r="L44" s="107">
        <f>+L41</f>
        <v>14</v>
      </c>
      <c r="M44" s="64">
        <f t="shared" si="2"/>
        <v>-1400</v>
      </c>
    </row>
    <row r="45" spans="3:13" ht="30">
      <c r="I45" s="144"/>
      <c r="J45" s="25" t="s">
        <v>120</v>
      </c>
      <c r="K45" s="25">
        <v>0</v>
      </c>
      <c r="L45" s="111">
        <v>0</v>
      </c>
      <c r="M45" s="26">
        <f t="shared" si="2"/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B2:S145"/>
  <sheetViews>
    <sheetView workbookViewId="0"/>
  </sheetViews>
  <sheetFormatPr defaultRowHeight="15"/>
  <sheetData>
    <row r="2" spans="2:16" ht="42">
      <c r="C2" s="149" t="s">
        <v>148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1"/>
    </row>
    <row r="3" spans="2:16" ht="30">
      <c r="C3" s="27"/>
      <c r="D3" s="146" t="s">
        <v>19</v>
      </c>
      <c r="E3" s="147"/>
      <c r="F3" s="147"/>
      <c r="G3" s="147"/>
      <c r="H3" s="147"/>
      <c r="I3" s="148"/>
      <c r="J3" s="146" t="s">
        <v>33</v>
      </c>
      <c r="K3" s="147"/>
      <c r="L3" s="147"/>
      <c r="M3" s="147"/>
      <c r="N3" s="147"/>
      <c r="O3" s="147"/>
      <c r="P3" s="148"/>
    </row>
    <row r="4" spans="2:16" ht="25.5">
      <c r="C4" s="28"/>
      <c r="D4" s="28" t="s">
        <v>28</v>
      </c>
      <c r="E4" s="29"/>
      <c r="F4" s="29" t="s">
        <v>29</v>
      </c>
      <c r="G4" s="29" t="s">
        <v>30</v>
      </c>
      <c r="H4" s="29"/>
      <c r="I4" s="30"/>
      <c r="J4" s="28" t="s">
        <v>36</v>
      </c>
      <c r="K4" s="29" t="s">
        <v>37</v>
      </c>
      <c r="L4" s="29" t="s">
        <v>31</v>
      </c>
      <c r="M4" s="29" t="s">
        <v>32</v>
      </c>
      <c r="N4" s="29"/>
      <c r="O4" s="29"/>
      <c r="P4" s="30"/>
    </row>
    <row r="5" spans="2:16">
      <c r="C5" s="2" t="s">
        <v>34</v>
      </c>
      <c r="D5" s="18"/>
      <c r="E5" s="19"/>
      <c r="F5" s="19"/>
      <c r="G5" s="19"/>
      <c r="H5" s="19"/>
      <c r="I5" s="20"/>
      <c r="J5" s="18"/>
      <c r="K5" s="19"/>
      <c r="L5" s="19"/>
      <c r="M5" s="19"/>
      <c r="N5" s="19"/>
      <c r="O5" s="19"/>
      <c r="P5" s="20"/>
    </row>
    <row r="6" spans="2:16">
      <c r="C6" s="3">
        <v>1</v>
      </c>
      <c r="D6" s="133"/>
      <c r="E6" s="22"/>
      <c r="F6" s="22"/>
      <c r="G6" s="22"/>
      <c r="H6" s="22"/>
      <c r="I6" s="23"/>
      <c r="J6" s="133"/>
      <c r="K6" s="22"/>
      <c r="L6" s="22"/>
      <c r="M6" s="22"/>
      <c r="N6" s="22"/>
      <c r="O6" s="22"/>
      <c r="P6" s="23"/>
    </row>
    <row r="7" spans="2:16">
      <c r="C7" s="3">
        <v>2</v>
      </c>
      <c r="D7" s="133"/>
      <c r="E7" s="22"/>
      <c r="F7" s="22"/>
      <c r="G7" s="22"/>
      <c r="H7" s="22"/>
      <c r="I7" s="23"/>
      <c r="J7" s="133"/>
      <c r="K7" s="22"/>
      <c r="L7" s="22"/>
      <c r="M7" s="22"/>
      <c r="N7" s="22"/>
      <c r="O7" s="22"/>
      <c r="P7" s="23"/>
    </row>
    <row r="8" spans="2:16">
      <c r="C8" s="3">
        <v>3</v>
      </c>
      <c r="D8" s="133"/>
      <c r="E8" s="22"/>
      <c r="F8" s="22"/>
      <c r="G8" s="22"/>
      <c r="H8" s="22"/>
      <c r="I8" s="23"/>
      <c r="J8" s="133"/>
      <c r="K8" s="22"/>
      <c r="L8" s="22"/>
      <c r="M8" s="22"/>
      <c r="N8" s="22"/>
      <c r="O8" s="22"/>
      <c r="P8" s="23"/>
    </row>
    <row r="9" spans="2:16">
      <c r="C9" s="3">
        <v>4</v>
      </c>
      <c r="D9" s="133"/>
      <c r="E9" s="22"/>
      <c r="F9" s="22"/>
      <c r="G9" s="22"/>
      <c r="H9" s="22"/>
      <c r="I9" s="23"/>
      <c r="J9" s="133"/>
      <c r="K9" s="22"/>
      <c r="L9" s="22"/>
      <c r="M9" s="22"/>
      <c r="N9" s="22"/>
      <c r="O9" s="22"/>
      <c r="P9" s="23"/>
    </row>
    <row r="10" spans="2:16">
      <c r="C10" s="3">
        <v>5</v>
      </c>
      <c r="D10" s="133"/>
      <c r="E10" s="22"/>
      <c r="F10" s="22"/>
      <c r="G10" s="22"/>
      <c r="H10" s="22"/>
      <c r="I10" s="23"/>
      <c r="J10" s="133"/>
      <c r="K10" s="22"/>
      <c r="L10" s="22"/>
      <c r="M10" s="22"/>
      <c r="N10" s="22"/>
      <c r="O10" s="22"/>
      <c r="P10" s="23"/>
    </row>
    <row r="11" spans="2:16">
      <c r="C11" s="3"/>
      <c r="D11" s="133"/>
      <c r="E11" s="22"/>
      <c r="F11" s="22"/>
      <c r="G11" s="22"/>
      <c r="H11" s="22"/>
      <c r="I11" s="23"/>
      <c r="J11" s="133"/>
      <c r="K11" s="22"/>
      <c r="L11" s="22"/>
      <c r="M11" s="22"/>
      <c r="N11" s="22"/>
      <c r="O11" s="22"/>
      <c r="P11" s="23"/>
    </row>
    <row r="12" spans="2:16">
      <c r="C12" s="3"/>
      <c r="D12" s="133"/>
      <c r="E12" s="22"/>
      <c r="F12" s="22"/>
      <c r="G12" s="22"/>
      <c r="H12" s="22"/>
      <c r="I12" s="23"/>
      <c r="J12" s="133"/>
      <c r="K12" s="22"/>
      <c r="L12" s="22"/>
      <c r="M12" s="22"/>
      <c r="N12" s="22"/>
      <c r="O12" s="22"/>
      <c r="P12" s="23"/>
    </row>
    <row r="13" spans="2:16">
      <c r="C13" s="2" t="s">
        <v>35</v>
      </c>
      <c r="D13" s="24">
        <f>SUM(D5:D12)</f>
        <v>0</v>
      </c>
      <c r="E13" s="25"/>
      <c r="F13" s="25">
        <f t="shared" ref="F13:P13" si="0">SUM(F5:F12)</f>
        <v>0</v>
      </c>
      <c r="G13" s="25">
        <f t="shared" si="0"/>
        <v>0</v>
      </c>
      <c r="H13" s="25">
        <f t="shared" si="0"/>
        <v>0</v>
      </c>
      <c r="I13" s="26">
        <f t="shared" si="0"/>
        <v>0</v>
      </c>
      <c r="J13" s="24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0</v>
      </c>
      <c r="N13" s="25">
        <f t="shared" si="0"/>
        <v>0</v>
      </c>
      <c r="O13" s="25">
        <f t="shared" si="0"/>
        <v>0</v>
      </c>
      <c r="P13" s="26">
        <f t="shared" si="0"/>
        <v>0</v>
      </c>
    </row>
    <row r="16" spans="2:16" ht="42">
      <c r="B16" s="149" t="s">
        <v>38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1"/>
    </row>
    <row r="17" spans="2:15" ht="30">
      <c r="B17" s="27"/>
      <c r="C17" s="146" t="s">
        <v>19</v>
      </c>
      <c r="D17" s="147"/>
      <c r="E17" s="147"/>
      <c r="F17" s="147"/>
      <c r="G17" s="147"/>
      <c r="H17" s="148"/>
      <c r="I17" s="146" t="s">
        <v>33</v>
      </c>
      <c r="J17" s="147"/>
      <c r="K17" s="147"/>
      <c r="L17" s="147"/>
      <c r="M17" s="147"/>
      <c r="N17" s="147"/>
      <c r="O17" s="148"/>
    </row>
    <row r="18" spans="2:15" ht="25.5">
      <c r="B18" s="28"/>
      <c r="C18" s="28" t="s">
        <v>28</v>
      </c>
      <c r="D18" s="29"/>
      <c r="E18" s="29" t="s">
        <v>29</v>
      </c>
      <c r="F18" s="29" t="s">
        <v>30</v>
      </c>
      <c r="G18" s="29"/>
      <c r="H18" s="30"/>
      <c r="I18" s="28" t="s">
        <v>36</v>
      </c>
      <c r="J18" s="29" t="s">
        <v>37</v>
      </c>
      <c r="K18" s="29" t="s">
        <v>31</v>
      </c>
      <c r="L18" s="29" t="s">
        <v>32</v>
      </c>
      <c r="M18" s="29"/>
      <c r="N18" s="29"/>
      <c r="O18" s="30"/>
    </row>
    <row r="19" spans="2:15">
      <c r="B19" s="2" t="s">
        <v>34</v>
      </c>
      <c r="C19" s="18">
        <v>3000</v>
      </c>
      <c r="D19" s="19"/>
      <c r="E19" s="19">
        <v>4000</v>
      </c>
      <c r="F19" s="19">
        <v>8000</v>
      </c>
      <c r="G19" s="19"/>
      <c r="H19" s="20"/>
      <c r="I19" s="18"/>
      <c r="J19" s="19"/>
      <c r="K19" s="19">
        <v>5000</v>
      </c>
      <c r="L19" s="19">
        <v>10000</v>
      </c>
      <c r="M19" s="19"/>
      <c r="N19" s="19"/>
      <c r="O19" s="20"/>
    </row>
    <row r="20" spans="2:15">
      <c r="B20" s="3">
        <v>1</v>
      </c>
      <c r="C20" s="133">
        <v>8000</v>
      </c>
      <c r="D20" s="22"/>
      <c r="E20" s="22"/>
      <c r="F20" s="22"/>
      <c r="G20" s="22"/>
      <c r="H20" s="23"/>
      <c r="I20" s="133"/>
      <c r="J20" s="22"/>
      <c r="K20" s="22">
        <v>8000</v>
      </c>
      <c r="L20" s="22"/>
      <c r="M20" s="22"/>
      <c r="N20" s="22"/>
      <c r="O20" s="23"/>
    </row>
    <row r="21" spans="2:15">
      <c r="B21" s="3">
        <v>2</v>
      </c>
      <c r="C21" s="133">
        <v>-3000</v>
      </c>
      <c r="D21" s="22"/>
      <c r="E21" s="22">
        <v>20000</v>
      </c>
      <c r="F21" s="22"/>
      <c r="G21" s="22"/>
      <c r="H21" s="23"/>
      <c r="I21" s="133">
        <v>17000</v>
      </c>
      <c r="J21" s="22"/>
      <c r="K21" s="22"/>
      <c r="L21" s="22"/>
      <c r="M21" s="22"/>
      <c r="N21" s="22"/>
      <c r="O21" s="23"/>
    </row>
    <row r="22" spans="2:15">
      <c r="B22" s="3">
        <v>3</v>
      </c>
      <c r="C22" s="133">
        <v>-8000</v>
      </c>
      <c r="D22" s="22"/>
      <c r="E22" s="22"/>
      <c r="F22" s="22">
        <v>10000</v>
      </c>
      <c r="G22" s="22"/>
      <c r="H22" s="23"/>
      <c r="I22" s="133"/>
      <c r="J22" s="22">
        <v>2000</v>
      </c>
      <c r="K22" s="22"/>
      <c r="L22" s="22"/>
      <c r="M22" s="22"/>
      <c r="N22" s="22"/>
      <c r="O22" s="23"/>
    </row>
    <row r="23" spans="2:15">
      <c r="B23" s="3">
        <v>4</v>
      </c>
      <c r="C23" s="133">
        <v>-1500</v>
      </c>
      <c r="D23" s="22"/>
      <c r="E23" s="22"/>
      <c r="F23" s="22"/>
      <c r="G23" s="22"/>
      <c r="H23" s="23"/>
      <c r="I23" s="133"/>
      <c r="J23" s="22"/>
      <c r="K23" s="22">
        <v>-1500</v>
      </c>
      <c r="L23" s="22"/>
      <c r="M23" s="22"/>
      <c r="N23" s="22"/>
      <c r="O23" s="23"/>
    </row>
    <row r="24" spans="2:15">
      <c r="B24" s="3">
        <v>5</v>
      </c>
      <c r="C24" s="133">
        <v>3000</v>
      </c>
      <c r="D24" s="22"/>
      <c r="E24" s="22"/>
      <c r="F24" s="22"/>
      <c r="G24" s="22"/>
      <c r="H24" s="23"/>
      <c r="I24" s="133"/>
      <c r="J24" s="22"/>
      <c r="K24" s="22"/>
      <c r="L24" s="22">
        <v>3000</v>
      </c>
      <c r="M24" s="22"/>
      <c r="N24" s="22"/>
      <c r="O24" s="23"/>
    </row>
    <row r="25" spans="2:15">
      <c r="B25" s="3"/>
      <c r="C25" s="133"/>
      <c r="D25" s="22"/>
      <c r="E25" s="22"/>
      <c r="F25" s="22"/>
      <c r="G25" s="22"/>
      <c r="H25" s="23"/>
      <c r="I25" s="133"/>
      <c r="J25" s="22"/>
      <c r="K25" s="22"/>
      <c r="L25" s="22"/>
      <c r="M25" s="22"/>
      <c r="N25" s="22"/>
      <c r="O25" s="23"/>
    </row>
    <row r="26" spans="2:15">
      <c r="B26" s="3"/>
      <c r="C26" s="133"/>
      <c r="D26" s="22"/>
      <c r="E26" s="22"/>
      <c r="F26" s="22"/>
      <c r="G26" s="22"/>
      <c r="H26" s="23"/>
      <c r="I26" s="133"/>
      <c r="J26" s="22"/>
      <c r="K26" s="22"/>
      <c r="L26" s="22"/>
      <c r="M26" s="22"/>
      <c r="N26" s="22"/>
      <c r="O26" s="23"/>
    </row>
    <row r="27" spans="2:15">
      <c r="B27" s="2" t="s">
        <v>35</v>
      </c>
      <c r="C27" s="24">
        <f>SUM(C19:C26)</f>
        <v>1500</v>
      </c>
      <c r="D27" s="25"/>
      <c r="E27" s="25">
        <f t="shared" ref="E27:O27" si="1">SUM(E19:E26)</f>
        <v>24000</v>
      </c>
      <c r="F27" s="25">
        <f t="shared" si="1"/>
        <v>18000</v>
      </c>
      <c r="G27" s="25">
        <f t="shared" si="1"/>
        <v>0</v>
      </c>
      <c r="H27" s="26">
        <f t="shared" si="1"/>
        <v>0</v>
      </c>
      <c r="I27" s="24">
        <f t="shared" si="1"/>
        <v>17000</v>
      </c>
      <c r="J27" s="25">
        <f t="shared" si="1"/>
        <v>2000</v>
      </c>
      <c r="K27" s="25">
        <f t="shared" si="1"/>
        <v>11500</v>
      </c>
      <c r="L27" s="25">
        <f t="shared" si="1"/>
        <v>13000</v>
      </c>
      <c r="M27" s="25">
        <f t="shared" si="1"/>
        <v>0</v>
      </c>
      <c r="N27" s="25">
        <f t="shared" si="1"/>
        <v>0</v>
      </c>
      <c r="O27" s="26">
        <f t="shared" si="1"/>
        <v>0</v>
      </c>
    </row>
    <row r="30" spans="2:15">
      <c r="C30" s="1" t="s">
        <v>19</v>
      </c>
      <c r="E30" s="1">
        <f>+SUM(C27:H27)</f>
        <v>43500</v>
      </c>
    </row>
    <row r="31" spans="2:15">
      <c r="C31" s="1" t="s">
        <v>20</v>
      </c>
      <c r="E31" s="1">
        <f>+SUM(I27:O27)</f>
        <v>43500</v>
      </c>
    </row>
    <row r="34" spans="2:15" ht="42">
      <c r="B34" s="149" t="s">
        <v>61</v>
      </c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1"/>
    </row>
    <row r="35" spans="2:15" ht="30">
      <c r="B35" s="27"/>
      <c r="C35" s="146" t="s">
        <v>19</v>
      </c>
      <c r="D35" s="147"/>
      <c r="E35" s="147"/>
      <c r="F35" s="147"/>
      <c r="G35" s="147"/>
      <c r="H35" s="148"/>
      <c r="I35" s="146" t="s">
        <v>33</v>
      </c>
      <c r="J35" s="147"/>
      <c r="K35" s="147"/>
      <c r="L35" s="147"/>
      <c r="M35" s="147"/>
      <c r="N35" s="147"/>
      <c r="O35" s="148"/>
    </row>
    <row r="36" spans="2:15" ht="25.5">
      <c r="B36" s="28"/>
      <c r="C36" s="28" t="s">
        <v>28</v>
      </c>
      <c r="D36" s="29" t="s">
        <v>67</v>
      </c>
      <c r="E36" s="29" t="s">
        <v>29</v>
      </c>
      <c r="F36" s="29" t="s">
        <v>62</v>
      </c>
      <c r="G36" s="29" t="s">
        <v>63</v>
      </c>
      <c r="H36" s="30" t="s">
        <v>68</v>
      </c>
      <c r="I36" s="28" t="s">
        <v>36</v>
      </c>
      <c r="J36" s="29" t="s">
        <v>37</v>
      </c>
      <c r="K36" s="29" t="s">
        <v>31</v>
      </c>
      <c r="L36" s="29" t="s">
        <v>32</v>
      </c>
      <c r="M36" s="29"/>
      <c r="N36" s="29" t="s">
        <v>66</v>
      </c>
      <c r="O36" s="30" t="s">
        <v>65</v>
      </c>
    </row>
    <row r="37" spans="2:15">
      <c r="B37" s="2" t="s">
        <v>34</v>
      </c>
      <c r="C37" s="18">
        <f>+C27</f>
        <v>1500</v>
      </c>
      <c r="D37" s="19">
        <f t="shared" ref="D37:O37" si="2">+D27</f>
        <v>0</v>
      </c>
      <c r="E37" s="19">
        <f t="shared" si="2"/>
        <v>24000</v>
      </c>
      <c r="F37" s="19">
        <v>8000</v>
      </c>
      <c r="G37" s="19">
        <v>10000</v>
      </c>
      <c r="H37" s="20">
        <f t="shared" si="2"/>
        <v>0</v>
      </c>
      <c r="I37" s="18">
        <f t="shared" si="2"/>
        <v>17000</v>
      </c>
      <c r="J37" s="19">
        <f t="shared" si="2"/>
        <v>2000</v>
      </c>
      <c r="K37" s="19">
        <f t="shared" si="2"/>
        <v>11500</v>
      </c>
      <c r="L37" s="19">
        <f t="shared" si="2"/>
        <v>13000</v>
      </c>
      <c r="M37" s="19">
        <f t="shared" si="2"/>
        <v>0</v>
      </c>
      <c r="N37" s="19">
        <f t="shared" si="2"/>
        <v>0</v>
      </c>
      <c r="O37" s="55">
        <f t="shared" si="2"/>
        <v>0</v>
      </c>
    </row>
    <row r="38" spans="2:15">
      <c r="B38" s="152">
        <v>1</v>
      </c>
      <c r="C38" s="73">
        <v>5000</v>
      </c>
      <c r="D38" s="134">
        <v>1500</v>
      </c>
      <c r="E38" s="134"/>
      <c r="F38" s="134"/>
      <c r="G38" s="134"/>
      <c r="H38" s="60"/>
      <c r="I38" s="131"/>
      <c r="J38" s="134"/>
      <c r="K38" s="134"/>
      <c r="L38" s="134"/>
      <c r="M38" s="134"/>
      <c r="N38" s="134"/>
      <c r="O38" s="61">
        <v>6500</v>
      </c>
    </row>
    <row r="39" spans="2:15">
      <c r="B39" s="153"/>
      <c r="C39" s="74"/>
      <c r="D39" s="22"/>
      <c r="E39" s="22">
        <v>-18000</v>
      </c>
      <c r="F39" s="22"/>
      <c r="G39" s="22"/>
      <c r="H39" s="23"/>
      <c r="I39" s="133"/>
      <c r="J39" s="22"/>
      <c r="K39" s="22"/>
      <c r="L39" s="22"/>
      <c r="M39" s="22"/>
      <c r="N39" s="22"/>
      <c r="O39" s="56">
        <v>-18000</v>
      </c>
    </row>
    <row r="40" spans="2:15">
      <c r="B40" s="143">
        <v>2</v>
      </c>
      <c r="C40" s="73"/>
      <c r="D40" s="134"/>
      <c r="E40" s="134">
        <v>5000</v>
      </c>
      <c r="F40" s="134"/>
      <c r="G40" s="134"/>
      <c r="H40" s="134"/>
      <c r="I40" s="131">
        <v>5000</v>
      </c>
      <c r="J40" s="134"/>
      <c r="K40" s="134"/>
      <c r="L40" s="134"/>
      <c r="M40" s="134"/>
      <c r="N40" s="134"/>
      <c r="O40" s="61"/>
    </row>
    <row r="41" spans="2:15">
      <c r="B41" s="144"/>
      <c r="C41" s="75">
        <v>-1000</v>
      </c>
      <c r="D41" s="135"/>
      <c r="E41" s="135"/>
      <c r="F41" s="135"/>
      <c r="G41" s="135"/>
      <c r="H41" s="135"/>
      <c r="I41" s="132">
        <v>-1000</v>
      </c>
      <c r="J41" s="135"/>
      <c r="K41" s="135"/>
      <c r="L41" s="135"/>
      <c r="M41" s="135"/>
      <c r="N41" s="135"/>
      <c r="O41" s="65"/>
    </row>
    <row r="42" spans="2:15">
      <c r="B42" s="66">
        <v>3</v>
      </c>
      <c r="C42" s="75">
        <v>-500</v>
      </c>
      <c r="D42" s="135"/>
      <c r="E42" s="135"/>
      <c r="F42" s="135"/>
      <c r="G42" s="135"/>
      <c r="H42" s="64"/>
      <c r="I42" s="132"/>
      <c r="J42" s="135">
        <v>1000</v>
      </c>
      <c r="K42" s="135"/>
      <c r="L42" s="135"/>
      <c r="M42" s="135"/>
      <c r="N42" s="135"/>
      <c r="O42" s="65">
        <v>-1500</v>
      </c>
    </row>
    <row r="43" spans="2:15">
      <c r="B43" s="66">
        <v>4</v>
      </c>
      <c r="C43" s="73">
        <v>-200</v>
      </c>
      <c r="D43" s="134"/>
      <c r="E43" s="134"/>
      <c r="F43" s="134"/>
      <c r="G43" s="134"/>
      <c r="H43" s="60"/>
      <c r="I43" s="131"/>
      <c r="J43" s="134">
        <v>800</v>
      </c>
      <c r="K43" s="134"/>
      <c r="L43" s="134"/>
      <c r="M43" s="134"/>
      <c r="N43" s="134"/>
      <c r="O43" s="61">
        <v>-1000</v>
      </c>
    </row>
    <row r="44" spans="2:15">
      <c r="B44" s="143">
        <v>5</v>
      </c>
      <c r="C44" s="73"/>
      <c r="D44" s="134"/>
      <c r="E44" s="134"/>
      <c r="F44" s="134"/>
      <c r="G44" s="134"/>
      <c r="H44" s="134"/>
      <c r="I44" s="131"/>
      <c r="J44" s="134"/>
      <c r="K44" s="134">
        <f>-O44</f>
        <v>200</v>
      </c>
      <c r="L44" s="134"/>
      <c r="M44" s="134"/>
      <c r="N44" s="134"/>
      <c r="O44" s="61">
        <v>-200</v>
      </c>
    </row>
    <row r="45" spans="2:15">
      <c r="B45" s="144"/>
      <c r="C45" s="75">
        <v>-200</v>
      </c>
      <c r="D45" s="135"/>
      <c r="E45" s="135"/>
      <c r="F45" s="135"/>
      <c r="G45" s="135"/>
      <c r="H45" s="135"/>
      <c r="I45" s="132"/>
      <c r="J45" s="135"/>
      <c r="K45" s="135">
        <v>-200</v>
      </c>
      <c r="L45" s="135"/>
      <c r="M45" s="135"/>
      <c r="N45" s="135"/>
      <c r="O45" s="65"/>
    </row>
    <row r="46" spans="2:15">
      <c r="B46" s="66">
        <v>6</v>
      </c>
      <c r="C46" s="76">
        <v>-3000</v>
      </c>
      <c r="D46" s="67"/>
      <c r="E46" s="67"/>
      <c r="F46" s="67"/>
      <c r="G46" s="67"/>
      <c r="H46" s="68"/>
      <c r="I46" s="66">
        <v>-3000</v>
      </c>
      <c r="J46" s="67"/>
      <c r="K46" s="67"/>
      <c r="L46" s="67"/>
      <c r="M46" s="67"/>
      <c r="N46" s="67"/>
      <c r="O46" s="69"/>
    </row>
    <row r="47" spans="2:15">
      <c r="B47" s="66">
        <v>7</v>
      </c>
      <c r="C47" s="76">
        <v>-1000</v>
      </c>
      <c r="D47" s="67"/>
      <c r="E47" s="67"/>
      <c r="F47" s="67"/>
      <c r="G47" s="67"/>
      <c r="H47" s="68"/>
      <c r="I47" s="66"/>
      <c r="J47" s="67">
        <v>-1000</v>
      </c>
      <c r="K47" s="67"/>
      <c r="L47" s="67"/>
      <c r="M47" s="67"/>
      <c r="N47" s="67"/>
      <c r="O47" s="69"/>
    </row>
    <row r="48" spans="2:15">
      <c r="B48" s="66">
        <v>8</v>
      </c>
      <c r="C48" s="76">
        <v>-500</v>
      </c>
      <c r="D48" s="67"/>
      <c r="E48" s="67"/>
      <c r="F48" s="67"/>
      <c r="G48" s="67"/>
      <c r="H48" s="68"/>
      <c r="I48" s="66"/>
      <c r="J48" s="67"/>
      <c r="K48" s="67">
        <v>-500</v>
      </c>
      <c r="L48" s="67"/>
      <c r="M48" s="67"/>
      <c r="N48" s="67"/>
      <c r="O48" s="69"/>
    </row>
    <row r="49" spans="2:15">
      <c r="B49" s="66">
        <v>9</v>
      </c>
      <c r="C49" s="76"/>
      <c r="D49" s="67"/>
      <c r="E49" s="67"/>
      <c r="F49" s="67"/>
      <c r="G49" s="67"/>
      <c r="H49" s="68">
        <v>-100</v>
      </c>
      <c r="I49" s="66"/>
      <c r="J49" s="67"/>
      <c r="K49" s="67"/>
      <c r="L49" s="67"/>
      <c r="M49" s="67"/>
      <c r="N49" s="67"/>
      <c r="O49" s="69">
        <v>-100</v>
      </c>
    </row>
    <row r="50" spans="2:15">
      <c r="B50" s="66"/>
      <c r="C50" s="76"/>
      <c r="D50" s="67"/>
      <c r="E50" s="67"/>
      <c r="F50" s="67"/>
      <c r="G50" s="67"/>
      <c r="H50" s="68"/>
      <c r="I50" s="66"/>
      <c r="J50" s="67"/>
      <c r="K50" s="67"/>
      <c r="L50" s="67"/>
      <c r="M50" s="67"/>
      <c r="N50" s="72">
        <f>-O50</f>
        <v>-14300</v>
      </c>
      <c r="O50" s="69">
        <f>-SUM(O37:O49)</f>
        <v>14300</v>
      </c>
    </row>
    <row r="51" spans="2:15">
      <c r="B51" s="2" t="s">
        <v>35</v>
      </c>
      <c r="C51" s="24">
        <f t="shared" ref="C51:O51" si="3">SUM(C37:C50)</f>
        <v>100</v>
      </c>
      <c r="D51" s="25">
        <f t="shared" si="3"/>
        <v>1500</v>
      </c>
      <c r="E51" s="25">
        <f t="shared" si="3"/>
        <v>11000</v>
      </c>
      <c r="F51" s="25">
        <f t="shared" si="3"/>
        <v>8000</v>
      </c>
      <c r="G51" s="25">
        <f t="shared" si="3"/>
        <v>10000</v>
      </c>
      <c r="H51" s="26">
        <f t="shared" si="3"/>
        <v>-100</v>
      </c>
      <c r="I51" s="24">
        <f t="shared" si="3"/>
        <v>18000</v>
      </c>
      <c r="J51" s="25">
        <f t="shared" si="3"/>
        <v>2800</v>
      </c>
      <c r="K51" s="25">
        <f t="shared" si="3"/>
        <v>11000</v>
      </c>
      <c r="L51" s="25">
        <f t="shared" si="3"/>
        <v>13000</v>
      </c>
      <c r="M51" s="25">
        <f t="shared" si="3"/>
        <v>0</v>
      </c>
      <c r="N51" s="25">
        <f t="shared" si="3"/>
        <v>-14300</v>
      </c>
      <c r="O51" s="57">
        <f t="shared" si="3"/>
        <v>0</v>
      </c>
    </row>
    <row r="54" spans="2:15">
      <c r="C54" s="1" t="s">
        <v>19</v>
      </c>
      <c r="E54" s="1">
        <f>+SUM(C51:H51)</f>
        <v>30500</v>
      </c>
    </row>
    <row r="55" spans="2:15">
      <c r="C55" s="1" t="s">
        <v>20</v>
      </c>
      <c r="E55" s="1">
        <f>+SUM(I51:O51)</f>
        <v>30500</v>
      </c>
    </row>
    <row r="58" spans="2:15" ht="21">
      <c r="B58" s="149" t="s">
        <v>93</v>
      </c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1"/>
    </row>
    <row r="59" spans="2:15" ht="30">
      <c r="B59" s="27"/>
      <c r="C59" s="146" t="s">
        <v>19</v>
      </c>
      <c r="D59" s="147"/>
      <c r="E59" s="147"/>
      <c r="F59" s="147"/>
      <c r="G59" s="147"/>
      <c r="H59" s="148"/>
      <c r="I59" s="146" t="s">
        <v>33</v>
      </c>
      <c r="J59" s="147"/>
      <c r="K59" s="147"/>
      <c r="L59" s="147"/>
      <c r="M59" s="147"/>
      <c r="N59" s="147"/>
      <c r="O59" s="148"/>
    </row>
    <row r="60" spans="2:15" ht="25.5">
      <c r="B60" s="28"/>
      <c r="C60" s="28" t="s">
        <v>28</v>
      </c>
      <c r="D60" s="29" t="s">
        <v>67</v>
      </c>
      <c r="E60" s="29" t="s">
        <v>29</v>
      </c>
      <c r="F60" s="29" t="s">
        <v>62</v>
      </c>
      <c r="G60" s="29" t="s">
        <v>63</v>
      </c>
      <c r="H60" s="30" t="s">
        <v>68</v>
      </c>
      <c r="I60" s="28" t="s">
        <v>36</v>
      </c>
      <c r="J60" s="29" t="s">
        <v>37</v>
      </c>
      <c r="K60" s="29" t="s">
        <v>31</v>
      </c>
      <c r="L60" s="29" t="s">
        <v>32</v>
      </c>
      <c r="M60" s="29"/>
      <c r="N60" s="29" t="s">
        <v>66</v>
      </c>
      <c r="O60" s="30" t="s">
        <v>65</v>
      </c>
    </row>
    <row r="61" spans="2:15">
      <c r="B61" s="79" t="s">
        <v>34</v>
      </c>
      <c r="C61" s="79">
        <f>+C51</f>
        <v>100</v>
      </c>
      <c r="D61" s="80">
        <f t="shared" ref="D61:E61" si="4">+D51</f>
        <v>1500</v>
      </c>
      <c r="E61" s="80">
        <f t="shared" si="4"/>
        <v>11000</v>
      </c>
      <c r="F61" s="80">
        <v>8000</v>
      </c>
      <c r="G61" s="80">
        <v>10000</v>
      </c>
      <c r="H61" s="81">
        <f t="shared" ref="H61:O61" si="5">+H51</f>
        <v>-100</v>
      </c>
      <c r="I61" s="79">
        <f t="shared" si="5"/>
        <v>18000</v>
      </c>
      <c r="J61" s="80">
        <f t="shared" si="5"/>
        <v>2800</v>
      </c>
      <c r="K61" s="80">
        <f t="shared" si="5"/>
        <v>11000</v>
      </c>
      <c r="L61" s="80">
        <f t="shared" si="5"/>
        <v>13000</v>
      </c>
      <c r="M61" s="80">
        <f t="shared" si="5"/>
        <v>0</v>
      </c>
      <c r="N61" s="80">
        <f t="shared" si="5"/>
        <v>-14300</v>
      </c>
      <c r="O61" s="82">
        <f t="shared" si="5"/>
        <v>0</v>
      </c>
    </row>
    <row r="62" spans="2:15">
      <c r="B62" s="83">
        <v>1</v>
      </c>
      <c r="C62" s="131">
        <v>1500</v>
      </c>
      <c r="D62" s="134">
        <f>-C62</f>
        <v>-1500</v>
      </c>
      <c r="E62" s="134"/>
      <c r="F62" s="134"/>
      <c r="G62" s="134"/>
      <c r="H62" s="60"/>
      <c r="I62" s="131"/>
      <c r="J62" s="134"/>
      <c r="K62" s="134"/>
      <c r="L62" s="134"/>
      <c r="M62" s="134"/>
      <c r="N62" s="134"/>
      <c r="O62" s="61"/>
    </row>
    <row r="63" spans="2:15">
      <c r="B63" s="143">
        <f>+B62+1</f>
        <v>2</v>
      </c>
      <c r="C63" s="131">
        <v>25000</v>
      </c>
      <c r="D63" s="134">
        <v>5000</v>
      </c>
      <c r="E63" s="134"/>
      <c r="F63" s="134"/>
      <c r="G63" s="134"/>
      <c r="H63" s="134"/>
      <c r="I63" s="131"/>
      <c r="J63" s="134"/>
      <c r="K63" s="134"/>
      <c r="L63" s="134"/>
      <c r="M63" s="134"/>
      <c r="N63" s="134"/>
      <c r="O63" s="61">
        <v>30000</v>
      </c>
    </row>
    <row r="64" spans="2:15">
      <c r="B64" s="144"/>
      <c r="C64" s="133"/>
      <c r="D64" s="22"/>
      <c r="E64" s="22">
        <v>-11000</v>
      </c>
      <c r="F64" s="22"/>
      <c r="G64" s="22"/>
      <c r="H64" s="22"/>
      <c r="I64" s="133"/>
      <c r="J64" s="22"/>
      <c r="K64" s="22"/>
      <c r="L64" s="22"/>
      <c r="M64" s="22"/>
      <c r="N64" s="22"/>
      <c r="O64" s="56">
        <v>-11000</v>
      </c>
    </row>
    <row r="65" spans="2:15">
      <c r="B65" s="143">
        <f>+B63+1</f>
        <v>3</v>
      </c>
      <c r="C65" s="131"/>
      <c r="D65" s="134"/>
      <c r="E65" s="134"/>
      <c r="F65" s="134"/>
      <c r="G65" s="134"/>
      <c r="H65" s="134"/>
      <c r="I65" s="131">
        <v>-18000</v>
      </c>
      <c r="J65" s="134"/>
      <c r="K65" s="134"/>
      <c r="L65" s="134"/>
      <c r="M65" s="134"/>
      <c r="N65" s="134"/>
      <c r="O65" s="61"/>
    </row>
    <row r="66" spans="2:15">
      <c r="B66" s="145"/>
      <c r="C66" s="133"/>
      <c r="D66" s="22"/>
      <c r="E66" s="22"/>
      <c r="F66" s="22"/>
      <c r="G66" s="22"/>
      <c r="H66" s="22"/>
      <c r="I66" s="133"/>
      <c r="J66" s="22">
        <v>-1000</v>
      </c>
      <c r="K66" s="22"/>
      <c r="L66" s="22"/>
      <c r="M66" s="22"/>
      <c r="N66" s="22"/>
      <c r="O66" s="56"/>
    </row>
    <row r="67" spans="2:15">
      <c r="B67" s="145"/>
      <c r="C67" s="133"/>
      <c r="D67" s="22"/>
      <c r="E67" s="22"/>
      <c r="F67" s="22"/>
      <c r="G67" s="22"/>
      <c r="H67" s="22"/>
      <c r="I67" s="133"/>
      <c r="J67" s="22">
        <v>-1800</v>
      </c>
      <c r="K67" s="22"/>
      <c r="L67" s="22"/>
      <c r="M67" s="22"/>
      <c r="N67" s="22"/>
      <c r="O67" s="56"/>
    </row>
    <row r="68" spans="2:15">
      <c r="B68" s="144"/>
      <c r="C68" s="132">
        <f>SUM(I65:J68)</f>
        <v>-20800</v>
      </c>
      <c r="D68" s="135"/>
      <c r="E68" s="135"/>
      <c r="F68" s="135"/>
      <c r="G68" s="135"/>
      <c r="H68" s="135"/>
      <c r="I68" s="132"/>
      <c r="J68" s="135"/>
      <c r="K68" s="135"/>
      <c r="L68" s="135"/>
      <c r="M68" s="135"/>
      <c r="N68" s="135"/>
      <c r="O68" s="65"/>
    </row>
    <row r="69" spans="2:15">
      <c r="B69" s="83">
        <f>+B65+1</f>
        <v>4</v>
      </c>
      <c r="C69" s="133">
        <v>-1000</v>
      </c>
      <c r="D69" s="22"/>
      <c r="E69" s="22">
        <v>10000</v>
      </c>
      <c r="F69" s="22"/>
      <c r="G69" s="22"/>
      <c r="H69" s="23"/>
      <c r="I69" s="133">
        <v>9000</v>
      </c>
      <c r="J69" s="22"/>
      <c r="K69" s="22"/>
      <c r="L69" s="22"/>
      <c r="M69" s="22"/>
      <c r="N69" s="22"/>
      <c r="O69" s="56"/>
    </row>
    <row r="70" spans="2:15">
      <c r="B70" s="143">
        <f t="shared" ref="B70:B76" si="6">+B69+1</f>
        <v>5</v>
      </c>
      <c r="C70" s="131"/>
      <c r="D70" s="134"/>
      <c r="E70" s="134"/>
      <c r="F70" s="134"/>
      <c r="G70" s="134"/>
      <c r="H70" s="134"/>
      <c r="I70" s="131"/>
      <c r="J70" s="134">
        <v>3000</v>
      </c>
      <c r="K70" s="134"/>
      <c r="L70" s="134"/>
      <c r="M70" s="134"/>
      <c r="N70" s="134"/>
      <c r="O70" s="61">
        <v>-3000</v>
      </c>
    </row>
    <row r="71" spans="2:15">
      <c r="B71" s="144"/>
      <c r="C71" s="133"/>
      <c r="D71" s="22"/>
      <c r="E71" s="22"/>
      <c r="F71" s="22"/>
      <c r="G71" s="22"/>
      <c r="H71" s="22"/>
      <c r="I71" s="133"/>
      <c r="J71" s="22">
        <v>2000</v>
      </c>
      <c r="K71" s="22"/>
      <c r="L71" s="22"/>
      <c r="M71" s="22"/>
      <c r="N71" s="22"/>
      <c r="O71" s="56">
        <v>-2000</v>
      </c>
    </row>
    <row r="72" spans="2:15">
      <c r="B72" s="143">
        <f>+B70+1</f>
        <v>6</v>
      </c>
      <c r="C72" s="131"/>
      <c r="D72" s="134"/>
      <c r="E72" s="134"/>
      <c r="F72" s="134"/>
      <c r="G72" s="134"/>
      <c r="H72" s="134"/>
      <c r="I72" s="131"/>
      <c r="J72" s="134"/>
      <c r="K72" s="134">
        <v>300</v>
      </c>
      <c r="L72" s="134"/>
      <c r="M72" s="134"/>
      <c r="N72" s="134"/>
      <c r="O72" s="61">
        <v>-300</v>
      </c>
    </row>
    <row r="73" spans="2:15">
      <c r="B73" s="144"/>
      <c r="C73" s="132">
        <v>-300</v>
      </c>
      <c r="D73" s="135"/>
      <c r="E73" s="135"/>
      <c r="F73" s="135"/>
      <c r="G73" s="135"/>
      <c r="H73" s="135"/>
      <c r="I73" s="132"/>
      <c r="J73" s="135"/>
      <c r="K73" s="135">
        <v>-300</v>
      </c>
      <c r="L73" s="135"/>
      <c r="M73" s="135"/>
      <c r="N73" s="135"/>
      <c r="O73" s="65"/>
    </row>
    <row r="74" spans="2:15">
      <c r="B74" s="83">
        <f>+B72+1</f>
        <v>7</v>
      </c>
      <c r="C74" s="132">
        <v>-4000</v>
      </c>
      <c r="D74" s="135"/>
      <c r="E74" s="135"/>
      <c r="F74" s="135"/>
      <c r="G74" s="135"/>
      <c r="H74" s="64"/>
      <c r="I74" s="132"/>
      <c r="J74" s="135"/>
      <c r="K74" s="135">
        <v>-4000</v>
      </c>
      <c r="L74" s="135"/>
      <c r="M74" s="135"/>
      <c r="N74" s="135"/>
      <c r="O74" s="65"/>
    </row>
    <row r="75" spans="2:15">
      <c r="B75" s="83">
        <f t="shared" si="6"/>
        <v>8</v>
      </c>
      <c r="C75" s="66"/>
      <c r="D75" s="67"/>
      <c r="E75" s="67"/>
      <c r="F75" s="67"/>
      <c r="G75" s="67"/>
      <c r="H75" s="68">
        <v>-100</v>
      </c>
      <c r="I75" s="66"/>
      <c r="J75" s="67"/>
      <c r="K75" s="67"/>
      <c r="L75" s="67"/>
      <c r="M75" s="67"/>
      <c r="N75" s="67"/>
      <c r="O75" s="69">
        <v>-100</v>
      </c>
    </row>
    <row r="76" spans="2:15">
      <c r="B76" s="83">
        <f t="shared" si="6"/>
        <v>9</v>
      </c>
      <c r="C76" s="66">
        <v>-300</v>
      </c>
      <c r="D76" s="67"/>
      <c r="E76" s="67"/>
      <c r="F76" s="67"/>
      <c r="G76" s="67"/>
      <c r="H76" s="68"/>
      <c r="I76" s="66"/>
      <c r="J76" s="67"/>
      <c r="K76" s="67"/>
      <c r="L76" s="67"/>
      <c r="M76" s="67"/>
      <c r="N76" s="67">
        <v>-300</v>
      </c>
      <c r="O76" s="69"/>
    </row>
    <row r="77" spans="2:15">
      <c r="B77" s="83" t="s">
        <v>95</v>
      </c>
      <c r="C77" s="66"/>
      <c r="D77" s="67"/>
      <c r="E77" s="67"/>
      <c r="F77" s="67"/>
      <c r="G77" s="67"/>
      <c r="H77" s="68"/>
      <c r="I77" s="66"/>
      <c r="J77" s="67"/>
      <c r="K77" s="67"/>
      <c r="L77" s="67"/>
      <c r="M77" s="67"/>
      <c r="N77" s="72">
        <f>-O77</f>
        <v>13600</v>
      </c>
      <c r="O77" s="69">
        <f>-SUM(O62:O76)</f>
        <v>-13600</v>
      </c>
    </row>
    <row r="78" spans="2:15">
      <c r="B78" s="2" t="s">
        <v>35</v>
      </c>
      <c r="C78" s="24">
        <f t="shared" ref="C78:O78" si="7">SUM(C61:C77)</f>
        <v>200</v>
      </c>
      <c r="D78" s="25">
        <f t="shared" si="7"/>
        <v>5000</v>
      </c>
      <c r="E78" s="25">
        <f t="shared" si="7"/>
        <v>10000</v>
      </c>
      <c r="F78" s="25">
        <f t="shared" si="7"/>
        <v>8000</v>
      </c>
      <c r="G78" s="25">
        <f t="shared" si="7"/>
        <v>10000</v>
      </c>
      <c r="H78" s="26">
        <f t="shared" si="7"/>
        <v>-200</v>
      </c>
      <c r="I78" s="24">
        <f t="shared" si="7"/>
        <v>9000</v>
      </c>
      <c r="J78" s="25">
        <f t="shared" si="7"/>
        <v>5000</v>
      </c>
      <c r="K78" s="25">
        <f t="shared" si="7"/>
        <v>7000</v>
      </c>
      <c r="L78" s="25">
        <f t="shared" si="7"/>
        <v>13000</v>
      </c>
      <c r="M78" s="25">
        <f t="shared" si="7"/>
        <v>0</v>
      </c>
      <c r="N78" s="25">
        <f t="shared" si="7"/>
        <v>-1000</v>
      </c>
      <c r="O78" s="57">
        <f t="shared" si="7"/>
        <v>0</v>
      </c>
    </row>
    <row r="81" spans="2:19">
      <c r="C81" s="1" t="s">
        <v>19</v>
      </c>
      <c r="E81" s="1">
        <f>SUM(C78:H78)</f>
        <v>33000</v>
      </c>
      <c r="I81" s="78">
        <v>37539</v>
      </c>
    </row>
    <row r="82" spans="2:19">
      <c r="C82" s="1" t="s">
        <v>20</v>
      </c>
      <c r="E82" s="1">
        <f>+SUM(I78:O78)</f>
        <v>33000</v>
      </c>
      <c r="I82" s="78">
        <v>35713</v>
      </c>
    </row>
    <row r="83" spans="2:19">
      <c r="I83" s="1">
        <f>+I82-I81</f>
        <v>-1826</v>
      </c>
      <c r="J83" s="1" t="s">
        <v>94</v>
      </c>
    </row>
    <row r="85" spans="2:19" ht="21">
      <c r="B85" s="154" t="s">
        <v>96</v>
      </c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  <c r="P85" s="155"/>
      <c r="Q85" s="155"/>
      <c r="R85" s="155"/>
      <c r="S85" s="156"/>
    </row>
    <row r="86" spans="2:19" ht="30">
      <c r="B86" s="27"/>
      <c r="C86" s="146" t="s">
        <v>19</v>
      </c>
      <c r="D86" s="147"/>
      <c r="E86" s="147"/>
      <c r="F86" s="147"/>
      <c r="G86" s="147"/>
      <c r="H86" s="147"/>
      <c r="I86" s="148"/>
      <c r="J86" s="146" t="s">
        <v>33</v>
      </c>
      <c r="K86" s="147"/>
      <c r="L86" s="147"/>
      <c r="M86" s="147"/>
      <c r="N86" s="147"/>
      <c r="O86" s="147"/>
      <c r="P86" s="147"/>
      <c r="Q86" s="147"/>
      <c r="R86" s="147"/>
      <c r="S86" s="148"/>
    </row>
    <row r="87" spans="2:19" ht="25.5">
      <c r="B87" s="28"/>
      <c r="C87" s="28" t="s">
        <v>28</v>
      </c>
      <c r="D87" s="29" t="s">
        <v>67</v>
      </c>
      <c r="E87" s="29" t="s">
        <v>29</v>
      </c>
      <c r="F87" s="29" t="s">
        <v>127</v>
      </c>
      <c r="G87" s="29" t="s">
        <v>62</v>
      </c>
      <c r="H87" s="29" t="s">
        <v>63</v>
      </c>
      <c r="I87" s="30" t="s">
        <v>68</v>
      </c>
      <c r="J87" s="28" t="s">
        <v>36</v>
      </c>
      <c r="K87" s="29" t="s">
        <v>37</v>
      </c>
      <c r="L87" s="29" t="s">
        <v>126</v>
      </c>
      <c r="M87" s="29" t="s">
        <v>128</v>
      </c>
      <c r="N87" s="29" t="s">
        <v>31</v>
      </c>
      <c r="O87" s="29" t="s">
        <v>129</v>
      </c>
      <c r="P87" s="29" t="s">
        <v>32</v>
      </c>
      <c r="Q87" s="29"/>
      <c r="R87" s="29" t="s">
        <v>66</v>
      </c>
      <c r="S87" s="30" t="s">
        <v>65</v>
      </c>
    </row>
    <row r="88" spans="2:19">
      <c r="B88" s="89" t="s">
        <v>34</v>
      </c>
      <c r="C88" s="89">
        <f>+C78</f>
        <v>200</v>
      </c>
      <c r="D88" s="104">
        <f t="shared" ref="D88:E88" si="8">+D78</f>
        <v>5000</v>
      </c>
      <c r="E88" s="104">
        <f t="shared" si="8"/>
        <v>10000</v>
      </c>
      <c r="F88" s="104">
        <v>0</v>
      </c>
      <c r="G88" s="104">
        <v>8000</v>
      </c>
      <c r="H88" s="104">
        <v>10000</v>
      </c>
      <c r="I88" s="110">
        <f>+H78</f>
        <v>-200</v>
      </c>
      <c r="J88" s="89">
        <f>+I78</f>
        <v>9000</v>
      </c>
      <c r="K88" s="104">
        <f>+J78</f>
        <v>5000</v>
      </c>
      <c r="L88" s="104">
        <v>0</v>
      </c>
      <c r="M88" s="104">
        <v>0</v>
      </c>
      <c r="N88" s="104">
        <f>+K78</f>
        <v>7000</v>
      </c>
      <c r="O88" s="104">
        <v>0</v>
      </c>
      <c r="P88" s="104">
        <f>+L78</f>
        <v>13000</v>
      </c>
      <c r="Q88" s="104">
        <f>+M78</f>
        <v>0</v>
      </c>
      <c r="R88" s="104">
        <f>+N78</f>
        <v>-1000</v>
      </c>
      <c r="S88" s="116">
        <f>+O78</f>
        <v>0</v>
      </c>
    </row>
    <row r="89" spans="2:19">
      <c r="B89" s="66">
        <v>1</v>
      </c>
      <c r="C89" s="76">
        <v>5000</v>
      </c>
      <c r="D89" s="67">
        <v>-5000</v>
      </c>
      <c r="E89" s="67"/>
      <c r="F89" s="67"/>
      <c r="G89" s="67"/>
      <c r="H89" s="67"/>
      <c r="I89" s="67"/>
      <c r="J89" s="66"/>
      <c r="K89" s="67"/>
      <c r="L89" s="67"/>
      <c r="M89" s="67"/>
      <c r="N89" s="67"/>
      <c r="O89" s="67"/>
      <c r="P89" s="67"/>
      <c r="Q89" s="67"/>
      <c r="R89" s="67"/>
      <c r="S89" s="69"/>
    </row>
    <row r="90" spans="2:19">
      <c r="B90" s="83">
        <v>2</v>
      </c>
      <c r="C90" s="76">
        <v>15000</v>
      </c>
      <c r="D90" s="67"/>
      <c r="E90" s="67"/>
      <c r="F90" s="67"/>
      <c r="G90" s="67"/>
      <c r="H90" s="67"/>
      <c r="I90" s="67"/>
      <c r="J90" s="66"/>
      <c r="K90" s="67"/>
      <c r="L90" s="67">
        <v>15000</v>
      </c>
      <c r="M90" s="67"/>
      <c r="N90" s="67"/>
      <c r="O90" s="67"/>
      <c r="P90" s="67"/>
      <c r="Q90" s="67"/>
      <c r="R90" s="67"/>
      <c r="S90" s="69"/>
    </row>
    <row r="91" spans="2:19">
      <c r="B91" s="152">
        <v>3</v>
      </c>
      <c r="C91" s="73">
        <v>13000</v>
      </c>
      <c r="D91" s="134">
        <v>2000</v>
      </c>
      <c r="E91" s="134"/>
      <c r="F91" s="134"/>
      <c r="G91" s="134"/>
      <c r="H91" s="134"/>
      <c r="I91" s="134"/>
      <c r="J91" s="131"/>
      <c r="K91" s="134"/>
      <c r="L91" s="134"/>
      <c r="M91" s="134"/>
      <c r="N91" s="134"/>
      <c r="O91" s="134"/>
      <c r="P91" s="134"/>
      <c r="Q91" s="134"/>
      <c r="R91" s="134"/>
      <c r="S91" s="61">
        <v>15000</v>
      </c>
    </row>
    <row r="92" spans="2:19">
      <c r="B92" s="153"/>
      <c r="C92" s="75"/>
      <c r="D92" s="135"/>
      <c r="E92" s="135">
        <v>-10000</v>
      </c>
      <c r="F92" s="135"/>
      <c r="G92" s="135"/>
      <c r="H92" s="135"/>
      <c r="I92" s="135"/>
      <c r="J92" s="132"/>
      <c r="K92" s="135"/>
      <c r="L92" s="135"/>
      <c r="M92" s="135"/>
      <c r="N92" s="135"/>
      <c r="O92" s="135"/>
      <c r="P92" s="135"/>
      <c r="Q92" s="135"/>
      <c r="R92" s="135"/>
      <c r="S92" s="65">
        <v>-10000</v>
      </c>
    </row>
    <row r="93" spans="2:19">
      <c r="B93" s="83">
        <v>4</v>
      </c>
      <c r="C93" s="76">
        <v>-14000</v>
      </c>
      <c r="D93" s="67"/>
      <c r="E93" s="67"/>
      <c r="F93" s="67"/>
      <c r="G93" s="67"/>
      <c r="H93" s="67"/>
      <c r="I93" s="67"/>
      <c r="J93" s="66">
        <v>-9000</v>
      </c>
      <c r="K93" s="67">
        <v>-5000</v>
      </c>
      <c r="L93" s="67"/>
      <c r="M93" s="67"/>
      <c r="N93" s="67"/>
      <c r="O93" s="67"/>
      <c r="P93" s="67"/>
      <c r="Q93" s="67"/>
      <c r="R93" s="67"/>
      <c r="S93" s="69"/>
    </row>
    <row r="94" spans="2:19">
      <c r="B94" s="83">
        <v>5</v>
      </c>
      <c r="C94" s="76">
        <v>-1000</v>
      </c>
      <c r="D94" s="67"/>
      <c r="E94" s="67"/>
      <c r="F94" s="67"/>
      <c r="G94" s="67"/>
      <c r="H94" s="67"/>
      <c r="I94" s="67"/>
      <c r="J94" s="66"/>
      <c r="K94" s="67">
        <v>500</v>
      </c>
      <c r="L94" s="67"/>
      <c r="M94" s="67"/>
      <c r="N94" s="67"/>
      <c r="O94" s="67"/>
      <c r="P94" s="67"/>
      <c r="Q94" s="67"/>
      <c r="R94" s="67"/>
      <c r="S94" s="69">
        <v>-1500</v>
      </c>
    </row>
    <row r="95" spans="2:19">
      <c r="B95" s="83">
        <v>6</v>
      </c>
      <c r="C95" s="76"/>
      <c r="D95" s="67"/>
      <c r="E95" s="67"/>
      <c r="F95" s="67"/>
      <c r="G95" s="67"/>
      <c r="H95" s="67"/>
      <c r="I95" s="67"/>
      <c r="J95" s="66"/>
      <c r="K95" s="67">
        <v>1200</v>
      </c>
      <c r="L95" s="67"/>
      <c r="M95" s="67"/>
      <c r="N95" s="67"/>
      <c r="O95" s="67"/>
      <c r="P95" s="67"/>
      <c r="Q95" s="67"/>
      <c r="R95" s="67"/>
      <c r="S95" s="69">
        <v>-1200</v>
      </c>
    </row>
    <row r="96" spans="2:19">
      <c r="B96" s="152">
        <v>7</v>
      </c>
      <c r="C96" s="73"/>
      <c r="D96" s="134"/>
      <c r="E96" s="134"/>
      <c r="F96" s="134"/>
      <c r="G96" s="134"/>
      <c r="H96" s="134"/>
      <c r="I96" s="134"/>
      <c r="J96" s="131"/>
      <c r="K96" s="134"/>
      <c r="L96" s="134"/>
      <c r="M96" s="134"/>
      <c r="N96" s="134">
        <v>200</v>
      </c>
      <c r="O96" s="134"/>
      <c r="P96" s="134"/>
      <c r="Q96" s="134"/>
      <c r="R96" s="134"/>
      <c r="S96" s="61">
        <v>-200</v>
      </c>
    </row>
    <row r="97" spans="2:19">
      <c r="B97" s="153"/>
      <c r="C97" s="75">
        <v>-200</v>
      </c>
      <c r="D97" s="135"/>
      <c r="E97" s="135"/>
      <c r="F97" s="135"/>
      <c r="G97" s="135"/>
      <c r="H97" s="135"/>
      <c r="I97" s="135"/>
      <c r="J97" s="132"/>
      <c r="K97" s="135"/>
      <c r="L97" s="135"/>
      <c r="M97" s="135"/>
      <c r="N97" s="135">
        <v>-200</v>
      </c>
      <c r="O97" s="135"/>
      <c r="P97" s="135"/>
      <c r="Q97" s="135"/>
      <c r="R97" s="135"/>
      <c r="S97" s="65"/>
    </row>
    <row r="98" spans="2:19">
      <c r="B98" s="83">
        <v>8</v>
      </c>
      <c r="C98" s="76"/>
      <c r="D98" s="67"/>
      <c r="E98" s="67"/>
      <c r="F98" s="67"/>
      <c r="G98" s="67"/>
      <c r="H98" s="67"/>
      <c r="I98" s="67">
        <v>-100</v>
      </c>
      <c r="J98" s="66"/>
      <c r="K98" s="67"/>
      <c r="L98" s="67"/>
      <c r="M98" s="67"/>
      <c r="N98" s="67"/>
      <c r="O98" s="67"/>
      <c r="P98" s="67"/>
      <c r="Q98" s="67"/>
      <c r="R98" s="67"/>
      <c r="S98" s="69">
        <v>-100</v>
      </c>
    </row>
    <row r="99" spans="2:19">
      <c r="B99" s="152">
        <v>9</v>
      </c>
      <c r="C99" s="73">
        <v>-1200</v>
      </c>
      <c r="D99" s="134"/>
      <c r="E99" s="134"/>
      <c r="F99" s="134">
        <v>1200</v>
      </c>
      <c r="G99" s="134"/>
      <c r="H99" s="134"/>
      <c r="I99" s="134"/>
      <c r="J99" s="131"/>
      <c r="K99" s="134"/>
      <c r="L99" s="134"/>
      <c r="M99" s="134"/>
      <c r="N99" s="134"/>
      <c r="O99" s="134"/>
      <c r="P99" s="134"/>
      <c r="Q99" s="134"/>
      <c r="R99" s="134"/>
      <c r="S99" s="61"/>
    </row>
    <row r="100" spans="2:19">
      <c r="B100" s="153"/>
      <c r="C100" s="75"/>
      <c r="D100" s="135"/>
      <c r="E100" s="135"/>
      <c r="F100" s="135">
        <v>-100</v>
      </c>
      <c r="G100" s="135"/>
      <c r="H100" s="135"/>
      <c r="I100" s="135"/>
      <c r="J100" s="132"/>
      <c r="K100" s="135"/>
      <c r="L100" s="135"/>
      <c r="M100" s="135"/>
      <c r="N100" s="135"/>
      <c r="O100" s="135"/>
      <c r="P100" s="135"/>
      <c r="Q100" s="135"/>
      <c r="R100" s="135"/>
      <c r="S100" s="65">
        <v>-100</v>
      </c>
    </row>
    <row r="101" spans="2:19">
      <c r="B101" s="66">
        <v>10</v>
      </c>
      <c r="C101" s="76">
        <v>-10000</v>
      </c>
      <c r="D101" s="67"/>
      <c r="E101" s="67">
        <v>12000</v>
      </c>
      <c r="F101" s="67"/>
      <c r="G101" s="67"/>
      <c r="H101" s="67"/>
      <c r="I101" s="67"/>
      <c r="J101" s="66">
        <v>2000</v>
      </c>
      <c r="K101" s="67"/>
      <c r="L101" s="67"/>
      <c r="M101" s="67"/>
      <c r="N101" s="67"/>
      <c r="O101" s="67"/>
      <c r="P101" s="67"/>
      <c r="Q101" s="67"/>
      <c r="R101" s="67"/>
      <c r="S101" s="69"/>
    </row>
    <row r="102" spans="2:19">
      <c r="B102" s="152">
        <v>11</v>
      </c>
      <c r="C102" s="73">
        <v>10000</v>
      </c>
      <c r="D102" s="134"/>
      <c r="E102" s="134"/>
      <c r="F102" s="134"/>
      <c r="G102" s="134"/>
      <c r="H102" s="134"/>
      <c r="I102" s="134"/>
      <c r="J102" s="131"/>
      <c r="K102" s="134"/>
      <c r="L102" s="134"/>
      <c r="M102" s="134"/>
      <c r="N102" s="134"/>
      <c r="O102" s="134"/>
      <c r="P102" s="134"/>
      <c r="Q102" s="134"/>
      <c r="R102" s="134"/>
      <c r="S102" s="61">
        <v>10000</v>
      </c>
    </row>
    <row r="103" spans="2:19">
      <c r="B103" s="153"/>
      <c r="C103" s="75"/>
      <c r="D103" s="135"/>
      <c r="E103" s="135"/>
      <c r="F103" s="135"/>
      <c r="G103" s="135">
        <v>-8000</v>
      </c>
      <c r="H103" s="135"/>
      <c r="I103" s="135"/>
      <c r="J103" s="132"/>
      <c r="K103" s="135"/>
      <c r="L103" s="135"/>
      <c r="M103" s="135"/>
      <c r="N103" s="135"/>
      <c r="O103" s="135"/>
      <c r="P103" s="135"/>
      <c r="Q103" s="135"/>
      <c r="R103" s="135"/>
      <c r="S103" s="65">
        <v>-8000</v>
      </c>
    </row>
    <row r="104" spans="2:19">
      <c r="B104" s="66">
        <v>12</v>
      </c>
      <c r="C104" s="76"/>
      <c r="D104" s="67"/>
      <c r="E104" s="67"/>
      <c r="F104" s="67"/>
      <c r="G104" s="67"/>
      <c r="H104" s="67"/>
      <c r="I104" s="67"/>
      <c r="J104" s="66"/>
      <c r="K104" s="67"/>
      <c r="L104" s="67"/>
      <c r="M104" s="67">
        <f>-S104</f>
        <v>1560</v>
      </c>
      <c r="N104" s="67"/>
      <c r="O104" s="67"/>
      <c r="P104" s="67"/>
      <c r="Q104" s="67"/>
      <c r="R104" s="67"/>
      <c r="S104" s="69">
        <f>-SUM(S91:S103)*40%</f>
        <v>-1560</v>
      </c>
    </row>
    <row r="105" spans="2:19">
      <c r="B105" s="66">
        <v>13</v>
      </c>
      <c r="C105" s="76"/>
      <c r="D105" s="67"/>
      <c r="E105" s="67"/>
      <c r="F105" s="67"/>
      <c r="G105" s="67"/>
      <c r="H105" s="67"/>
      <c r="I105" s="67"/>
      <c r="J105" s="66"/>
      <c r="K105" s="67"/>
      <c r="L105" s="67"/>
      <c r="M105" s="67"/>
      <c r="N105" s="67"/>
      <c r="O105" s="67">
        <f>-S105</f>
        <v>585</v>
      </c>
      <c r="P105" s="67"/>
      <c r="Q105" s="67"/>
      <c r="R105" s="67"/>
      <c r="S105" s="69">
        <f>-2340*0.25</f>
        <v>-585</v>
      </c>
    </row>
    <row r="106" spans="2:19">
      <c r="B106" s="132" t="s">
        <v>95</v>
      </c>
      <c r="C106" s="75"/>
      <c r="D106" s="135"/>
      <c r="E106" s="135"/>
      <c r="F106" s="135"/>
      <c r="G106" s="135"/>
      <c r="H106" s="135"/>
      <c r="I106" s="135"/>
      <c r="J106" s="132"/>
      <c r="K106" s="135"/>
      <c r="L106" s="135"/>
      <c r="M106" s="135"/>
      <c r="N106" s="135"/>
      <c r="O106" s="135"/>
      <c r="P106" s="135"/>
      <c r="Q106" s="135"/>
      <c r="R106" s="117">
        <f>-S106</f>
        <v>1755</v>
      </c>
      <c r="S106" s="65">
        <f>-SUM(S89:S105)</f>
        <v>-1755</v>
      </c>
    </row>
    <row r="107" spans="2:19">
      <c r="B107" s="2" t="s">
        <v>35</v>
      </c>
      <c r="C107" s="24">
        <f t="shared" ref="C107:S107" si="9">SUM(C88:C106)</f>
        <v>16800</v>
      </c>
      <c r="D107" s="25">
        <f t="shared" si="9"/>
        <v>2000</v>
      </c>
      <c r="E107" s="25">
        <f t="shared" si="9"/>
        <v>12000</v>
      </c>
      <c r="F107" s="25">
        <f t="shared" si="9"/>
        <v>1100</v>
      </c>
      <c r="G107" s="25">
        <f t="shared" si="9"/>
        <v>0</v>
      </c>
      <c r="H107" s="25">
        <f t="shared" si="9"/>
        <v>10000</v>
      </c>
      <c r="I107" s="26">
        <f t="shared" si="9"/>
        <v>-300</v>
      </c>
      <c r="J107" s="24">
        <f t="shared" si="9"/>
        <v>2000</v>
      </c>
      <c r="K107" s="25">
        <f t="shared" si="9"/>
        <v>1700</v>
      </c>
      <c r="L107" s="25">
        <f t="shared" si="9"/>
        <v>15000</v>
      </c>
      <c r="M107" s="25">
        <f t="shared" si="9"/>
        <v>1560</v>
      </c>
      <c r="N107" s="25">
        <f t="shared" si="9"/>
        <v>7000</v>
      </c>
      <c r="O107" s="25">
        <f t="shared" si="9"/>
        <v>585</v>
      </c>
      <c r="P107" s="25">
        <f t="shared" si="9"/>
        <v>13000</v>
      </c>
      <c r="Q107" s="25">
        <f t="shared" si="9"/>
        <v>0</v>
      </c>
      <c r="R107" s="25">
        <f t="shared" si="9"/>
        <v>755</v>
      </c>
      <c r="S107" s="57">
        <f t="shared" si="9"/>
        <v>0</v>
      </c>
    </row>
    <row r="110" spans="2:19">
      <c r="C110" s="1" t="s">
        <v>19</v>
      </c>
      <c r="E110" s="1">
        <f>SUM(C107:I107)</f>
        <v>41600</v>
      </c>
      <c r="I110" s="78"/>
    </row>
    <row r="111" spans="2:19">
      <c r="C111" s="1" t="s">
        <v>20</v>
      </c>
      <c r="E111" s="1">
        <f>+SUM(J107:S107)</f>
        <v>41600</v>
      </c>
      <c r="I111" s="78"/>
    </row>
    <row r="114" spans="2:19" ht="42">
      <c r="B114" s="154" t="s">
        <v>146</v>
      </c>
      <c r="C114" s="155"/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6"/>
    </row>
    <row r="115" spans="2:19" ht="30">
      <c r="B115" s="27"/>
      <c r="C115" s="146" t="s">
        <v>19</v>
      </c>
      <c r="D115" s="147"/>
      <c r="E115" s="147"/>
      <c r="F115" s="147"/>
      <c r="G115" s="147"/>
      <c r="H115" s="147"/>
      <c r="I115" s="148"/>
      <c r="J115" s="146" t="s">
        <v>33</v>
      </c>
      <c r="K115" s="147"/>
      <c r="L115" s="147"/>
      <c r="M115" s="147"/>
      <c r="N115" s="147"/>
      <c r="O115" s="147"/>
      <c r="P115" s="147"/>
      <c r="Q115" s="147"/>
      <c r="R115" s="147"/>
      <c r="S115" s="148"/>
    </row>
    <row r="116" spans="2:19" ht="25.5">
      <c r="B116" s="28"/>
      <c r="C116" s="28" t="s">
        <v>28</v>
      </c>
      <c r="D116" s="29" t="s">
        <v>67</v>
      </c>
      <c r="E116" s="29" t="s">
        <v>29</v>
      </c>
      <c r="F116" s="29" t="s">
        <v>127</v>
      </c>
      <c r="G116" s="29" t="s">
        <v>62</v>
      </c>
      <c r="H116" s="29" t="s">
        <v>63</v>
      </c>
      <c r="I116" s="30" t="s">
        <v>68</v>
      </c>
      <c r="J116" s="28" t="s">
        <v>36</v>
      </c>
      <c r="K116" s="29" t="s">
        <v>37</v>
      </c>
      <c r="L116" s="29" t="s">
        <v>126</v>
      </c>
      <c r="M116" s="29" t="s">
        <v>128</v>
      </c>
      <c r="N116" s="29" t="s">
        <v>31</v>
      </c>
      <c r="O116" s="29" t="s">
        <v>129</v>
      </c>
      <c r="P116" s="29" t="s">
        <v>32</v>
      </c>
      <c r="Q116" s="29"/>
      <c r="R116" s="29" t="s">
        <v>66</v>
      </c>
      <c r="S116" s="30" t="s">
        <v>65</v>
      </c>
    </row>
    <row r="117" spans="2:19">
      <c r="B117" s="89" t="s">
        <v>34</v>
      </c>
      <c r="C117" s="89">
        <f>+C107</f>
        <v>16800</v>
      </c>
      <c r="D117" s="104">
        <f t="shared" ref="D117:S117" si="10">+D107</f>
        <v>2000</v>
      </c>
      <c r="E117" s="104">
        <f t="shared" si="10"/>
        <v>12000</v>
      </c>
      <c r="F117" s="104">
        <f t="shared" si="10"/>
        <v>1100</v>
      </c>
      <c r="G117" s="104">
        <f t="shared" si="10"/>
        <v>0</v>
      </c>
      <c r="H117" s="104">
        <f t="shared" si="10"/>
        <v>10000</v>
      </c>
      <c r="I117" s="110">
        <f t="shared" si="10"/>
        <v>-300</v>
      </c>
      <c r="J117" s="89">
        <f t="shared" si="10"/>
        <v>2000</v>
      </c>
      <c r="K117" s="104">
        <f t="shared" si="10"/>
        <v>1700</v>
      </c>
      <c r="L117" s="104">
        <f t="shared" si="10"/>
        <v>15000</v>
      </c>
      <c r="M117" s="104">
        <f t="shared" si="10"/>
        <v>1560</v>
      </c>
      <c r="N117" s="104">
        <f t="shared" si="10"/>
        <v>7000</v>
      </c>
      <c r="O117" s="104">
        <f t="shared" si="10"/>
        <v>585</v>
      </c>
      <c r="P117" s="104">
        <f t="shared" si="10"/>
        <v>13000</v>
      </c>
      <c r="Q117" s="104">
        <f t="shared" si="10"/>
        <v>0</v>
      </c>
      <c r="R117" s="104">
        <f t="shared" si="10"/>
        <v>755</v>
      </c>
      <c r="S117" s="116">
        <f t="shared" si="10"/>
        <v>0</v>
      </c>
    </row>
    <row r="118" spans="2:19">
      <c r="B118" s="83">
        <v>1</v>
      </c>
      <c r="C118" s="72">
        <v>2000</v>
      </c>
      <c r="D118" s="67">
        <v>-2000</v>
      </c>
      <c r="E118" s="67"/>
      <c r="F118" s="67"/>
      <c r="G118" s="67"/>
      <c r="H118" s="67"/>
      <c r="I118" s="68"/>
      <c r="J118" s="67"/>
      <c r="K118" s="67"/>
      <c r="L118" s="67"/>
      <c r="M118" s="67"/>
      <c r="N118" s="67"/>
      <c r="O118" s="67"/>
      <c r="P118" s="67"/>
      <c r="Q118" s="67"/>
      <c r="R118" s="67"/>
      <c r="S118" s="69"/>
    </row>
    <row r="119" spans="2:19">
      <c r="B119" s="152">
        <v>2</v>
      </c>
      <c r="C119" s="134"/>
      <c r="D119" s="134"/>
      <c r="E119" s="134"/>
      <c r="F119" s="134"/>
      <c r="G119" s="134"/>
      <c r="H119" s="134"/>
      <c r="I119" s="60"/>
      <c r="J119" s="134">
        <v>-2000</v>
      </c>
      <c r="K119" s="134"/>
      <c r="L119" s="134"/>
      <c r="M119" s="134"/>
      <c r="N119" s="134"/>
      <c r="O119" s="134"/>
      <c r="P119" s="134"/>
      <c r="Q119" s="134"/>
      <c r="R119" s="134"/>
      <c r="S119" s="61"/>
    </row>
    <row r="120" spans="2:19">
      <c r="B120" s="157"/>
      <c r="C120" s="22"/>
      <c r="D120" s="22"/>
      <c r="E120" s="22"/>
      <c r="F120" s="22"/>
      <c r="G120" s="22"/>
      <c r="H120" s="22"/>
      <c r="I120" s="23"/>
      <c r="J120" s="22"/>
      <c r="K120" s="22">
        <v>-1700</v>
      </c>
      <c r="L120" s="22"/>
      <c r="M120" s="22"/>
      <c r="N120" s="22"/>
      <c r="O120" s="22"/>
      <c r="P120" s="22"/>
      <c r="Q120" s="22"/>
      <c r="R120" s="22"/>
      <c r="S120" s="56"/>
    </row>
    <row r="121" spans="2:19">
      <c r="B121" s="157"/>
      <c r="C121" s="22"/>
      <c r="D121" s="22"/>
      <c r="E121" s="22"/>
      <c r="F121" s="22"/>
      <c r="G121" s="22"/>
      <c r="H121" s="22"/>
      <c r="I121" s="23"/>
      <c r="J121" s="22"/>
      <c r="K121" s="22"/>
      <c r="L121" s="22"/>
      <c r="M121" s="22">
        <v>-1560</v>
      </c>
      <c r="N121" s="22"/>
      <c r="O121" s="22"/>
      <c r="P121" s="22"/>
      <c r="Q121" s="22"/>
      <c r="R121" s="22"/>
      <c r="S121" s="56"/>
    </row>
    <row r="122" spans="2:19">
      <c r="B122" s="157"/>
      <c r="C122" s="22"/>
      <c r="D122" s="22"/>
      <c r="E122" s="22"/>
      <c r="F122" s="22"/>
      <c r="G122" s="22"/>
      <c r="H122" s="22"/>
      <c r="I122" s="23"/>
      <c r="J122" s="22"/>
      <c r="K122" s="22"/>
      <c r="L122" s="22"/>
      <c r="M122" s="22"/>
      <c r="N122" s="22"/>
      <c r="O122" s="22">
        <v>-585</v>
      </c>
      <c r="P122" s="22"/>
      <c r="Q122" s="22"/>
      <c r="R122" s="22"/>
      <c r="S122" s="56"/>
    </row>
    <row r="123" spans="2:19">
      <c r="B123" s="153"/>
      <c r="C123" s="117">
        <f>+SUM(J119:O123)</f>
        <v>-5845</v>
      </c>
      <c r="D123" s="135"/>
      <c r="E123" s="135"/>
      <c r="F123" s="135"/>
      <c r="G123" s="135"/>
      <c r="H123" s="135"/>
      <c r="I123" s="64"/>
      <c r="J123" s="135"/>
      <c r="K123" s="135"/>
      <c r="L123" s="135"/>
      <c r="M123" s="135"/>
      <c r="N123" s="135"/>
      <c r="O123" s="135"/>
      <c r="P123" s="135"/>
      <c r="Q123" s="135"/>
      <c r="R123" s="135"/>
      <c r="S123" s="65"/>
    </row>
    <row r="124" spans="2:19">
      <c r="B124" s="83">
        <v>3</v>
      </c>
      <c r="C124" s="72">
        <v>-3500</v>
      </c>
      <c r="D124" s="67"/>
      <c r="E124" s="67"/>
      <c r="F124" s="67"/>
      <c r="G124" s="67"/>
      <c r="H124" s="67"/>
      <c r="I124" s="68"/>
      <c r="J124" s="67"/>
      <c r="K124" s="67"/>
      <c r="L124" s="67"/>
      <c r="M124" s="67"/>
      <c r="N124" s="67">
        <v>-3500</v>
      </c>
      <c r="O124" s="67"/>
      <c r="P124" s="67"/>
      <c r="Q124" s="67"/>
      <c r="R124" s="67"/>
      <c r="S124" s="69"/>
    </row>
    <row r="125" spans="2:19">
      <c r="B125" s="152">
        <v>4</v>
      </c>
      <c r="C125" s="134"/>
      <c r="D125" s="134"/>
      <c r="E125" s="134"/>
      <c r="F125" s="134"/>
      <c r="G125" s="134"/>
      <c r="H125" s="134"/>
      <c r="I125" s="60"/>
      <c r="J125" s="134"/>
      <c r="K125" s="134"/>
      <c r="L125" s="134">
        <v>-15000</v>
      </c>
      <c r="M125" s="134"/>
      <c r="N125" s="134"/>
      <c r="O125" s="134"/>
      <c r="P125" s="134"/>
      <c r="Q125" s="134"/>
      <c r="R125" s="134"/>
      <c r="S125" s="61">
        <f>-L125</f>
        <v>15000</v>
      </c>
    </row>
    <row r="126" spans="2:19">
      <c r="B126" s="153"/>
      <c r="C126" s="135"/>
      <c r="D126" s="135"/>
      <c r="E126" s="135">
        <f>-E117/3*2</f>
        <v>-8000</v>
      </c>
      <c r="F126" s="135"/>
      <c r="G126" s="135"/>
      <c r="H126" s="135"/>
      <c r="I126" s="64"/>
      <c r="J126" s="135"/>
      <c r="K126" s="135"/>
      <c r="L126" s="135"/>
      <c r="M126" s="135"/>
      <c r="N126" s="135"/>
      <c r="O126" s="135"/>
      <c r="P126" s="135"/>
      <c r="Q126" s="135"/>
      <c r="R126" s="135"/>
      <c r="S126" s="65">
        <f>+E126</f>
        <v>-8000</v>
      </c>
    </row>
    <row r="127" spans="2:19">
      <c r="B127" s="83">
        <v>5</v>
      </c>
      <c r="C127" s="72">
        <v>-2000</v>
      </c>
      <c r="D127" s="67"/>
      <c r="E127" s="67">
        <v>10000</v>
      </c>
      <c r="F127" s="67"/>
      <c r="G127" s="67"/>
      <c r="H127" s="67"/>
      <c r="I127" s="68"/>
      <c r="J127" s="67">
        <v>8000</v>
      </c>
      <c r="K127" s="67"/>
      <c r="L127" s="67"/>
      <c r="M127" s="67"/>
      <c r="N127" s="67"/>
      <c r="O127" s="67"/>
      <c r="P127" s="67"/>
      <c r="Q127" s="67"/>
      <c r="R127" s="67"/>
      <c r="S127" s="69"/>
    </row>
    <row r="128" spans="2:19">
      <c r="B128" s="152">
        <v>6</v>
      </c>
      <c r="C128" s="136">
        <v>6000</v>
      </c>
      <c r="D128" s="134">
        <v>6000</v>
      </c>
      <c r="E128" s="134"/>
      <c r="F128" s="134"/>
      <c r="G128" s="134"/>
      <c r="H128" s="134"/>
      <c r="I128" s="60"/>
      <c r="J128" s="134"/>
      <c r="K128" s="134"/>
      <c r="L128" s="134"/>
      <c r="M128" s="134"/>
      <c r="N128" s="134"/>
      <c r="O128" s="134"/>
      <c r="P128" s="134"/>
      <c r="Q128" s="134"/>
      <c r="R128" s="134"/>
      <c r="S128" s="61">
        <v>12000</v>
      </c>
    </row>
    <row r="129" spans="2:19">
      <c r="B129" s="153"/>
      <c r="C129" s="135"/>
      <c r="D129" s="135"/>
      <c r="E129" s="135">
        <v>-7000</v>
      </c>
      <c r="F129" s="135"/>
      <c r="G129" s="135"/>
      <c r="H129" s="135"/>
      <c r="I129" s="64"/>
      <c r="J129" s="135"/>
      <c r="K129" s="135"/>
      <c r="L129" s="135"/>
      <c r="M129" s="135"/>
      <c r="N129" s="135"/>
      <c r="O129" s="135"/>
      <c r="P129" s="135"/>
      <c r="Q129" s="135"/>
      <c r="R129" s="135"/>
      <c r="S129" s="65">
        <v>-7000</v>
      </c>
    </row>
    <row r="130" spans="2:19">
      <c r="B130" s="83">
        <v>7</v>
      </c>
      <c r="C130" s="72">
        <v>-1200</v>
      </c>
      <c r="D130" s="67"/>
      <c r="E130" s="67"/>
      <c r="F130" s="67"/>
      <c r="G130" s="67"/>
      <c r="H130" s="67"/>
      <c r="I130" s="68"/>
      <c r="J130" s="67"/>
      <c r="K130" s="67">
        <v>800</v>
      </c>
      <c r="L130" s="67"/>
      <c r="M130" s="67"/>
      <c r="N130" s="67"/>
      <c r="O130" s="67"/>
      <c r="P130" s="67"/>
      <c r="Q130" s="67"/>
      <c r="R130" s="67"/>
      <c r="S130" s="69">
        <v>-2000</v>
      </c>
    </row>
    <row r="131" spans="2:19">
      <c r="B131" s="83">
        <v>8</v>
      </c>
      <c r="C131" s="72">
        <v>-1000</v>
      </c>
      <c r="D131" s="67"/>
      <c r="E131" s="67"/>
      <c r="F131" s="67"/>
      <c r="G131" s="67"/>
      <c r="H131" s="67"/>
      <c r="I131" s="68"/>
      <c r="J131" s="67"/>
      <c r="K131" s="67">
        <v>500</v>
      </c>
      <c r="L131" s="67"/>
      <c r="M131" s="67"/>
      <c r="N131" s="67"/>
      <c r="O131" s="67"/>
      <c r="P131" s="67"/>
      <c r="Q131" s="67"/>
      <c r="R131" s="67"/>
      <c r="S131" s="69">
        <v>-1500</v>
      </c>
    </row>
    <row r="132" spans="2:19">
      <c r="B132" s="152">
        <v>9</v>
      </c>
      <c r="C132" s="134"/>
      <c r="D132" s="134"/>
      <c r="E132" s="134"/>
      <c r="F132" s="134"/>
      <c r="G132" s="134"/>
      <c r="H132" s="134"/>
      <c r="I132" s="60"/>
      <c r="J132" s="134"/>
      <c r="K132" s="134"/>
      <c r="L132" s="134"/>
      <c r="M132" s="134"/>
      <c r="N132" s="134">
        <v>150</v>
      </c>
      <c r="O132" s="134"/>
      <c r="P132" s="134"/>
      <c r="Q132" s="134"/>
      <c r="R132" s="134"/>
      <c r="S132" s="61">
        <v>-150</v>
      </c>
    </row>
    <row r="133" spans="2:19">
      <c r="B133" s="153"/>
      <c r="C133" s="135">
        <v>-150</v>
      </c>
      <c r="D133" s="135"/>
      <c r="E133" s="135"/>
      <c r="F133" s="135"/>
      <c r="G133" s="135"/>
      <c r="H133" s="135"/>
      <c r="I133" s="64"/>
      <c r="J133" s="135"/>
      <c r="K133" s="135"/>
      <c r="L133" s="135"/>
      <c r="M133" s="135"/>
      <c r="N133" s="135">
        <v>-150</v>
      </c>
      <c r="O133" s="135"/>
      <c r="P133" s="135"/>
      <c r="Q133" s="135"/>
      <c r="R133" s="135"/>
      <c r="S133" s="65"/>
    </row>
    <row r="134" spans="2:19">
      <c r="B134" s="83">
        <v>10</v>
      </c>
      <c r="C134" s="67"/>
      <c r="D134" s="67"/>
      <c r="E134" s="67"/>
      <c r="F134" s="67"/>
      <c r="G134" s="67"/>
      <c r="H134" s="67"/>
      <c r="I134" s="68">
        <v>-100</v>
      </c>
      <c r="J134" s="67"/>
      <c r="K134" s="67"/>
      <c r="L134" s="67"/>
      <c r="M134" s="67"/>
      <c r="N134" s="67"/>
      <c r="O134" s="67"/>
      <c r="P134" s="67"/>
      <c r="Q134" s="67"/>
      <c r="R134" s="67"/>
      <c r="S134" s="69">
        <v>-100</v>
      </c>
    </row>
    <row r="135" spans="2:19">
      <c r="B135" s="83">
        <v>11</v>
      </c>
      <c r="C135" s="67"/>
      <c r="D135" s="67"/>
      <c r="E135" s="67"/>
      <c r="F135" s="67">
        <v>-100</v>
      </c>
      <c r="G135" s="67"/>
      <c r="H135" s="67"/>
      <c r="I135" s="68"/>
      <c r="J135" s="67"/>
      <c r="K135" s="67"/>
      <c r="L135" s="67"/>
      <c r="M135" s="67"/>
      <c r="N135" s="67"/>
      <c r="O135" s="67"/>
      <c r="P135" s="67"/>
      <c r="Q135" s="67"/>
      <c r="R135" s="67"/>
      <c r="S135" s="69">
        <v>-100</v>
      </c>
    </row>
    <row r="136" spans="2:19">
      <c r="B136" s="83">
        <v>12</v>
      </c>
      <c r="C136" s="67">
        <v>-3500</v>
      </c>
      <c r="D136" s="67"/>
      <c r="E136" s="67"/>
      <c r="F136" s="67"/>
      <c r="G136" s="67"/>
      <c r="H136" s="67"/>
      <c r="I136" s="68"/>
      <c r="J136" s="67"/>
      <c r="K136" s="67"/>
      <c r="L136" s="67"/>
      <c r="M136" s="67"/>
      <c r="N136" s="67">
        <v>-3500</v>
      </c>
      <c r="O136" s="67"/>
      <c r="P136" s="67"/>
      <c r="Q136" s="67"/>
      <c r="R136" s="67"/>
      <c r="S136" s="69"/>
    </row>
    <row r="137" spans="2:19">
      <c r="B137" s="83">
        <v>13</v>
      </c>
      <c r="C137" s="67">
        <v>-5000</v>
      </c>
      <c r="D137" s="67"/>
      <c r="E137" s="67"/>
      <c r="F137" s="67"/>
      <c r="G137" s="67"/>
      <c r="H137" s="67">
        <v>5000</v>
      </c>
      <c r="I137" s="68"/>
      <c r="J137" s="67"/>
      <c r="K137" s="67"/>
      <c r="L137" s="67"/>
      <c r="M137" s="67"/>
      <c r="N137" s="67"/>
      <c r="O137" s="67"/>
      <c r="P137" s="67"/>
      <c r="Q137" s="67"/>
      <c r="R137" s="67"/>
      <c r="S137" s="69"/>
    </row>
    <row r="138" spans="2:19">
      <c r="B138" s="83">
        <v>14</v>
      </c>
      <c r="C138" s="67"/>
      <c r="D138" s="67"/>
      <c r="E138" s="67"/>
      <c r="F138" s="67"/>
      <c r="G138" s="67"/>
      <c r="H138" s="67"/>
      <c r="I138" s="68"/>
      <c r="J138" s="67"/>
      <c r="K138" s="67"/>
      <c r="L138" s="67"/>
      <c r="M138" s="67">
        <f>-S138</f>
        <v>3260</v>
      </c>
      <c r="N138" s="67"/>
      <c r="O138" s="67"/>
      <c r="P138" s="67"/>
      <c r="Q138" s="67"/>
      <c r="R138" s="67"/>
      <c r="S138" s="69">
        <f>-40%*SUM(S118:S137)</f>
        <v>-3260</v>
      </c>
    </row>
    <row r="139" spans="2:19">
      <c r="B139" s="83">
        <v>15</v>
      </c>
      <c r="C139" s="67">
        <f>-O139</f>
        <v>-1956</v>
      </c>
      <c r="D139" s="67"/>
      <c r="E139" s="67"/>
      <c r="F139" s="67"/>
      <c r="G139" s="67"/>
      <c r="H139" s="67"/>
      <c r="I139" s="68"/>
      <c r="J139" s="67"/>
      <c r="K139" s="67"/>
      <c r="L139" s="67"/>
      <c r="M139" s="67"/>
      <c r="N139" s="67"/>
      <c r="O139" s="67">
        <f>-R139/2</f>
        <v>1956</v>
      </c>
      <c r="P139" s="67"/>
      <c r="Q139" s="67"/>
      <c r="R139" s="67">
        <f>-4890*0.8</f>
        <v>-3912</v>
      </c>
      <c r="S139" s="69"/>
    </row>
    <row r="140" spans="2:19">
      <c r="B140" s="132" t="s">
        <v>95</v>
      </c>
      <c r="C140" s="75"/>
      <c r="D140" s="135"/>
      <c r="E140" s="135"/>
      <c r="F140" s="135"/>
      <c r="G140" s="135"/>
      <c r="H140" s="135"/>
      <c r="I140" s="64"/>
      <c r="J140" s="132"/>
      <c r="K140" s="135"/>
      <c r="L140" s="135"/>
      <c r="M140" s="135"/>
      <c r="N140" s="135"/>
      <c r="O140" s="135"/>
      <c r="P140" s="135"/>
      <c r="Q140" s="135"/>
      <c r="R140" s="117">
        <f>-S140</f>
        <v>4890</v>
      </c>
      <c r="S140" s="65">
        <f>-SUM(S118:S139)</f>
        <v>-4890</v>
      </c>
    </row>
    <row r="141" spans="2:19">
      <c r="B141" s="2" t="s">
        <v>35</v>
      </c>
      <c r="C141" s="24">
        <f t="shared" ref="C141:S141" si="11">SUM(C117:C140)</f>
        <v>649</v>
      </c>
      <c r="D141" s="25">
        <f t="shared" si="11"/>
        <v>6000</v>
      </c>
      <c r="E141" s="25">
        <f t="shared" si="11"/>
        <v>7000</v>
      </c>
      <c r="F141" s="25">
        <f t="shared" si="11"/>
        <v>1000</v>
      </c>
      <c r="G141" s="25">
        <f t="shared" si="11"/>
        <v>0</v>
      </c>
      <c r="H141" s="25">
        <f t="shared" si="11"/>
        <v>15000</v>
      </c>
      <c r="I141" s="26">
        <f t="shared" si="11"/>
        <v>-400</v>
      </c>
      <c r="J141" s="24">
        <f t="shared" si="11"/>
        <v>8000</v>
      </c>
      <c r="K141" s="25">
        <f t="shared" si="11"/>
        <v>1300</v>
      </c>
      <c r="L141" s="25">
        <f t="shared" si="11"/>
        <v>0</v>
      </c>
      <c r="M141" s="25">
        <f t="shared" si="11"/>
        <v>3260</v>
      </c>
      <c r="N141" s="25">
        <f t="shared" si="11"/>
        <v>0</v>
      </c>
      <c r="O141" s="25">
        <f t="shared" si="11"/>
        <v>1956</v>
      </c>
      <c r="P141" s="25">
        <f t="shared" si="11"/>
        <v>13000</v>
      </c>
      <c r="Q141" s="25">
        <f t="shared" si="11"/>
        <v>0</v>
      </c>
      <c r="R141" s="25">
        <f t="shared" si="11"/>
        <v>1733</v>
      </c>
      <c r="S141" s="57">
        <f t="shared" si="11"/>
        <v>0</v>
      </c>
    </row>
    <row r="144" spans="2:19">
      <c r="C144" s="1" t="s">
        <v>19</v>
      </c>
      <c r="E144" s="1">
        <f>SUM(C141:I141)</f>
        <v>29249</v>
      </c>
      <c r="I144" s="78"/>
    </row>
    <row r="145" spans="3:9">
      <c r="C145" s="1" t="s">
        <v>20</v>
      </c>
      <c r="E145" s="1">
        <f>+SUM(J141:S141)</f>
        <v>29249</v>
      </c>
      <c r="I145" s="78"/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2:K106"/>
  <sheetViews>
    <sheetView workbookViewId="0"/>
  </sheetViews>
  <sheetFormatPr defaultRowHeight="15"/>
  <sheetData>
    <row r="2" spans="2:11" ht="105">
      <c r="B2" s="154" t="s">
        <v>39</v>
      </c>
      <c r="C2" s="155"/>
      <c r="D2" s="155"/>
      <c r="E2" s="155"/>
      <c r="F2" s="155"/>
      <c r="G2" s="155"/>
      <c r="H2" s="156"/>
    </row>
    <row r="3" spans="2:11">
      <c r="B3" s="128" t="s">
        <v>19</v>
      </c>
      <c r="C3" s="32">
        <v>41670</v>
      </c>
      <c r="D3" s="32">
        <v>41698</v>
      </c>
      <c r="E3" s="32">
        <v>41729</v>
      </c>
      <c r="F3" s="32">
        <v>41759</v>
      </c>
      <c r="G3" s="32">
        <v>41790</v>
      </c>
      <c r="H3" s="33">
        <v>41820</v>
      </c>
    </row>
    <row r="4" spans="2:11" ht="30">
      <c r="B4" s="34" t="s">
        <v>40</v>
      </c>
      <c r="C4" s="22"/>
      <c r="D4" s="22"/>
      <c r="E4" s="22"/>
      <c r="F4" s="22"/>
      <c r="G4" s="22"/>
      <c r="H4" s="23"/>
    </row>
    <row r="5" spans="2:11" ht="30">
      <c r="B5" s="34" t="s">
        <v>23</v>
      </c>
      <c r="C5" s="22"/>
      <c r="D5" s="22"/>
      <c r="E5" s="22"/>
      <c r="F5" s="22"/>
      <c r="G5" s="22"/>
      <c r="H5" s="23"/>
    </row>
    <row r="6" spans="2:11">
      <c r="B6" s="34" t="s">
        <v>29</v>
      </c>
      <c r="C6" s="22"/>
      <c r="D6" s="22"/>
      <c r="E6" s="22"/>
      <c r="F6" s="22"/>
      <c r="G6" s="22"/>
      <c r="H6" s="23"/>
    </row>
    <row r="7" spans="2:11" ht="45">
      <c r="B7" s="34" t="s">
        <v>130</v>
      </c>
      <c r="C7" s="22"/>
      <c r="D7" s="22"/>
      <c r="E7" s="22"/>
      <c r="F7" s="22"/>
      <c r="G7" s="22"/>
      <c r="H7" s="23"/>
      <c r="J7" s="124"/>
      <c r="K7" s="124"/>
    </row>
    <row r="8" spans="2:11">
      <c r="B8" s="34" t="s">
        <v>62</v>
      </c>
      <c r="C8" s="22"/>
      <c r="D8" s="22"/>
      <c r="E8" s="22"/>
      <c r="F8" s="22"/>
      <c r="G8" s="22"/>
      <c r="H8" s="23"/>
    </row>
    <row r="9" spans="2:11">
      <c r="B9" s="34" t="s">
        <v>64</v>
      </c>
      <c r="C9" s="22"/>
      <c r="D9" s="22"/>
      <c r="E9" s="22"/>
      <c r="F9" s="22"/>
      <c r="G9" s="22"/>
      <c r="H9" s="23"/>
    </row>
    <row r="10" spans="2:11" ht="45">
      <c r="B10" s="34" t="s">
        <v>69</v>
      </c>
      <c r="C10" s="22"/>
      <c r="D10" s="22"/>
      <c r="E10" s="22"/>
      <c r="F10" s="22"/>
      <c r="G10" s="22"/>
      <c r="H10" s="23"/>
    </row>
    <row r="11" spans="2:11">
      <c r="B11" s="34"/>
      <c r="C11" s="22"/>
      <c r="D11" s="22"/>
      <c r="E11" s="22"/>
      <c r="F11" s="22"/>
      <c r="G11" s="22"/>
      <c r="H11" s="23"/>
    </row>
    <row r="12" spans="2:11">
      <c r="B12" s="35" t="s">
        <v>41</v>
      </c>
      <c r="C12" s="36">
        <f>SUM(C4:C11)</f>
        <v>0</v>
      </c>
      <c r="D12" s="36">
        <f>SUM(D4:D11)</f>
        <v>0</v>
      </c>
      <c r="E12" s="36">
        <f t="shared" ref="E12:H12" si="0">SUM(E4:E11)</f>
        <v>0</v>
      </c>
      <c r="F12" s="36">
        <f t="shared" si="0"/>
        <v>0</v>
      </c>
      <c r="G12" s="36">
        <f t="shared" si="0"/>
        <v>0</v>
      </c>
      <c r="H12" s="37">
        <f t="shared" si="0"/>
        <v>0</v>
      </c>
    </row>
    <row r="13" spans="2:11" ht="30">
      <c r="B13" s="128" t="s">
        <v>33</v>
      </c>
      <c r="C13" s="32">
        <f>+C3</f>
        <v>41670</v>
      </c>
      <c r="D13" s="32">
        <f t="shared" ref="D13:H13" si="1">+D3</f>
        <v>41698</v>
      </c>
      <c r="E13" s="32">
        <f t="shared" si="1"/>
        <v>41729</v>
      </c>
      <c r="F13" s="32">
        <f t="shared" si="1"/>
        <v>41759</v>
      </c>
      <c r="G13" s="32">
        <f t="shared" si="1"/>
        <v>41790</v>
      </c>
      <c r="H13" s="33">
        <f t="shared" si="1"/>
        <v>41820</v>
      </c>
    </row>
    <row r="14" spans="2:11" ht="45">
      <c r="B14" s="34" t="s">
        <v>42</v>
      </c>
      <c r="C14" s="22"/>
      <c r="D14" s="22"/>
      <c r="E14" s="22"/>
      <c r="F14" s="22"/>
      <c r="G14" s="22"/>
      <c r="H14" s="23"/>
    </row>
    <row r="15" spans="2:11" ht="30">
      <c r="B15" s="34" t="s">
        <v>37</v>
      </c>
      <c r="C15" s="22"/>
      <c r="D15" s="22"/>
      <c r="E15" s="22"/>
      <c r="F15" s="22"/>
      <c r="G15" s="22"/>
      <c r="H15" s="23"/>
    </row>
    <row r="16" spans="2:11" ht="45">
      <c r="B16" s="34" t="s">
        <v>131</v>
      </c>
      <c r="C16" s="22"/>
      <c r="D16" s="22"/>
      <c r="E16" s="22"/>
      <c r="F16" s="22"/>
      <c r="G16" s="22"/>
      <c r="H16" s="23"/>
    </row>
    <row r="17" spans="2:11" ht="30">
      <c r="B17" s="34" t="s">
        <v>128</v>
      </c>
      <c r="C17" s="22"/>
      <c r="D17" s="22"/>
      <c r="E17" s="22"/>
      <c r="F17" s="22"/>
      <c r="G17" s="22"/>
      <c r="H17" s="23"/>
    </row>
    <row r="18" spans="2:11" ht="45">
      <c r="B18" s="34" t="s">
        <v>43</v>
      </c>
      <c r="C18" s="22"/>
      <c r="D18" s="22"/>
      <c r="E18" s="22"/>
      <c r="F18" s="22"/>
      <c r="G18" s="22"/>
      <c r="H18" s="23"/>
    </row>
    <row r="19" spans="2:11" ht="45">
      <c r="B19" s="34" t="s">
        <v>129</v>
      </c>
      <c r="C19" s="22"/>
      <c r="D19" s="22"/>
      <c r="E19" s="22"/>
      <c r="F19" s="22"/>
      <c r="G19" s="22"/>
      <c r="H19" s="23"/>
    </row>
    <row r="20" spans="2:11" ht="30">
      <c r="B20" s="34" t="s">
        <v>24</v>
      </c>
      <c r="C20" s="22"/>
      <c r="D20" s="22"/>
      <c r="E20" s="22"/>
      <c r="F20" s="22"/>
      <c r="G20" s="22"/>
      <c r="H20" s="23"/>
    </row>
    <row r="21" spans="2:11">
      <c r="B21" s="34" t="s">
        <v>70</v>
      </c>
      <c r="C21" s="22"/>
      <c r="D21" s="22"/>
      <c r="E21" s="22"/>
      <c r="F21" s="22"/>
      <c r="G21" s="22"/>
      <c r="H21" s="23"/>
      <c r="J21" s="124"/>
      <c r="K21" s="124"/>
    </row>
    <row r="22" spans="2:11" ht="45">
      <c r="B22" s="34" t="s">
        <v>72</v>
      </c>
      <c r="C22" s="22"/>
      <c r="D22" s="22"/>
      <c r="E22" s="22"/>
      <c r="F22" s="22"/>
      <c r="G22" s="22"/>
      <c r="H22" s="23"/>
    </row>
    <row r="23" spans="2:11">
      <c r="B23" s="34"/>
      <c r="C23" s="22"/>
      <c r="D23" s="22"/>
      <c r="E23" s="22"/>
      <c r="F23" s="22"/>
      <c r="G23" s="22"/>
      <c r="H23" s="23"/>
    </row>
    <row r="24" spans="2:11">
      <c r="B24" s="35" t="s">
        <v>41</v>
      </c>
      <c r="C24" s="36">
        <f t="shared" ref="C24:H24" si="2">SUM(C14:C23)</f>
        <v>0</v>
      </c>
      <c r="D24" s="36">
        <f t="shared" si="2"/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7">
        <f t="shared" si="2"/>
        <v>0</v>
      </c>
    </row>
    <row r="26" spans="2:11" ht="168.75">
      <c r="B26" s="158" t="s">
        <v>54</v>
      </c>
      <c r="C26" s="159"/>
      <c r="D26" s="159"/>
      <c r="E26" s="159"/>
      <c r="F26" s="159"/>
      <c r="G26" s="159"/>
      <c r="H26" s="160"/>
    </row>
    <row r="27" spans="2:11">
      <c r="B27" s="128"/>
      <c r="C27" s="32" t="str">
        <f>+C51</f>
        <v>JAN</v>
      </c>
      <c r="D27" s="32" t="str">
        <f t="shared" ref="D27:E27" si="3">+D51</f>
        <v>FEV</v>
      </c>
      <c r="E27" s="32" t="str">
        <f t="shared" si="3"/>
        <v>MAR</v>
      </c>
      <c r="F27" s="32" t="s">
        <v>97</v>
      </c>
      <c r="G27" s="32" t="s">
        <v>125</v>
      </c>
      <c r="H27" s="33" t="s">
        <v>142</v>
      </c>
    </row>
    <row r="28" spans="2:11" ht="30">
      <c r="B28" s="50" t="s">
        <v>13</v>
      </c>
      <c r="C28" s="19"/>
      <c r="D28" s="19"/>
      <c r="E28" s="19"/>
      <c r="F28" s="19"/>
      <c r="G28" s="19"/>
      <c r="H28" s="20"/>
    </row>
    <row r="29" spans="2:11">
      <c r="B29" s="51" t="s">
        <v>14</v>
      </c>
      <c r="C29" s="52"/>
      <c r="D29" s="52"/>
      <c r="E29" s="52"/>
      <c r="F29" s="52"/>
      <c r="G29" s="52"/>
      <c r="H29" s="53"/>
    </row>
    <row r="30" spans="2:11" ht="30">
      <c r="B30" s="50" t="s">
        <v>55</v>
      </c>
      <c r="C30" s="19"/>
      <c r="D30" s="19"/>
      <c r="E30" s="19"/>
      <c r="F30" s="19"/>
      <c r="G30" s="19"/>
      <c r="H30" s="20"/>
    </row>
    <row r="31" spans="2:11" ht="75">
      <c r="B31" s="51" t="s">
        <v>56</v>
      </c>
      <c r="C31" s="52"/>
      <c r="D31" s="52"/>
      <c r="E31" s="52"/>
      <c r="F31" s="52"/>
      <c r="G31" s="52"/>
      <c r="H31" s="53"/>
    </row>
    <row r="32" spans="2:11" ht="75">
      <c r="B32" s="51" t="s">
        <v>57</v>
      </c>
      <c r="C32" s="52"/>
      <c r="D32" s="52"/>
      <c r="E32" s="52"/>
      <c r="F32" s="52"/>
      <c r="G32" s="52"/>
      <c r="H32" s="53"/>
    </row>
    <row r="33" spans="2:8" ht="45">
      <c r="B33" s="51" t="s">
        <v>132</v>
      </c>
      <c r="C33" s="52"/>
      <c r="D33" s="52"/>
      <c r="E33" s="52"/>
      <c r="F33" s="52"/>
      <c r="G33" s="52"/>
      <c r="H33" s="53"/>
    </row>
    <row r="34" spans="2:8" ht="45">
      <c r="B34" s="51" t="s">
        <v>58</v>
      </c>
      <c r="C34" s="52"/>
      <c r="D34" s="52"/>
      <c r="E34" s="52"/>
      <c r="F34" s="52"/>
      <c r="G34" s="52"/>
      <c r="H34" s="53"/>
    </row>
    <row r="35" spans="2:8" ht="60">
      <c r="B35" s="50" t="s">
        <v>16</v>
      </c>
      <c r="C35" s="19"/>
      <c r="D35" s="19"/>
      <c r="E35" s="19"/>
      <c r="F35" s="19"/>
      <c r="G35" s="19"/>
      <c r="H35" s="20"/>
    </row>
    <row r="36" spans="2:8" ht="45">
      <c r="B36" s="51" t="s">
        <v>71</v>
      </c>
      <c r="C36" s="52"/>
      <c r="D36" s="52"/>
      <c r="E36" s="52"/>
      <c r="F36" s="52"/>
      <c r="G36" s="52"/>
      <c r="H36" s="53"/>
    </row>
    <row r="37" spans="2:8" ht="45">
      <c r="B37" s="51" t="s">
        <v>133</v>
      </c>
      <c r="C37" s="52"/>
      <c r="D37" s="52"/>
      <c r="E37" s="52"/>
      <c r="F37" s="52"/>
      <c r="G37" s="52"/>
      <c r="H37" s="53"/>
    </row>
    <row r="38" spans="2:8" ht="30">
      <c r="B38" s="50" t="s">
        <v>134</v>
      </c>
      <c r="C38" s="19"/>
      <c r="D38" s="19"/>
      <c r="E38" s="19"/>
      <c r="F38" s="19"/>
      <c r="G38" s="19"/>
      <c r="H38" s="20"/>
    </row>
    <row r="39" spans="2:8" ht="30">
      <c r="B39" s="51" t="s">
        <v>135</v>
      </c>
      <c r="C39" s="52"/>
      <c r="D39" s="52"/>
      <c r="E39" s="52"/>
      <c r="F39" s="52"/>
      <c r="G39" s="52"/>
      <c r="H39" s="53"/>
    </row>
    <row r="40" spans="2:8" ht="45">
      <c r="B40" s="35" t="s">
        <v>59</v>
      </c>
      <c r="C40" s="36">
        <f>+SUM(C38:C39)</f>
        <v>0</v>
      </c>
      <c r="D40" s="36">
        <f t="shared" ref="D40:H40" si="4">+SUM(D38:D39)</f>
        <v>0</v>
      </c>
      <c r="E40" s="36">
        <f t="shared" si="4"/>
        <v>0</v>
      </c>
      <c r="F40" s="36">
        <f t="shared" si="4"/>
        <v>0</v>
      </c>
      <c r="G40" s="36">
        <f t="shared" si="4"/>
        <v>0</v>
      </c>
      <c r="H40" s="37">
        <f t="shared" si="4"/>
        <v>0</v>
      </c>
    </row>
    <row r="42" spans="2:8" ht="131.25">
      <c r="B42" s="161" t="s">
        <v>87</v>
      </c>
      <c r="C42" s="162"/>
      <c r="D42" s="162"/>
      <c r="E42" s="162"/>
      <c r="F42" s="162"/>
      <c r="G42" s="162"/>
      <c r="H42" s="162"/>
    </row>
    <row r="43" spans="2:8">
      <c r="B43" s="128"/>
      <c r="C43" s="32" t="str">
        <f>+C64</f>
        <v>JAN</v>
      </c>
      <c r="D43" s="32" t="str">
        <f t="shared" ref="D43:E43" si="5">+D64</f>
        <v>FEV</v>
      </c>
      <c r="E43" s="32" t="str">
        <f t="shared" si="5"/>
        <v>MAR</v>
      </c>
      <c r="F43" s="32" t="s">
        <v>97</v>
      </c>
      <c r="G43" s="32" t="s">
        <v>125</v>
      </c>
      <c r="H43" s="33" t="str">
        <f>+H27</f>
        <v>JUN</v>
      </c>
    </row>
    <row r="44" spans="2:8" ht="45">
      <c r="B44" s="50" t="s">
        <v>88</v>
      </c>
      <c r="C44" s="19"/>
      <c r="D44" s="19"/>
      <c r="E44" s="19"/>
      <c r="F44" s="19"/>
      <c r="G44" s="19"/>
      <c r="H44" s="20"/>
    </row>
    <row r="45" spans="2:8" ht="60">
      <c r="B45" s="51" t="s">
        <v>89</v>
      </c>
      <c r="C45" s="52"/>
      <c r="D45" s="52"/>
      <c r="E45" s="52"/>
      <c r="F45" s="52"/>
      <c r="G45" s="52"/>
      <c r="H45" s="53"/>
    </row>
    <row r="46" spans="2:8" ht="60">
      <c r="B46" s="51" t="s">
        <v>90</v>
      </c>
      <c r="C46" s="52"/>
      <c r="D46" s="52"/>
      <c r="E46" s="52"/>
      <c r="F46" s="52"/>
      <c r="G46" s="52"/>
      <c r="H46" s="53"/>
    </row>
    <row r="47" spans="2:8" ht="45">
      <c r="B47" s="51" t="s">
        <v>91</v>
      </c>
      <c r="C47" s="52"/>
      <c r="D47" s="52"/>
      <c r="E47" s="52"/>
      <c r="F47" s="52"/>
      <c r="G47" s="52"/>
      <c r="H47" s="53"/>
    </row>
    <row r="48" spans="2:8" ht="45">
      <c r="B48" s="77" t="s">
        <v>92</v>
      </c>
      <c r="C48" s="25"/>
      <c r="D48" s="25"/>
      <c r="E48" s="25"/>
      <c r="F48" s="25"/>
      <c r="G48" s="25"/>
      <c r="H48" s="26"/>
    </row>
    <row r="50" spans="2:8" ht="187.5">
      <c r="B50" s="158" t="s">
        <v>49</v>
      </c>
      <c r="C50" s="159"/>
      <c r="D50" s="159"/>
      <c r="E50" s="159"/>
      <c r="F50" s="159"/>
      <c r="G50" s="159"/>
      <c r="H50" s="160"/>
    </row>
    <row r="51" spans="2:8" ht="45">
      <c r="B51" s="38" t="s">
        <v>44</v>
      </c>
      <c r="C51" s="129" t="s">
        <v>45</v>
      </c>
      <c r="D51" s="129" t="s">
        <v>46</v>
      </c>
      <c r="E51" s="129" t="s">
        <v>60</v>
      </c>
      <c r="F51" s="129" t="s">
        <v>97</v>
      </c>
      <c r="G51" s="129" t="s">
        <v>125</v>
      </c>
      <c r="H51" s="130" t="str">
        <f>+H43</f>
        <v>JUN</v>
      </c>
    </row>
    <row r="52" spans="2:8" ht="60">
      <c r="B52" s="39" t="s">
        <v>73</v>
      </c>
      <c r="C52" s="40"/>
      <c r="D52" s="40"/>
      <c r="E52" s="40"/>
      <c r="F52" s="40"/>
      <c r="G52" s="40"/>
      <c r="H52" s="41"/>
    </row>
    <row r="53" spans="2:8" ht="60">
      <c r="B53" s="39" t="s">
        <v>53</v>
      </c>
      <c r="C53" s="40"/>
      <c r="D53" s="40"/>
      <c r="E53" s="40"/>
      <c r="F53" s="40"/>
      <c r="G53" s="40"/>
      <c r="H53" s="41"/>
    </row>
    <row r="54" spans="2:8" ht="60">
      <c r="B54" s="39" t="s">
        <v>74</v>
      </c>
      <c r="C54" s="40"/>
      <c r="D54" s="40"/>
      <c r="E54" s="40"/>
      <c r="F54" s="40"/>
      <c r="G54" s="40"/>
      <c r="H54" s="41"/>
    </row>
    <row r="55" spans="2:8">
      <c r="B55" s="39" t="s">
        <v>147</v>
      </c>
      <c r="C55" s="40"/>
      <c r="D55" s="40"/>
      <c r="E55" s="40"/>
      <c r="F55" s="40"/>
      <c r="G55" s="40"/>
      <c r="H55" s="41"/>
    </row>
    <row r="56" spans="2:8">
      <c r="B56" s="39"/>
      <c r="C56" s="40"/>
      <c r="D56" s="40"/>
      <c r="E56" s="40"/>
      <c r="F56" s="40"/>
      <c r="G56" s="40"/>
      <c r="H56" s="41"/>
    </row>
    <row r="57" spans="2:8">
      <c r="B57" s="35" t="s">
        <v>41</v>
      </c>
      <c r="C57" s="36">
        <f>+SUM(C52:C56)</f>
        <v>0</v>
      </c>
      <c r="D57" s="36">
        <f t="shared" ref="D57:H57" si="6">+SUM(D52:D56)</f>
        <v>0</v>
      </c>
      <c r="E57" s="36">
        <f t="shared" si="6"/>
        <v>0</v>
      </c>
      <c r="F57" s="36">
        <f t="shared" si="6"/>
        <v>0</v>
      </c>
      <c r="G57" s="36">
        <f t="shared" si="6"/>
        <v>0</v>
      </c>
      <c r="H57" s="37">
        <f t="shared" si="6"/>
        <v>0</v>
      </c>
    </row>
    <row r="58" spans="2:8" ht="45">
      <c r="B58" s="38" t="s">
        <v>47</v>
      </c>
      <c r="C58" s="129" t="str">
        <f>+C51</f>
        <v>JAN</v>
      </c>
      <c r="D58" s="129" t="str">
        <f t="shared" ref="D58:F58" si="7">+D51</f>
        <v>FEV</v>
      </c>
      <c r="E58" s="129" t="str">
        <f t="shared" si="7"/>
        <v>MAR</v>
      </c>
      <c r="F58" s="129" t="str">
        <f t="shared" si="7"/>
        <v>ABR</v>
      </c>
      <c r="G58" s="129" t="s">
        <v>125</v>
      </c>
      <c r="H58" s="130" t="str">
        <f>+H51</f>
        <v>JUN</v>
      </c>
    </row>
    <row r="59" spans="2:8" ht="30">
      <c r="B59" s="39" t="s">
        <v>52</v>
      </c>
      <c r="C59" s="40"/>
      <c r="D59" s="40"/>
      <c r="E59" s="40"/>
      <c r="F59" s="40"/>
      <c r="G59" s="40"/>
      <c r="H59" s="41"/>
    </row>
    <row r="60" spans="2:8">
      <c r="B60" s="39"/>
      <c r="C60" s="40"/>
      <c r="D60" s="40"/>
      <c r="E60" s="40"/>
      <c r="F60" s="40"/>
      <c r="G60" s="40"/>
      <c r="H60" s="41"/>
    </row>
    <row r="61" spans="2:8">
      <c r="B61" s="39"/>
      <c r="C61" s="40"/>
      <c r="D61" s="40"/>
      <c r="E61" s="40"/>
      <c r="F61" s="40"/>
      <c r="G61" s="40"/>
      <c r="H61" s="41"/>
    </row>
    <row r="62" spans="2:8">
      <c r="B62" s="39"/>
      <c r="C62" s="40"/>
      <c r="D62" s="40"/>
      <c r="E62" s="40"/>
      <c r="F62" s="40"/>
      <c r="G62" s="40"/>
      <c r="H62" s="41"/>
    </row>
    <row r="63" spans="2:8">
      <c r="B63" s="35" t="s">
        <v>41</v>
      </c>
      <c r="C63" s="36">
        <f>+SUM(C59:C62)</f>
        <v>0</v>
      </c>
      <c r="D63" s="36">
        <f t="shared" ref="D63:H63" si="8">+SUM(D59:D62)</f>
        <v>0</v>
      </c>
      <c r="E63" s="36">
        <f t="shared" si="8"/>
        <v>0</v>
      </c>
      <c r="F63" s="36">
        <f t="shared" si="8"/>
        <v>0</v>
      </c>
      <c r="G63" s="36">
        <f t="shared" si="8"/>
        <v>0</v>
      </c>
      <c r="H63" s="37">
        <f t="shared" si="8"/>
        <v>0</v>
      </c>
    </row>
    <row r="64" spans="2:8" ht="60">
      <c r="B64" s="38" t="s">
        <v>48</v>
      </c>
      <c r="C64" s="129" t="str">
        <f>+C58</f>
        <v>JAN</v>
      </c>
      <c r="D64" s="129" t="str">
        <f t="shared" ref="D64:F64" si="9">+D58</f>
        <v>FEV</v>
      </c>
      <c r="E64" s="129" t="str">
        <f t="shared" si="9"/>
        <v>MAR</v>
      </c>
      <c r="F64" s="129" t="str">
        <f t="shared" si="9"/>
        <v>ABR</v>
      </c>
      <c r="G64" s="129" t="s">
        <v>125</v>
      </c>
      <c r="H64" s="130" t="str">
        <f>+H58</f>
        <v>JUN</v>
      </c>
    </row>
    <row r="65" spans="2:8" ht="45">
      <c r="B65" s="39" t="s">
        <v>51</v>
      </c>
      <c r="C65" s="40"/>
      <c r="D65" s="40"/>
      <c r="E65" s="40"/>
      <c r="F65" s="40"/>
      <c r="G65" s="40"/>
      <c r="H65" s="41"/>
    </row>
    <row r="66" spans="2:8" ht="30">
      <c r="B66" s="39" t="s">
        <v>50</v>
      </c>
      <c r="C66" s="40"/>
      <c r="D66" s="40"/>
      <c r="E66" s="40"/>
      <c r="F66" s="40"/>
      <c r="G66" s="40"/>
      <c r="H66" s="41"/>
    </row>
    <row r="67" spans="2:8">
      <c r="B67" s="39" t="s">
        <v>75</v>
      </c>
      <c r="C67" s="40"/>
      <c r="D67" s="40"/>
      <c r="E67" s="40"/>
      <c r="F67" s="40"/>
      <c r="G67" s="40"/>
      <c r="H67" s="41"/>
    </row>
    <row r="68" spans="2:8" ht="30">
      <c r="B68" s="39" t="s">
        <v>98</v>
      </c>
      <c r="C68" s="40"/>
      <c r="D68" s="40"/>
      <c r="E68" s="40"/>
      <c r="F68" s="40"/>
      <c r="G68" s="40"/>
      <c r="H68" s="41"/>
    </row>
    <row r="69" spans="2:8">
      <c r="B69" s="35" t="s">
        <v>41</v>
      </c>
      <c r="C69" s="36">
        <f>+SUM(C65:C68)</f>
        <v>0</v>
      </c>
      <c r="D69" s="36">
        <f t="shared" ref="D69" si="10">+SUM(D65:D68)</f>
        <v>0</v>
      </c>
      <c r="E69" s="36">
        <f t="shared" ref="E69:H69" si="11">+SUM(E65:E68)</f>
        <v>0</v>
      </c>
      <c r="F69" s="36">
        <f t="shared" si="11"/>
        <v>0</v>
      </c>
      <c r="G69" s="36">
        <f t="shared" si="11"/>
        <v>0</v>
      </c>
      <c r="H69" s="37">
        <f t="shared" si="11"/>
        <v>0</v>
      </c>
    </row>
    <row r="70" spans="2:8" ht="30">
      <c r="B70" s="44" t="s">
        <v>5</v>
      </c>
      <c r="C70" s="42">
        <f>+C57+C63+C69</f>
        <v>0</v>
      </c>
      <c r="D70" s="42">
        <f t="shared" ref="D70:H70" si="12">+D57+D63+D69</f>
        <v>0</v>
      </c>
      <c r="E70" s="42">
        <f t="shared" si="12"/>
        <v>0</v>
      </c>
      <c r="F70" s="42">
        <f t="shared" si="12"/>
        <v>0</v>
      </c>
      <c r="G70" s="42">
        <f t="shared" si="12"/>
        <v>0</v>
      </c>
      <c r="H70" s="43">
        <f t="shared" si="12"/>
        <v>0</v>
      </c>
    </row>
    <row r="72" spans="2:8" ht="45">
      <c r="B72" s="45" t="s">
        <v>9</v>
      </c>
      <c r="C72" s="46">
        <v>0</v>
      </c>
      <c r="D72" s="46">
        <f>+C73</f>
        <v>0</v>
      </c>
      <c r="E72" s="46">
        <f t="shared" ref="E72:F72" si="13">+D73</f>
        <v>0</v>
      </c>
      <c r="F72" s="46">
        <f t="shared" si="13"/>
        <v>0</v>
      </c>
      <c r="G72" s="46">
        <f>+F73</f>
        <v>0</v>
      </c>
      <c r="H72" s="47">
        <f>+G73</f>
        <v>0</v>
      </c>
    </row>
    <row r="73" spans="2:8" ht="45">
      <c r="B73" s="48" t="s">
        <v>10</v>
      </c>
      <c r="C73" s="40">
        <f t="shared" ref="C73:H73" si="14">+C4</f>
        <v>0</v>
      </c>
      <c r="D73" s="40">
        <f t="shared" si="14"/>
        <v>0</v>
      </c>
      <c r="E73" s="40">
        <f t="shared" si="14"/>
        <v>0</v>
      </c>
      <c r="F73" s="40">
        <f t="shared" si="14"/>
        <v>0</v>
      </c>
      <c r="G73" s="40">
        <f t="shared" si="14"/>
        <v>0</v>
      </c>
      <c r="H73" s="41">
        <f t="shared" si="14"/>
        <v>0</v>
      </c>
    </row>
    <row r="74" spans="2:8" ht="30">
      <c r="B74" s="49" t="s">
        <v>5</v>
      </c>
      <c r="C74" s="36">
        <f>+C73-C72</f>
        <v>0</v>
      </c>
      <c r="D74" s="36">
        <f t="shared" ref="D74:H74" si="15">+D73-D72</f>
        <v>0</v>
      </c>
      <c r="E74" s="36">
        <f t="shared" si="15"/>
        <v>0</v>
      </c>
      <c r="F74" s="36">
        <f t="shared" si="15"/>
        <v>0</v>
      </c>
      <c r="G74" s="36">
        <f t="shared" si="15"/>
        <v>0</v>
      </c>
      <c r="H74" s="37">
        <f t="shared" si="15"/>
        <v>0</v>
      </c>
    </row>
    <row r="76" spans="2:8" ht="206.25">
      <c r="B76" s="158" t="s">
        <v>76</v>
      </c>
      <c r="C76" s="159"/>
      <c r="D76" s="159"/>
      <c r="E76" s="159"/>
      <c r="F76" s="159"/>
      <c r="G76" s="159"/>
      <c r="H76" s="160"/>
    </row>
    <row r="77" spans="2:8" ht="45">
      <c r="B77" s="38" t="s">
        <v>44</v>
      </c>
      <c r="C77" s="129" t="s">
        <v>45</v>
      </c>
      <c r="D77" s="129" t="s">
        <v>46</v>
      </c>
      <c r="E77" s="129" t="s">
        <v>60</v>
      </c>
      <c r="F77" s="129" t="s">
        <v>97</v>
      </c>
      <c r="G77" s="129" t="s">
        <v>125</v>
      </c>
      <c r="H77" s="130" t="str">
        <f>+H51</f>
        <v>JUN</v>
      </c>
    </row>
    <row r="78" spans="2:8" ht="60">
      <c r="B78" s="39" t="s">
        <v>77</v>
      </c>
      <c r="C78" s="40"/>
      <c r="D78" s="40"/>
      <c r="E78" s="40"/>
      <c r="F78" s="40"/>
      <c r="G78" s="40"/>
      <c r="H78" s="41"/>
    </row>
    <row r="79" spans="2:8" ht="45">
      <c r="B79" s="39" t="s">
        <v>78</v>
      </c>
      <c r="C79" s="40"/>
      <c r="D79" s="40"/>
      <c r="E79" s="40"/>
      <c r="F79" s="40"/>
      <c r="G79" s="40"/>
      <c r="H79" s="41"/>
    </row>
    <row r="80" spans="2:8" ht="30">
      <c r="B80" s="39" t="s">
        <v>79</v>
      </c>
      <c r="C80" s="40"/>
      <c r="D80" s="40"/>
      <c r="E80" s="40"/>
      <c r="F80" s="40"/>
      <c r="G80" s="40"/>
      <c r="H80" s="41"/>
    </row>
    <row r="81" spans="2:8" ht="60">
      <c r="B81" s="39" t="s">
        <v>136</v>
      </c>
      <c r="C81" s="40"/>
      <c r="D81" s="40"/>
      <c r="E81" s="40"/>
      <c r="F81" s="40"/>
      <c r="G81" s="40"/>
      <c r="H81" s="41"/>
    </row>
    <row r="82" spans="2:8" ht="60">
      <c r="B82" s="39" t="s">
        <v>86</v>
      </c>
      <c r="C82" s="40"/>
      <c r="D82" s="40"/>
      <c r="E82" s="40"/>
      <c r="F82" s="40"/>
      <c r="G82" s="40"/>
      <c r="H82" s="41"/>
    </row>
    <row r="83" spans="2:8" ht="45">
      <c r="B83" s="39" t="s">
        <v>80</v>
      </c>
      <c r="C83" s="40"/>
      <c r="D83" s="40"/>
      <c r="E83" s="40"/>
      <c r="F83" s="40"/>
      <c r="G83" s="40"/>
      <c r="H83" s="41"/>
    </row>
    <row r="84" spans="2:8" ht="60">
      <c r="B84" s="39" t="s">
        <v>140</v>
      </c>
      <c r="C84" s="40"/>
      <c r="D84" s="40"/>
      <c r="E84" s="40"/>
      <c r="F84" s="40"/>
      <c r="G84" s="40"/>
      <c r="H84" s="41"/>
    </row>
    <row r="85" spans="2:8" ht="60">
      <c r="B85" s="39" t="s">
        <v>84</v>
      </c>
      <c r="C85" s="40"/>
      <c r="D85" s="40"/>
      <c r="E85" s="40"/>
      <c r="F85" s="40"/>
      <c r="G85" s="40"/>
      <c r="H85" s="41"/>
    </row>
    <row r="86" spans="2:8" ht="60">
      <c r="B86" s="39" t="s">
        <v>85</v>
      </c>
      <c r="C86" s="40"/>
      <c r="D86" s="40"/>
      <c r="E86" s="40"/>
      <c r="F86" s="40"/>
      <c r="G86" s="40"/>
      <c r="H86" s="41"/>
    </row>
    <row r="87" spans="2:8" ht="60">
      <c r="B87" s="39" t="s">
        <v>137</v>
      </c>
      <c r="C87" s="40"/>
      <c r="D87" s="40"/>
      <c r="E87" s="40"/>
      <c r="F87" s="40"/>
      <c r="G87" s="40"/>
      <c r="H87" s="41"/>
    </row>
    <row r="88" spans="2:8" ht="45">
      <c r="B88" s="39" t="s">
        <v>138</v>
      </c>
      <c r="C88" s="40"/>
      <c r="D88" s="40"/>
      <c r="E88" s="40"/>
      <c r="F88" s="40"/>
      <c r="G88" s="40"/>
      <c r="H88" s="41"/>
    </row>
    <row r="89" spans="2:8">
      <c r="B89" s="39"/>
      <c r="C89" s="40"/>
      <c r="D89" s="40"/>
      <c r="E89" s="40"/>
      <c r="F89" s="40"/>
      <c r="G89" s="40"/>
      <c r="H89" s="41"/>
    </row>
    <row r="90" spans="2:8">
      <c r="B90" s="35" t="s">
        <v>41</v>
      </c>
      <c r="C90" s="36">
        <f t="shared" ref="C90:H90" si="16">+SUM(C78:C89)</f>
        <v>0</v>
      </c>
      <c r="D90" s="36">
        <f t="shared" si="16"/>
        <v>0</v>
      </c>
      <c r="E90" s="36">
        <f t="shared" si="16"/>
        <v>0</v>
      </c>
      <c r="F90" s="36">
        <f t="shared" si="16"/>
        <v>0</v>
      </c>
      <c r="G90" s="36">
        <f t="shared" si="16"/>
        <v>0</v>
      </c>
      <c r="H90" s="37">
        <f t="shared" si="16"/>
        <v>0</v>
      </c>
    </row>
    <row r="91" spans="2:8" ht="45">
      <c r="B91" s="38" t="s">
        <v>47</v>
      </c>
      <c r="C91" s="129" t="str">
        <f>+C77</f>
        <v>JAN</v>
      </c>
      <c r="D91" s="129" t="str">
        <f>+D77</f>
        <v>FEV</v>
      </c>
      <c r="E91" s="129" t="str">
        <f>+E77</f>
        <v>MAR</v>
      </c>
      <c r="F91" s="129" t="str">
        <f>+F77</f>
        <v>ABR</v>
      </c>
      <c r="G91" s="129" t="s">
        <v>125</v>
      </c>
      <c r="H91" s="130" t="str">
        <f>+H77</f>
        <v>JUN</v>
      </c>
    </row>
    <row r="92" spans="2:8" ht="45">
      <c r="B92" s="39" t="s">
        <v>81</v>
      </c>
      <c r="C92" s="40"/>
      <c r="D92" s="40"/>
      <c r="E92" s="40"/>
      <c r="F92" s="40"/>
      <c r="G92" s="40"/>
      <c r="H92" s="41"/>
    </row>
    <row r="93" spans="2:8" ht="45">
      <c r="B93" s="39" t="s">
        <v>139</v>
      </c>
      <c r="C93" s="40"/>
      <c r="D93" s="40"/>
      <c r="E93" s="40"/>
      <c r="F93" s="40"/>
      <c r="G93" s="40"/>
      <c r="H93" s="41"/>
    </row>
    <row r="94" spans="2:8">
      <c r="B94" s="39"/>
      <c r="C94" s="40"/>
      <c r="D94" s="40"/>
      <c r="E94" s="40"/>
      <c r="F94" s="40"/>
      <c r="G94" s="40"/>
      <c r="H94" s="41"/>
    </row>
    <row r="95" spans="2:8">
      <c r="B95" s="35" t="s">
        <v>41</v>
      </c>
      <c r="C95" s="36">
        <f t="shared" ref="C95:H95" si="17">+SUM(C92:C94)</f>
        <v>0</v>
      </c>
      <c r="D95" s="36">
        <f t="shared" si="17"/>
        <v>0</v>
      </c>
      <c r="E95" s="36">
        <f t="shared" si="17"/>
        <v>0</v>
      </c>
      <c r="F95" s="36">
        <f t="shared" si="17"/>
        <v>0</v>
      </c>
      <c r="G95" s="36">
        <f t="shared" si="17"/>
        <v>0</v>
      </c>
      <c r="H95" s="37">
        <f t="shared" si="17"/>
        <v>0</v>
      </c>
    </row>
    <row r="96" spans="2:8" ht="60">
      <c r="B96" s="38" t="s">
        <v>48</v>
      </c>
      <c r="C96" s="129" t="str">
        <f>+C91</f>
        <v>JAN</v>
      </c>
      <c r="D96" s="129" t="str">
        <f>+D91</f>
        <v>FEV</v>
      </c>
      <c r="E96" s="129" t="str">
        <f>+E91</f>
        <v>MAR</v>
      </c>
      <c r="F96" s="129" t="str">
        <f>+F91</f>
        <v>ABR</v>
      </c>
      <c r="G96" s="129" t="s">
        <v>125</v>
      </c>
      <c r="H96" s="130" t="str">
        <f>+H91</f>
        <v>JUN</v>
      </c>
    </row>
    <row r="97" spans="2:8" ht="60">
      <c r="B97" s="39" t="s">
        <v>82</v>
      </c>
      <c r="C97" s="40"/>
      <c r="D97" s="40"/>
      <c r="E97" s="40"/>
      <c r="F97" s="40"/>
      <c r="G97" s="40"/>
      <c r="H97" s="41"/>
    </row>
    <row r="98" spans="2:8" ht="60">
      <c r="B98" s="39" t="s">
        <v>83</v>
      </c>
      <c r="C98" s="40"/>
      <c r="D98" s="40"/>
      <c r="E98" s="40"/>
      <c r="F98" s="40"/>
      <c r="G98" s="40"/>
      <c r="H98" s="41"/>
    </row>
    <row r="99" spans="2:8" ht="45">
      <c r="B99" s="39" t="s">
        <v>71</v>
      </c>
      <c r="C99" s="40"/>
      <c r="D99" s="40"/>
      <c r="E99" s="40"/>
      <c r="F99" s="40"/>
      <c r="G99" s="40"/>
      <c r="H99" s="41"/>
    </row>
    <row r="100" spans="2:8" ht="45">
      <c r="B100" s="39" t="s">
        <v>141</v>
      </c>
      <c r="C100" s="40"/>
      <c r="D100" s="40"/>
      <c r="E100" s="40"/>
      <c r="F100" s="40"/>
      <c r="G100" s="40"/>
      <c r="H100" s="41"/>
    </row>
    <row r="101" spans="2:8">
      <c r="B101" s="35" t="s">
        <v>41</v>
      </c>
      <c r="C101" s="36">
        <f t="shared" ref="C101:E101" si="18">+SUM(C97:C100)</f>
        <v>0</v>
      </c>
      <c r="D101" s="36">
        <f t="shared" si="18"/>
        <v>0</v>
      </c>
      <c r="E101" s="36">
        <f t="shared" si="18"/>
        <v>0</v>
      </c>
      <c r="F101" s="36">
        <f>+SUM(F97:F100)</f>
        <v>0</v>
      </c>
      <c r="G101" s="36">
        <f>+SUM(G97:G100)</f>
        <v>0</v>
      </c>
      <c r="H101" s="37">
        <f>+SUM(H97:H100)</f>
        <v>0</v>
      </c>
    </row>
    <row r="102" spans="2:8" ht="30">
      <c r="B102" s="44" t="s">
        <v>5</v>
      </c>
      <c r="C102" s="42">
        <f t="shared" ref="C102:H102" si="19">+C90+C95+C101</f>
        <v>0</v>
      </c>
      <c r="D102" s="42">
        <f t="shared" si="19"/>
        <v>0</v>
      </c>
      <c r="E102" s="42">
        <f t="shared" si="19"/>
        <v>0</v>
      </c>
      <c r="F102" s="42">
        <f t="shared" si="19"/>
        <v>0</v>
      </c>
      <c r="G102" s="42">
        <f t="shared" si="19"/>
        <v>0</v>
      </c>
      <c r="H102" s="43">
        <f t="shared" si="19"/>
        <v>0</v>
      </c>
    </row>
    <row r="104" spans="2:8" ht="45">
      <c r="B104" s="45" t="s">
        <v>9</v>
      </c>
      <c r="C104" s="46">
        <v>0</v>
      </c>
      <c r="D104" s="46">
        <f>+C105</f>
        <v>0</v>
      </c>
      <c r="E104" s="46">
        <f t="shared" ref="E104:F104" si="20">+D105</f>
        <v>0</v>
      </c>
      <c r="F104" s="46">
        <f t="shared" si="20"/>
        <v>0</v>
      </c>
      <c r="G104" s="46">
        <f>+F105</f>
        <v>0</v>
      </c>
      <c r="H104" s="47">
        <f>+G105</f>
        <v>0</v>
      </c>
    </row>
    <row r="105" spans="2:8" ht="45">
      <c r="B105" s="48" t="s">
        <v>10</v>
      </c>
      <c r="C105" s="40">
        <f>+C104+C102</f>
        <v>0</v>
      </c>
      <c r="D105" s="40">
        <f t="shared" ref="D105:H105" si="21">+D104+D102</f>
        <v>0</v>
      </c>
      <c r="E105" s="40">
        <f t="shared" si="21"/>
        <v>0</v>
      </c>
      <c r="F105" s="40">
        <f t="shared" si="21"/>
        <v>0</v>
      </c>
      <c r="G105" s="40">
        <f t="shared" si="21"/>
        <v>0</v>
      </c>
      <c r="H105" s="41">
        <f t="shared" si="21"/>
        <v>0</v>
      </c>
    </row>
    <row r="106" spans="2:8" ht="30">
      <c r="B106" s="49" t="s">
        <v>5</v>
      </c>
      <c r="C106" s="36">
        <f>+C105-C104</f>
        <v>0</v>
      </c>
      <c r="D106" s="36">
        <f t="shared" ref="D106:H106" si="22">+D105-D104</f>
        <v>0</v>
      </c>
      <c r="E106" s="36">
        <f t="shared" si="22"/>
        <v>0</v>
      </c>
      <c r="F106" s="36">
        <f t="shared" si="22"/>
        <v>0</v>
      </c>
      <c r="G106" s="36">
        <f t="shared" si="22"/>
        <v>0</v>
      </c>
      <c r="H106" s="37">
        <f t="shared" si="22"/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dimension ref="B2:H57"/>
  <sheetViews>
    <sheetView tabSelected="1" workbookViewId="0"/>
  </sheetViews>
  <sheetFormatPr defaultRowHeight="15"/>
  <sheetData>
    <row r="2" spans="2:8" ht="30">
      <c r="B2" s="173" t="s">
        <v>149</v>
      </c>
      <c r="C2" s="173"/>
      <c r="D2" s="173"/>
      <c r="E2" s="174"/>
      <c r="F2" s="173" t="s">
        <v>150</v>
      </c>
      <c r="G2" s="173"/>
      <c r="H2" s="173"/>
    </row>
    <row r="3" spans="2:8">
      <c r="B3" s="174"/>
      <c r="C3" s="174"/>
      <c r="D3" s="174"/>
      <c r="E3" s="174"/>
      <c r="F3" s="174"/>
      <c r="G3" s="174"/>
      <c r="H3" s="174"/>
    </row>
    <row r="4" spans="2:8">
      <c r="B4" s="175"/>
      <c r="C4" s="176" t="s">
        <v>151</v>
      </c>
      <c r="D4" s="177" t="s">
        <v>152</v>
      </c>
      <c r="E4" s="178"/>
      <c r="F4" s="175"/>
      <c r="G4" s="176" t="s">
        <v>151</v>
      </c>
      <c r="H4" s="177" t="s">
        <v>152</v>
      </c>
    </row>
    <row r="5" spans="2:8" ht="45">
      <c r="B5" s="189" t="s">
        <v>21</v>
      </c>
      <c r="C5" s="190">
        <v>1000</v>
      </c>
      <c r="D5" s="191">
        <v>1500</v>
      </c>
      <c r="E5" s="178"/>
      <c r="F5" s="189" t="s">
        <v>42</v>
      </c>
      <c r="G5" s="190">
        <v>5000</v>
      </c>
      <c r="H5" s="191">
        <v>5500</v>
      </c>
    </row>
    <row r="6" spans="2:8" ht="45">
      <c r="B6" s="189" t="s">
        <v>153</v>
      </c>
      <c r="C6" s="190">
        <v>2500</v>
      </c>
      <c r="D6" s="191">
        <v>4500</v>
      </c>
      <c r="E6" s="178"/>
      <c r="F6" s="189" t="s">
        <v>37</v>
      </c>
      <c r="G6" s="190">
        <v>2000</v>
      </c>
      <c r="H6" s="191">
        <v>2500</v>
      </c>
    </row>
    <row r="7" spans="2:8" ht="30">
      <c r="B7" s="189" t="s">
        <v>154</v>
      </c>
      <c r="C7" s="190">
        <v>5500</v>
      </c>
      <c r="D7" s="191">
        <v>6500</v>
      </c>
      <c r="E7" s="178"/>
      <c r="F7" s="189" t="s">
        <v>155</v>
      </c>
      <c r="G7" s="190">
        <v>1000</v>
      </c>
      <c r="H7" s="191">
        <v>2000</v>
      </c>
    </row>
    <row r="8" spans="2:8" ht="45">
      <c r="B8" s="189" t="s">
        <v>156</v>
      </c>
      <c r="C8" s="190">
        <v>9000</v>
      </c>
      <c r="D8" s="191">
        <v>9500</v>
      </c>
      <c r="E8" s="178"/>
      <c r="F8" s="192" t="s">
        <v>43</v>
      </c>
      <c r="G8" s="193">
        <v>3000</v>
      </c>
      <c r="H8" s="194">
        <v>5000</v>
      </c>
    </row>
    <row r="9" spans="2:8">
      <c r="B9" s="181"/>
      <c r="C9" s="178"/>
      <c r="D9" s="182"/>
      <c r="E9" s="178"/>
      <c r="F9" s="192" t="s">
        <v>157</v>
      </c>
      <c r="G9" s="193">
        <v>7000</v>
      </c>
      <c r="H9" s="194">
        <v>7000</v>
      </c>
    </row>
    <row r="10" spans="2:8">
      <c r="B10" s="183" t="s">
        <v>41</v>
      </c>
      <c r="C10" s="184">
        <v>18000</v>
      </c>
      <c r="D10" s="185">
        <v>22000</v>
      </c>
      <c r="E10" s="178"/>
      <c r="F10" s="183" t="s">
        <v>41</v>
      </c>
      <c r="G10" s="184">
        <v>18000</v>
      </c>
      <c r="H10" s="185">
        <v>22000</v>
      </c>
    </row>
    <row r="11" spans="2:8">
      <c r="B11" s="178"/>
      <c r="C11" s="178"/>
      <c r="D11" s="178"/>
      <c r="E11" s="178"/>
      <c r="F11" s="178"/>
      <c r="G11" s="178"/>
      <c r="H11" s="178"/>
    </row>
    <row r="12" spans="2:8" ht="30">
      <c r="B12" s="173" t="s">
        <v>158</v>
      </c>
      <c r="C12" s="173"/>
      <c r="D12" s="186"/>
      <c r="E12" s="178"/>
      <c r="F12" s="178"/>
      <c r="G12" s="178"/>
      <c r="H12" s="178"/>
    </row>
    <row r="13" spans="2:8">
      <c r="B13" s="174"/>
      <c r="C13" s="174"/>
      <c r="D13" s="174"/>
      <c r="E13" s="174"/>
      <c r="F13" s="174"/>
      <c r="G13" s="174"/>
      <c r="H13" s="174"/>
    </row>
    <row r="14" spans="2:8" ht="45">
      <c r="B14" s="195" t="s">
        <v>159</v>
      </c>
      <c r="C14" s="196">
        <v>41250</v>
      </c>
      <c r="D14" s="178"/>
      <c r="E14" s="178"/>
      <c r="F14" s="178"/>
      <c r="G14" s="178"/>
      <c r="H14" s="178"/>
    </row>
    <row r="15" spans="2:8" ht="45">
      <c r="B15" s="197" t="s">
        <v>160</v>
      </c>
      <c r="C15" s="198">
        <v>-2750</v>
      </c>
      <c r="D15" s="178"/>
      <c r="E15" s="178"/>
      <c r="F15" s="178"/>
      <c r="G15" s="178"/>
      <c r="H15" s="178"/>
    </row>
    <row r="16" spans="2:8" ht="45">
      <c r="B16" s="189" t="s">
        <v>161</v>
      </c>
      <c r="C16" s="191">
        <v>38500</v>
      </c>
      <c r="D16" s="178"/>
      <c r="E16" s="178"/>
      <c r="F16" s="178"/>
      <c r="G16" s="178"/>
      <c r="H16" s="178"/>
    </row>
    <row r="17" spans="2:8">
      <c r="B17" s="189" t="s">
        <v>162</v>
      </c>
      <c r="C17" s="191">
        <v>-28000</v>
      </c>
      <c r="D17" s="178"/>
      <c r="E17" s="178"/>
      <c r="F17" s="178"/>
      <c r="G17" s="178"/>
      <c r="H17" s="178"/>
    </row>
    <row r="18" spans="2:8" ht="30">
      <c r="B18" s="189" t="s">
        <v>55</v>
      </c>
      <c r="C18" s="191">
        <v>10500</v>
      </c>
      <c r="D18" s="178"/>
      <c r="E18" s="178"/>
      <c r="F18" s="178"/>
      <c r="G18" s="178"/>
      <c r="H18" s="178"/>
    </row>
    <row r="19" spans="2:8" ht="75">
      <c r="B19" s="189" t="s">
        <v>56</v>
      </c>
      <c r="C19" s="191">
        <v>-3500</v>
      </c>
      <c r="D19" s="178"/>
      <c r="E19" s="178"/>
      <c r="F19" s="178"/>
      <c r="G19" s="178"/>
      <c r="H19" s="178"/>
    </row>
    <row r="20" spans="2:8" ht="75">
      <c r="B20" s="189" t="s">
        <v>163</v>
      </c>
      <c r="C20" s="191">
        <v>-2300</v>
      </c>
      <c r="D20" s="178"/>
      <c r="E20" s="178"/>
      <c r="F20" s="178"/>
      <c r="G20" s="178"/>
      <c r="H20" s="178"/>
    </row>
    <row r="21" spans="2:8" ht="75">
      <c r="B21" s="192" t="s">
        <v>164</v>
      </c>
      <c r="C21" s="194">
        <v>-1000</v>
      </c>
      <c r="D21" s="178"/>
      <c r="E21" s="178"/>
      <c r="F21" s="178"/>
      <c r="G21" s="178"/>
      <c r="H21" s="178"/>
    </row>
    <row r="22" spans="2:8" ht="45">
      <c r="B22" s="179" t="s">
        <v>165</v>
      </c>
      <c r="C22" s="180">
        <f>SUM(C18:C21)</f>
        <v>3700</v>
      </c>
      <c r="D22" s="178"/>
      <c r="E22" s="178"/>
      <c r="F22" s="178"/>
      <c r="G22" s="178"/>
      <c r="H22" s="178"/>
    </row>
    <row r="23" spans="2:8" ht="45">
      <c r="B23" s="179" t="s">
        <v>166</v>
      </c>
      <c r="C23" s="180">
        <v>-1480</v>
      </c>
      <c r="D23" s="178"/>
      <c r="E23" s="178"/>
      <c r="F23" s="178"/>
      <c r="G23" s="178"/>
      <c r="H23" s="178"/>
    </row>
    <row r="24" spans="2:8" ht="30">
      <c r="B24" s="183" t="s">
        <v>167</v>
      </c>
      <c r="C24" s="185">
        <v>2220</v>
      </c>
      <c r="D24" s="174"/>
      <c r="E24" s="178"/>
      <c r="F24" s="178"/>
      <c r="G24" s="178"/>
      <c r="H24" s="178"/>
    </row>
    <row r="26" spans="2:8" ht="60">
      <c r="B26" s="187" t="s">
        <v>168</v>
      </c>
      <c r="C26" s="188">
        <v>0.25</v>
      </c>
    </row>
    <row r="27" spans="2:8">
      <c r="B27" s="187" t="s">
        <v>169</v>
      </c>
      <c r="C27" s="188" t="e">
        <f>+C24/AVERAGE(G9:H9)</f>
        <v>#VALUE!</v>
      </c>
    </row>
    <row r="28" spans="2:8">
      <c r="B28" s="127" t="s">
        <v>170</v>
      </c>
      <c r="C28" s="127">
        <f>+(C27-C26)*AVERAGE(G9:H9)</f>
        <v>469</v>
      </c>
    </row>
    <row r="30" spans="2:8" ht="45">
      <c r="B30" s="199" t="s">
        <v>171</v>
      </c>
      <c r="C30" s="199">
        <f>+AVERAGE(C10:D10)</f>
        <v>20000</v>
      </c>
    </row>
    <row r="31" spans="2:8" ht="45">
      <c r="B31" s="199" t="s">
        <v>172</v>
      </c>
      <c r="C31" s="199">
        <f>-SUM(G5:H7)/2</f>
        <v>-9000</v>
      </c>
    </row>
    <row r="32" spans="2:8" ht="60">
      <c r="B32" s="200" t="s">
        <v>173</v>
      </c>
      <c r="C32" s="200">
        <f>SUM(C30:C31)</f>
        <v>11000</v>
      </c>
    </row>
    <row r="33" spans="2:3" ht="45">
      <c r="B33" s="201" t="s">
        <v>174</v>
      </c>
      <c r="C33" s="201">
        <f>+AVERAGE(G8:H8)</f>
        <v>4000</v>
      </c>
    </row>
    <row r="34" spans="2:3">
      <c r="B34" s="201" t="s">
        <v>175</v>
      </c>
      <c r="C34" s="201">
        <f>+AVERAGE(G9:H9)</f>
        <v>7000</v>
      </c>
    </row>
    <row r="36" spans="2:3" ht="45">
      <c r="B36" s="202" t="str">
        <f>+B16</f>
        <v>(=) Receita líquida</v>
      </c>
      <c r="C36" s="199">
        <f>+C16</f>
        <v>38500</v>
      </c>
    </row>
    <row r="37" spans="2:3">
      <c r="B37" s="202" t="str">
        <f t="shared" ref="B37:C40" si="0">+B17</f>
        <v>(-) CPV</v>
      </c>
      <c r="C37" s="199">
        <f t="shared" si="0"/>
        <v>-28000</v>
      </c>
    </row>
    <row r="38" spans="2:3" ht="30">
      <c r="B38" s="202" t="str">
        <f t="shared" si="0"/>
        <v>(=) Lucro bruto</v>
      </c>
      <c r="C38" s="199">
        <f t="shared" si="0"/>
        <v>10500</v>
      </c>
    </row>
    <row r="39" spans="2:3" ht="75">
      <c r="B39" s="202" t="str">
        <f t="shared" si="0"/>
        <v>(-) Despesas comerciais</v>
      </c>
      <c r="C39" s="199">
        <f t="shared" si="0"/>
        <v>-3500</v>
      </c>
    </row>
    <row r="40" spans="2:3" ht="75">
      <c r="B40" s="202" t="str">
        <f t="shared" si="0"/>
        <v>(-) Despesas administrativas</v>
      </c>
      <c r="C40" s="199">
        <f t="shared" si="0"/>
        <v>-2300</v>
      </c>
    </row>
    <row r="41" spans="2:3">
      <c r="B41" s="203" t="s">
        <v>176</v>
      </c>
      <c r="C41" s="200">
        <f>+SUM(C38:C40)</f>
        <v>4700</v>
      </c>
    </row>
    <row r="42" spans="2:3" ht="30">
      <c r="B42" s="202" t="s">
        <v>177</v>
      </c>
      <c r="C42" s="199">
        <f>-C41*0.4</f>
        <v>-1880</v>
      </c>
    </row>
    <row r="43" spans="2:3" ht="30">
      <c r="B43" s="203" t="s">
        <v>178</v>
      </c>
      <c r="C43" s="200">
        <f>SUM(C41:C42)</f>
        <v>2820</v>
      </c>
    </row>
    <row r="44" spans="2:3" ht="75">
      <c r="B44" s="204" t="str">
        <f>+B21</f>
        <v>(-) Despesas financeiras</v>
      </c>
      <c r="C44" s="201">
        <f>+C21</f>
        <v>-1000</v>
      </c>
    </row>
    <row r="45" spans="2:3" ht="60">
      <c r="B45" s="204" t="s">
        <v>179</v>
      </c>
      <c r="C45" s="201">
        <f>-C44*0.4</f>
        <v>400</v>
      </c>
    </row>
    <row r="46" spans="2:3" ht="30">
      <c r="B46" s="205" t="str">
        <f>+B24</f>
        <v>(=) Lucro líquido</v>
      </c>
      <c r="C46" s="206">
        <f>SUM(C43:C45)</f>
        <v>2220</v>
      </c>
    </row>
    <row r="48" spans="2:3">
      <c r="B48" s="203" t="s">
        <v>180</v>
      </c>
      <c r="C48" s="212" t="e">
        <f>+C43/C32</f>
        <v>#VALUE!</v>
      </c>
    </row>
    <row r="49" spans="2:3">
      <c r="B49" s="202" t="s">
        <v>186</v>
      </c>
      <c r="C49" s="207">
        <f>+C43/C36</f>
        <v>7</v>
      </c>
    </row>
    <row r="50" spans="2:3">
      <c r="B50" s="202" t="s">
        <v>187</v>
      </c>
      <c r="C50" s="211">
        <f>+C36/C32</f>
        <v>3.5</v>
      </c>
    </row>
    <row r="51" spans="2:3">
      <c r="B51" s="203" t="s">
        <v>180</v>
      </c>
      <c r="C51" s="212" t="e">
        <f>+C49*C50</f>
        <v>#VALUE!</v>
      </c>
    </row>
    <row r="52" spans="2:3">
      <c r="B52" s="204" t="s">
        <v>181</v>
      </c>
      <c r="C52" s="209" t="e">
        <f>+C33/$C$32</f>
        <v>#VALUE!</v>
      </c>
    </row>
    <row r="53" spans="2:3">
      <c r="B53" s="204" t="s">
        <v>182</v>
      </c>
      <c r="C53" s="209" t="e">
        <f>+C34/$C$32</f>
        <v>#VALUE!</v>
      </c>
    </row>
    <row r="54" spans="2:3">
      <c r="B54" s="204" t="s">
        <v>183</v>
      </c>
      <c r="C54" s="209">
        <f>-SUM(C44:C45)/C33</f>
        <v>0.15</v>
      </c>
    </row>
    <row r="55" spans="2:3">
      <c r="B55" s="204" t="s">
        <v>184</v>
      </c>
      <c r="C55" s="209">
        <v>0.25</v>
      </c>
    </row>
    <row r="56" spans="2:3">
      <c r="B56" s="208" t="s">
        <v>185</v>
      </c>
      <c r="C56" s="210" t="e">
        <f>+C52*C54+C53*C55</f>
        <v>#VALUE!</v>
      </c>
    </row>
    <row r="57" spans="2:3">
      <c r="B57" s="205" t="s">
        <v>170</v>
      </c>
      <c r="C57" s="206">
        <f>+(C48-C56)*C32</f>
        <v>470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Exemplo lucro x caixa</vt:lpstr>
      <vt:lpstr>Exercício inicial - lançamentos</vt:lpstr>
      <vt:lpstr>Exercício inicial - Demonstr</vt:lpstr>
      <vt:lpstr>PEPS, UEPS e Média</vt:lpstr>
      <vt:lpstr>CIa exemplar - lançamen</vt:lpstr>
      <vt:lpstr>Cia Exemp - 1ºs - demonstr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Roni Cleber Bonizio</dc:creator>
  <cp:lastModifiedBy>user</cp:lastModifiedBy>
  <dcterms:created xsi:type="dcterms:W3CDTF">2014-02-27T00:52:28Z</dcterms:created>
  <dcterms:modified xsi:type="dcterms:W3CDTF">2014-04-24T17:29:14Z</dcterms:modified>
</cp:coreProperties>
</file>