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625" windowHeight="3735" activeTab="0"/>
  </bookViews>
  <sheets>
    <sheet name="Lançamentos" sheetId="1" r:id="rId1"/>
    <sheet name="Demonstr contábeis" sheetId="2" r:id="rId2"/>
    <sheet name="Controle de estoques" sheetId="3" r:id="rId3"/>
    <sheet name="Plan2" sheetId="4" r:id="rId4"/>
    <sheet name="Plan1" sheetId="5" r:id="rId5"/>
  </sheets>
  <definedNames/>
  <calcPr fullCalcOnLoad="1"/>
</workbook>
</file>

<file path=xl/sharedStrings.xml><?xml version="1.0" encoding="utf-8"?>
<sst xmlns="http://schemas.openxmlformats.org/spreadsheetml/2006/main" count="353" uniqueCount="108">
  <si>
    <t>ATIVO</t>
  </si>
  <si>
    <t>PASSIVO+PL</t>
  </si>
  <si>
    <t>Disponib</t>
  </si>
  <si>
    <t>Capital</t>
  </si>
  <si>
    <t>P+PL</t>
  </si>
  <si>
    <t>SF</t>
  </si>
  <si>
    <t>Terrenos</t>
  </si>
  <si>
    <t>Estoques</t>
  </si>
  <si>
    <t>Fornecedores</t>
  </si>
  <si>
    <t>Empréstimos</t>
  </si>
  <si>
    <t>BALANÇOS PATRIMONIAIS</t>
  </si>
  <si>
    <t>ATIVOS</t>
  </si>
  <si>
    <t>Disponibilidades</t>
  </si>
  <si>
    <t>TOTAL DO ATIVO</t>
  </si>
  <si>
    <t>PASSIVOS + PL</t>
  </si>
  <si>
    <t>Capital social</t>
  </si>
  <si>
    <t>DRE</t>
  </si>
  <si>
    <t>FEV 08</t>
  </si>
  <si>
    <t>JAN</t>
  </si>
  <si>
    <t>FEV</t>
  </si>
  <si>
    <t>SI</t>
  </si>
  <si>
    <t>1A</t>
  </si>
  <si>
    <t>1B</t>
  </si>
  <si>
    <t>Resultado</t>
  </si>
  <si>
    <t>Veículos</t>
  </si>
  <si>
    <t>Reservas</t>
  </si>
  <si>
    <t>Clientes</t>
  </si>
  <si>
    <t>Clientes a receber</t>
  </si>
  <si>
    <t>Receitas de vendas</t>
  </si>
  <si>
    <t>(-) CMV</t>
  </si>
  <si>
    <t>(=) Lucro bruto</t>
  </si>
  <si>
    <t>(-) Despesas comerciais</t>
  </si>
  <si>
    <t>(-) despesas administrativas</t>
  </si>
  <si>
    <t>(-) Despesas financeiras</t>
  </si>
  <si>
    <t>MAR</t>
  </si>
  <si>
    <t>3A</t>
  </si>
  <si>
    <t>3B</t>
  </si>
  <si>
    <t>(-) Deprec acumul</t>
  </si>
  <si>
    <t>(-) Depreciação acumulada</t>
  </si>
  <si>
    <t>MAR 08</t>
  </si>
  <si>
    <t>(-) Despesas de depreciação</t>
  </si>
  <si>
    <t>DFC</t>
  </si>
  <si>
    <t>(=) RESULTADO</t>
  </si>
  <si>
    <t>Operacionais</t>
  </si>
  <si>
    <t>Investimentos</t>
  </si>
  <si>
    <t>Financiamentos</t>
  </si>
  <si>
    <t>TOTAL</t>
  </si>
  <si>
    <t>FLUXO DE CAIXA</t>
  </si>
  <si>
    <t>Aporte de capital dos sócios</t>
  </si>
  <si>
    <t>Aquisição de imobilizado</t>
  </si>
  <si>
    <t>Aquisição de mercadorias</t>
  </si>
  <si>
    <t>Empréstimos de terceiros</t>
  </si>
  <si>
    <t>Saldo inicial</t>
  </si>
  <si>
    <t>Saldo final</t>
  </si>
  <si>
    <t>Venda de mercadorias</t>
  </si>
  <si>
    <t>Juros</t>
  </si>
  <si>
    <t>ABR</t>
  </si>
  <si>
    <t>Contas a pagar</t>
  </si>
  <si>
    <t>ABR 08</t>
  </si>
  <si>
    <t>MAI</t>
  </si>
  <si>
    <t>PASSIVO</t>
  </si>
  <si>
    <t>PATRIMÔNIO LÍQUIDO</t>
  </si>
  <si>
    <t>JAN 08</t>
  </si>
  <si>
    <t>Despesas operacionais</t>
  </si>
  <si>
    <t>JUN</t>
  </si>
  <si>
    <t>JUN 08</t>
  </si>
  <si>
    <t>MAI 08</t>
  </si>
  <si>
    <t>Distribuição de lucros</t>
  </si>
  <si>
    <t>JUL</t>
  </si>
  <si>
    <t>Despesas antecip</t>
  </si>
  <si>
    <t>Despesas antecipadas</t>
  </si>
  <si>
    <t>JUL 08</t>
  </si>
  <si>
    <t>total do passivo</t>
  </si>
  <si>
    <t>TOTAL DO PASSIVO + PL</t>
  </si>
  <si>
    <t>AGO</t>
  </si>
  <si>
    <t>Aplicação Financeira</t>
  </si>
  <si>
    <t>Despesas Antecipadas</t>
  </si>
  <si>
    <t>SET</t>
  </si>
  <si>
    <t>Empréstimos  LP</t>
  </si>
  <si>
    <t>Dividendos a Pagar</t>
  </si>
  <si>
    <t>Aplicações financeiras</t>
  </si>
  <si>
    <t>Dividendos a pagar</t>
  </si>
  <si>
    <t>AGO 08</t>
  </si>
  <si>
    <t>(-) Despesa com seguros</t>
  </si>
  <si>
    <t>Aplicação financeira</t>
  </si>
  <si>
    <t>Empréstimos LP</t>
  </si>
  <si>
    <t>SET 08</t>
  </si>
  <si>
    <t>(+) Receitas financeiras</t>
  </si>
  <si>
    <t>OUT</t>
  </si>
  <si>
    <t>OUT 08</t>
  </si>
  <si>
    <t>NOV</t>
  </si>
  <si>
    <t>NOV 08</t>
  </si>
  <si>
    <t>DEZEMBRO</t>
  </si>
  <si>
    <t>DEZ</t>
  </si>
  <si>
    <t>DEZ 08</t>
  </si>
  <si>
    <t>Data</t>
  </si>
  <si>
    <t>Entrada</t>
  </si>
  <si>
    <t>Saída</t>
  </si>
  <si>
    <t>Estoque Final</t>
  </si>
  <si>
    <t>Quantidade</t>
  </si>
  <si>
    <t>Total</t>
  </si>
  <si>
    <t>Unitário</t>
  </si>
  <si>
    <t>6B</t>
  </si>
  <si>
    <t>6A</t>
  </si>
  <si>
    <t>(-) Duplicatas Descontadas</t>
  </si>
  <si>
    <t>(-)Duplicatas Descontadas</t>
  </si>
  <si>
    <t>2A</t>
  </si>
  <si>
    <t>2B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</si>
</sst>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[$-416]dddd\,\ d&quot; de &quot;mmmm&quot; de &quot;yyyy"/>
    <numFmt numFmtId="179" formatCode="mmm/yyyy"/>
    <numFmt numFmtId="180" formatCode="_(* #,##0.0_);_(* \(#,##0.0\);_(* &quot;-&quot;??_);_(@_)"/>
    <numFmt numFmtId="181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07">
    <xf numFmtId="0" fontId="0" fillId="0" borderId="0" xfId="0" applyAlignment="1">
      <alignment/>
    </xf>
    <xf numFmtId="3" fontId="2" fillId="33" borderId="0" xfId="0" applyNumberFormat="1" applyFont="1" applyFill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0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3" fontId="3" fillId="34" borderId="12" xfId="0" applyNumberFormat="1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 vertical="center" wrapText="1"/>
    </xf>
    <xf numFmtId="3" fontId="3" fillId="34" borderId="14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Alignment="1">
      <alignment horizontal="left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14" fontId="3" fillId="33" borderId="16" xfId="0" applyNumberFormat="1" applyFont="1" applyFill="1" applyBorder="1" applyAlignment="1">
      <alignment horizontal="center" vertical="center" wrapText="1"/>
    </xf>
    <xf numFmtId="14" fontId="3" fillId="33" borderId="17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left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3" fillId="33" borderId="0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4" borderId="15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" fillId="34" borderId="17" xfId="0" applyNumberFormat="1" applyFont="1" applyFill="1" applyBorder="1" applyAlignment="1">
      <alignment horizontal="center" vertical="center" wrapText="1"/>
    </xf>
    <xf numFmtId="3" fontId="3" fillId="35" borderId="11" xfId="0" applyNumberFormat="1" applyFont="1" applyFill="1" applyBorder="1" applyAlignment="1">
      <alignment horizontal="center" vertical="center" wrapText="1"/>
    </xf>
    <xf numFmtId="3" fontId="2" fillId="35" borderId="11" xfId="0" applyNumberFormat="1" applyFont="1" applyFill="1" applyBorder="1" applyAlignment="1">
      <alignment horizontal="center" vertical="center" wrapText="1"/>
    </xf>
    <xf numFmtId="3" fontId="3" fillId="35" borderId="14" xfId="0" applyNumberFormat="1" applyFont="1" applyFill="1" applyBorder="1" applyAlignment="1">
      <alignment horizontal="center" vertical="center" wrapText="1"/>
    </xf>
    <xf numFmtId="3" fontId="3" fillId="35" borderId="0" xfId="0" applyNumberFormat="1" applyFont="1" applyFill="1" applyBorder="1" applyAlignment="1">
      <alignment horizontal="center" vertical="center" wrapText="1"/>
    </xf>
    <xf numFmtId="3" fontId="2" fillId="35" borderId="0" xfId="0" applyNumberFormat="1" applyFont="1" applyFill="1" applyBorder="1" applyAlignment="1">
      <alignment horizontal="center" vertical="center" wrapText="1"/>
    </xf>
    <xf numFmtId="3" fontId="3" fillId="35" borderId="13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left" vertical="center" wrapText="1"/>
    </xf>
    <xf numFmtId="3" fontId="3" fillId="33" borderId="18" xfId="0" applyNumberFormat="1" applyFont="1" applyFill="1" applyBorder="1" applyAlignment="1">
      <alignment horizontal="center" vertical="center" wrapText="1"/>
    </xf>
    <xf numFmtId="3" fontId="3" fillId="33" borderId="19" xfId="0" applyNumberFormat="1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 wrapText="1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3" fontId="3" fillId="35" borderId="21" xfId="0" applyNumberFormat="1" applyFont="1" applyFill="1" applyBorder="1" applyAlignment="1">
      <alignment horizontal="center" vertical="center" wrapText="1"/>
    </xf>
    <xf numFmtId="3" fontId="3" fillId="35" borderId="22" xfId="0" applyNumberFormat="1" applyFont="1" applyFill="1" applyBorder="1" applyAlignment="1">
      <alignment horizontal="center" vertical="center" wrapText="1"/>
    </xf>
    <xf numFmtId="3" fontId="2" fillId="35" borderId="22" xfId="0" applyNumberFormat="1" applyFont="1" applyFill="1" applyBorder="1" applyAlignment="1">
      <alignment horizontal="center" vertical="center" wrapText="1"/>
    </xf>
    <xf numFmtId="3" fontId="3" fillId="35" borderId="23" xfId="0" applyNumberFormat="1" applyFont="1" applyFill="1" applyBorder="1" applyAlignment="1">
      <alignment horizontal="center" vertical="center" wrapText="1"/>
    </xf>
    <xf numFmtId="0" fontId="46" fillId="36" borderId="24" xfId="0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 wrapText="1"/>
    </xf>
    <xf numFmtId="0" fontId="45" fillId="4" borderId="25" xfId="0" applyFont="1" applyFill="1" applyBorder="1" applyAlignment="1">
      <alignment horizontal="center"/>
    </xf>
    <xf numFmtId="0" fontId="45" fillId="4" borderId="26" xfId="0" applyFont="1" applyFill="1" applyBorder="1" applyAlignment="1">
      <alignment horizontal="center"/>
    </xf>
    <xf numFmtId="0" fontId="0" fillId="37" borderId="27" xfId="0" applyFill="1" applyBorder="1" applyAlignment="1">
      <alignment/>
    </xf>
    <xf numFmtId="170" fontId="0" fillId="37" borderId="28" xfId="0" applyNumberFormat="1" applyFill="1" applyBorder="1" applyAlignment="1">
      <alignment/>
    </xf>
    <xf numFmtId="0" fontId="0" fillId="37" borderId="29" xfId="0" applyFill="1" applyBorder="1" applyAlignment="1">
      <alignment/>
    </xf>
    <xf numFmtId="170" fontId="0" fillId="37" borderId="30" xfId="0" applyNumberFormat="1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31" xfId="0" applyFill="1" applyBorder="1" applyAlignment="1">
      <alignment/>
    </xf>
    <xf numFmtId="170" fontId="0" fillId="37" borderId="32" xfId="0" applyNumberFormat="1" applyFill="1" applyBorder="1" applyAlignment="1">
      <alignment/>
    </xf>
    <xf numFmtId="170" fontId="0" fillId="37" borderId="24" xfId="0" applyNumberFormat="1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38" xfId="0" applyFill="1" applyBorder="1" applyAlignment="1">
      <alignment/>
    </xf>
    <xf numFmtId="170" fontId="0" fillId="37" borderId="24" xfId="47" applyNumberFormat="1" applyFont="1" applyFill="1" applyBorder="1" applyAlignment="1">
      <alignment/>
    </xf>
    <xf numFmtId="0" fontId="0" fillId="37" borderId="39" xfId="0" applyFill="1" applyBorder="1" applyAlignment="1">
      <alignment/>
    </xf>
    <xf numFmtId="170" fontId="0" fillId="37" borderId="39" xfId="47" applyNumberFormat="1" applyFont="1" applyFill="1" applyBorder="1" applyAlignment="1">
      <alignment/>
    </xf>
    <xf numFmtId="170" fontId="45" fillId="37" borderId="30" xfId="0" applyNumberFormat="1" applyFont="1" applyFill="1" applyBorder="1" applyAlignment="1">
      <alignment horizontal="center"/>
    </xf>
    <xf numFmtId="0" fontId="0" fillId="37" borderId="18" xfId="0" applyFill="1" applyBorder="1" applyAlignment="1">
      <alignment/>
    </xf>
    <xf numFmtId="0" fontId="45" fillId="37" borderId="18" xfId="0" applyFont="1" applyFill="1" applyBorder="1" applyAlignment="1">
      <alignment horizontal="center"/>
    </xf>
    <xf numFmtId="0" fontId="0" fillId="37" borderId="40" xfId="0" applyFill="1" applyBorder="1" applyAlignment="1">
      <alignment/>
    </xf>
    <xf numFmtId="181" fontId="0" fillId="37" borderId="41" xfId="53" applyNumberFormat="1" applyFont="1" applyFill="1" applyBorder="1" applyAlignment="1">
      <alignment/>
    </xf>
    <xf numFmtId="0" fontId="45" fillId="37" borderId="20" xfId="0" applyFont="1" applyFill="1" applyBorder="1" applyAlignment="1">
      <alignment horizontal="center"/>
    </xf>
    <xf numFmtId="0" fontId="0" fillId="37" borderId="32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42" xfId="0" applyFill="1" applyBorder="1" applyAlignment="1">
      <alignment/>
    </xf>
    <xf numFmtId="170" fontId="0" fillId="37" borderId="43" xfId="0" applyNumberFormat="1" applyFill="1" applyBorder="1" applyAlignment="1">
      <alignment/>
    </xf>
    <xf numFmtId="0" fontId="0" fillId="37" borderId="43" xfId="0" applyFill="1" applyBorder="1" applyAlignment="1">
      <alignment/>
    </xf>
    <xf numFmtId="170" fontId="0" fillId="37" borderId="18" xfId="0" applyNumberFormat="1" applyFill="1" applyBorder="1" applyAlignment="1">
      <alignment/>
    </xf>
    <xf numFmtId="3" fontId="3" fillId="34" borderId="24" xfId="0" applyNumberFormat="1" applyFont="1" applyFill="1" applyBorder="1" applyAlignment="1">
      <alignment horizontal="center" vertical="center" wrapText="1"/>
    </xf>
    <xf numFmtId="3" fontId="3" fillId="34" borderId="18" xfId="0" applyNumberFormat="1" applyFont="1" applyFill="1" applyBorder="1" applyAlignment="1">
      <alignment horizontal="center" vertical="center" wrapText="1"/>
    </xf>
    <xf numFmtId="3" fontId="3" fillId="34" borderId="19" xfId="0" applyNumberFormat="1" applyFont="1" applyFill="1" applyBorder="1" applyAlignment="1">
      <alignment horizontal="center" vertical="center" wrapText="1"/>
    </xf>
    <xf numFmtId="3" fontId="3" fillId="34" borderId="20" xfId="0" applyNumberFormat="1" applyFont="1" applyFill="1" applyBorder="1" applyAlignment="1">
      <alignment horizontal="center" vertical="center" wrapText="1"/>
    </xf>
    <xf numFmtId="3" fontId="3" fillId="34" borderId="0" xfId="0" applyNumberFormat="1" applyFont="1" applyFill="1" applyAlignment="1">
      <alignment horizontal="center" vertical="center" textRotation="255" wrapText="1"/>
    </xf>
    <xf numFmtId="3" fontId="3" fillId="34" borderId="15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" fillId="34" borderId="17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 horizontal="center" vertical="center" wrapText="1"/>
    </xf>
    <xf numFmtId="0" fontId="45" fillId="4" borderId="41" xfId="0" applyFont="1" applyFill="1" applyBorder="1" applyAlignment="1">
      <alignment horizontal="center"/>
    </xf>
    <xf numFmtId="0" fontId="45" fillId="4" borderId="36" xfId="0" applyFont="1" applyFill="1" applyBorder="1" applyAlignment="1">
      <alignment horizontal="center"/>
    </xf>
    <xf numFmtId="0" fontId="45" fillId="4" borderId="42" xfId="0" applyFont="1" applyFill="1" applyBorder="1" applyAlignment="1">
      <alignment horizontal="center"/>
    </xf>
    <xf numFmtId="0" fontId="45" fillId="4" borderId="44" xfId="0" applyFont="1" applyFill="1" applyBorder="1" applyAlignment="1">
      <alignment horizontal="center"/>
    </xf>
    <xf numFmtId="0" fontId="45" fillId="4" borderId="28" xfId="0" applyFont="1" applyFill="1" applyBorder="1" applyAlignment="1">
      <alignment horizontal="center"/>
    </xf>
    <xf numFmtId="0" fontId="45" fillId="4" borderId="45" xfId="0" applyFont="1" applyFill="1" applyBorder="1" applyAlignment="1">
      <alignment horizontal="center"/>
    </xf>
    <xf numFmtId="0" fontId="45" fillId="4" borderId="46" xfId="0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center" vertical="center" textRotation="255" wrapText="1"/>
    </xf>
    <xf numFmtId="3" fontId="3" fillId="34" borderId="11" xfId="0" applyNumberFormat="1" applyFont="1" applyFill="1" applyBorder="1" applyAlignment="1">
      <alignment vertical="center" textRotation="255" wrapText="1"/>
    </xf>
    <xf numFmtId="3" fontId="2" fillId="38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85"/>
          <c:y val="0.203"/>
          <c:w val="0.70575"/>
          <c:h val="0.7475"/>
        </c:manualLayout>
      </c:layout>
      <c:lineChart>
        <c:grouping val="standard"/>
        <c:varyColors val="0"/>
        <c:ser>
          <c:idx val="0"/>
          <c:order val="0"/>
          <c:tx>
            <c:strRef>
              <c:f>'Demonstr contábeis'!$B$67</c:f>
              <c:strCache>
                <c:ptCount val="1"/>
                <c:pt idx="0">
                  <c:v>total do passivo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'Demonstr contábeis'!$C$67:$I$67</c:f>
              <c:numCache/>
            </c:numRef>
          </c:val>
          <c:smooth val="0"/>
        </c:ser>
        <c:marker val="1"/>
        <c:axId val="60058983"/>
        <c:axId val="3659936"/>
      </c:lineChart>
      <c:catAx>
        <c:axId val="600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9936"/>
        <c:crosses val="autoZero"/>
        <c:auto val="1"/>
        <c:lblOffset val="100"/>
        <c:tickLblSkip val="1"/>
        <c:noMultiLvlLbl val="0"/>
      </c:catAx>
      <c:valAx>
        <c:axId val="3659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58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5"/>
          <c:y val="0.43575"/>
          <c:w val="0.2237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495"/>
          <c:w val="0.7235"/>
          <c:h val="0.90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'Demonstr contábeis'!$D$27:$I$27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'Demonstr contábeis'!$D$29:$I$29</c:f>
              <c:numCache/>
            </c:numRef>
          </c:val>
          <c:smooth val="0"/>
        </c:ser>
        <c:marker val="1"/>
        <c:axId val="32939425"/>
        <c:axId val="28019370"/>
      </c:lineChart>
      <c:catAx>
        <c:axId val="3293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19370"/>
        <c:crosses val="autoZero"/>
        <c:auto val="1"/>
        <c:lblOffset val="100"/>
        <c:tickLblSkip val="1"/>
        <c:noMultiLvlLbl val="0"/>
      </c:catAx>
      <c:valAx>
        <c:axId val="28019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39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465"/>
          <c:w val="0.2042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68</xdr:row>
      <xdr:rowOff>95250</xdr:rowOff>
    </xdr:from>
    <xdr:to>
      <xdr:col>10</xdr:col>
      <xdr:colOff>295275</xdr:colOff>
      <xdr:row>81</xdr:row>
      <xdr:rowOff>0</xdr:rowOff>
    </xdr:to>
    <xdr:graphicFrame>
      <xdr:nvGraphicFramePr>
        <xdr:cNvPr id="1" name="Chart 3"/>
        <xdr:cNvGraphicFramePr/>
      </xdr:nvGraphicFramePr>
      <xdr:xfrm>
        <a:off x="3971925" y="11106150"/>
        <a:ext cx="37909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83</xdr:row>
      <xdr:rowOff>38100</xdr:rowOff>
    </xdr:from>
    <xdr:to>
      <xdr:col>5</xdr:col>
      <xdr:colOff>0</xdr:colOff>
      <xdr:row>95</xdr:row>
      <xdr:rowOff>104775</xdr:rowOff>
    </xdr:to>
    <xdr:graphicFrame>
      <xdr:nvGraphicFramePr>
        <xdr:cNvPr id="2" name="Chart 4"/>
        <xdr:cNvGraphicFramePr/>
      </xdr:nvGraphicFramePr>
      <xdr:xfrm>
        <a:off x="685800" y="13477875"/>
        <a:ext cx="320992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381000</xdr:colOff>
      <xdr:row>68</xdr:row>
      <xdr:rowOff>104775</xdr:rowOff>
    </xdr:from>
    <xdr:to>
      <xdr:col>4</xdr:col>
      <xdr:colOff>504825</xdr:colOff>
      <xdr:row>81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115675"/>
          <a:ext cx="3143250" cy="2009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9"/>
  <sheetViews>
    <sheetView tabSelected="1" zoomScale="82" zoomScaleNormal="82" zoomScalePageLayoutView="0" workbookViewId="0" topLeftCell="A94">
      <selection activeCell="G105" sqref="G105"/>
    </sheetView>
  </sheetViews>
  <sheetFormatPr defaultColWidth="9.140625" defaultRowHeight="12.75"/>
  <cols>
    <col min="1" max="1" width="2.421875" style="1" customWidth="1"/>
    <col min="2" max="2" width="8.28125" style="1" bestFit="1" customWidth="1"/>
    <col min="3" max="3" width="3.28125" style="1" bestFit="1" customWidth="1"/>
    <col min="4" max="4" width="9.57421875" style="1" bestFit="1" customWidth="1"/>
    <col min="5" max="5" width="9.57421875" style="1" customWidth="1"/>
    <col min="6" max="6" width="8.57421875" style="1" bestFit="1" customWidth="1"/>
    <col min="7" max="7" width="11.421875" style="1" bestFit="1" customWidth="1"/>
    <col min="8" max="8" width="9.57421875" style="1" bestFit="1" customWidth="1"/>
    <col min="9" max="9" width="8.57421875" style="1" bestFit="1" customWidth="1"/>
    <col min="10" max="10" width="8.7109375" style="1" bestFit="1" customWidth="1"/>
    <col min="11" max="11" width="8.00390625" style="1" bestFit="1" customWidth="1"/>
    <col min="12" max="12" width="11.57421875" style="1" bestFit="1" customWidth="1"/>
    <col min="13" max="13" width="9.8515625" style="1" bestFit="1" customWidth="1"/>
    <col min="14" max="14" width="8.57421875" style="1" bestFit="1" customWidth="1"/>
    <col min="15" max="15" width="8.28125" style="1" bestFit="1" customWidth="1"/>
    <col min="16" max="16" width="8.00390625" style="1" bestFit="1" customWidth="1"/>
    <col min="17" max="17" width="14.140625" style="1" customWidth="1"/>
    <col min="18" max="18" width="8.140625" style="1" bestFit="1" customWidth="1"/>
    <col min="19" max="19" width="11.57421875" style="1" customWidth="1"/>
    <col min="20" max="16384" width="9.140625" style="1" customWidth="1"/>
  </cols>
  <sheetData>
    <row r="2" spans="3:17" ht="12.75" customHeight="1">
      <c r="C2" s="93" t="s">
        <v>0</v>
      </c>
      <c r="D2" s="94"/>
      <c r="E2" s="94"/>
      <c r="F2" s="94"/>
      <c r="G2" s="94"/>
      <c r="H2" s="94"/>
      <c r="I2" s="94"/>
      <c r="J2" s="94"/>
      <c r="K2" s="94"/>
      <c r="L2" s="93" t="s">
        <v>1</v>
      </c>
      <c r="M2" s="94"/>
      <c r="N2" s="94"/>
      <c r="O2" s="94"/>
      <c r="P2" s="94"/>
      <c r="Q2" s="95"/>
    </row>
    <row r="3" spans="1:17" s="5" customFormat="1" ht="25.5">
      <c r="A3" s="1"/>
      <c r="B3" s="92" t="s">
        <v>18</v>
      </c>
      <c r="C3" s="2"/>
      <c r="D3" s="33" t="s">
        <v>2</v>
      </c>
      <c r="E3" s="33"/>
      <c r="F3" s="3"/>
      <c r="G3" s="3" t="s">
        <v>7</v>
      </c>
      <c r="H3" s="3"/>
      <c r="I3" s="3"/>
      <c r="J3" s="3"/>
      <c r="K3" s="3" t="s">
        <v>6</v>
      </c>
      <c r="L3" s="2" t="s">
        <v>8</v>
      </c>
      <c r="M3" s="3"/>
      <c r="N3" s="3" t="s">
        <v>9</v>
      </c>
      <c r="O3" s="3" t="s">
        <v>3</v>
      </c>
      <c r="P3" s="3"/>
      <c r="Q3" s="4"/>
    </row>
    <row r="4" spans="2:17" ht="12.75">
      <c r="B4" s="92"/>
      <c r="C4" s="6">
        <v>1</v>
      </c>
      <c r="D4" s="34">
        <v>100000</v>
      </c>
      <c r="E4" s="34">
        <f>D4</f>
        <v>100000</v>
      </c>
      <c r="F4" s="7"/>
      <c r="G4" s="7"/>
      <c r="H4" s="7"/>
      <c r="I4" s="7"/>
      <c r="J4" s="7"/>
      <c r="K4" s="7"/>
      <c r="L4" s="6"/>
      <c r="M4" s="7"/>
      <c r="N4" s="7"/>
      <c r="O4" s="7">
        <v>100000</v>
      </c>
      <c r="P4" s="7"/>
      <c r="Q4" s="8"/>
    </row>
    <row r="5" spans="2:17" ht="12.75">
      <c r="B5" s="92"/>
      <c r="C5" s="6">
        <v>2</v>
      </c>
      <c r="D5" s="34">
        <v>-20000</v>
      </c>
      <c r="E5" s="34">
        <f>E4+D5</f>
        <v>80000</v>
      </c>
      <c r="F5" s="7"/>
      <c r="G5" s="7"/>
      <c r="H5" s="7"/>
      <c r="I5" s="7"/>
      <c r="J5" s="7"/>
      <c r="K5" s="7">
        <v>20000</v>
      </c>
      <c r="L5" s="6"/>
      <c r="M5" s="7"/>
      <c r="N5" s="7"/>
      <c r="O5" s="7"/>
      <c r="P5" s="7"/>
      <c r="Q5" s="8"/>
    </row>
    <row r="6" spans="2:17" ht="12.75">
      <c r="B6" s="92"/>
      <c r="C6" s="6">
        <v>3</v>
      </c>
      <c r="D6" s="34">
        <v>-20000</v>
      </c>
      <c r="E6" s="34">
        <f>E5+D6</f>
        <v>60000</v>
      </c>
      <c r="F6" s="7"/>
      <c r="G6" s="7">
        <v>50000</v>
      </c>
      <c r="H6" s="7"/>
      <c r="I6" s="7"/>
      <c r="J6" s="7"/>
      <c r="K6" s="7"/>
      <c r="L6" s="6">
        <v>30000</v>
      </c>
      <c r="M6" s="7"/>
      <c r="N6" s="7"/>
      <c r="O6" s="7"/>
      <c r="P6" s="7"/>
      <c r="Q6" s="8"/>
    </row>
    <row r="7" spans="2:17" ht="12.75">
      <c r="B7" s="92"/>
      <c r="C7" s="6">
        <v>4</v>
      </c>
      <c r="D7" s="34">
        <v>150000</v>
      </c>
      <c r="E7" s="34">
        <f>E6+D7</f>
        <v>210000</v>
      </c>
      <c r="F7" s="7"/>
      <c r="G7" s="7"/>
      <c r="H7" s="7"/>
      <c r="I7" s="7"/>
      <c r="J7" s="7"/>
      <c r="K7" s="7"/>
      <c r="L7" s="6"/>
      <c r="M7" s="7"/>
      <c r="N7" s="7">
        <v>150000</v>
      </c>
      <c r="O7" s="7"/>
      <c r="P7" s="7"/>
      <c r="Q7" s="8"/>
    </row>
    <row r="8" spans="2:17" ht="12.75">
      <c r="B8" s="92"/>
      <c r="C8" s="9" t="s">
        <v>5</v>
      </c>
      <c r="D8" s="35">
        <f>+SUM(D4:D7)</f>
        <v>210000</v>
      </c>
      <c r="E8" s="35"/>
      <c r="F8" s="10"/>
      <c r="G8" s="10">
        <f aca="true" t="shared" si="0" ref="G8:Q8">+SUM(G4:G7)</f>
        <v>50000</v>
      </c>
      <c r="H8" s="10"/>
      <c r="I8" s="10">
        <f t="shared" si="0"/>
        <v>0</v>
      </c>
      <c r="J8" s="10"/>
      <c r="K8" s="10">
        <f t="shared" si="0"/>
        <v>20000</v>
      </c>
      <c r="L8" s="9">
        <f t="shared" si="0"/>
        <v>30000</v>
      </c>
      <c r="M8" s="10"/>
      <c r="N8" s="10">
        <f t="shared" si="0"/>
        <v>150000</v>
      </c>
      <c r="O8" s="10">
        <f t="shared" si="0"/>
        <v>100000</v>
      </c>
      <c r="P8" s="10">
        <f t="shared" si="0"/>
        <v>0</v>
      </c>
      <c r="Q8" s="11">
        <f t="shared" si="0"/>
        <v>0</v>
      </c>
    </row>
    <row r="10" spans="2:4" ht="12.75">
      <c r="B10" s="1" t="s">
        <v>0</v>
      </c>
      <c r="D10" s="1">
        <f>+SUM(D8:K8)</f>
        <v>280000</v>
      </c>
    </row>
    <row r="11" spans="2:4" ht="12.75">
      <c r="B11" s="1" t="s">
        <v>4</v>
      </c>
      <c r="D11" s="1">
        <f>+SUM(L8:Q8)</f>
        <v>280000</v>
      </c>
    </row>
    <row r="14" spans="3:17" ht="12.75">
      <c r="C14" s="93" t="s">
        <v>0</v>
      </c>
      <c r="D14" s="94"/>
      <c r="E14" s="94"/>
      <c r="F14" s="94"/>
      <c r="G14" s="94"/>
      <c r="H14" s="94"/>
      <c r="I14" s="94"/>
      <c r="J14" s="94"/>
      <c r="K14" s="94"/>
      <c r="L14" s="93" t="s">
        <v>1</v>
      </c>
      <c r="M14" s="94"/>
      <c r="N14" s="94"/>
      <c r="O14" s="94"/>
      <c r="P14" s="94"/>
      <c r="Q14" s="95"/>
    </row>
    <row r="15" spans="2:17" ht="25.5">
      <c r="B15" s="92" t="s">
        <v>19</v>
      </c>
      <c r="C15" s="2"/>
      <c r="D15" s="33" t="s">
        <v>2</v>
      </c>
      <c r="E15" s="33"/>
      <c r="F15" s="3" t="s">
        <v>26</v>
      </c>
      <c r="G15" s="3" t="s">
        <v>7</v>
      </c>
      <c r="H15" s="3"/>
      <c r="I15" s="3" t="s">
        <v>24</v>
      </c>
      <c r="J15" s="3"/>
      <c r="K15" s="3" t="s">
        <v>6</v>
      </c>
      <c r="L15" s="2" t="s">
        <v>8</v>
      </c>
      <c r="M15" s="3"/>
      <c r="N15" s="3" t="s">
        <v>9</v>
      </c>
      <c r="O15" s="3" t="s">
        <v>3</v>
      </c>
      <c r="P15" s="3" t="s">
        <v>25</v>
      </c>
      <c r="Q15" s="30" t="s">
        <v>23</v>
      </c>
    </row>
    <row r="16" spans="2:17" ht="12.75">
      <c r="B16" s="92"/>
      <c r="C16" s="6" t="s">
        <v>20</v>
      </c>
      <c r="D16" s="33">
        <f>+D8</f>
        <v>210000</v>
      </c>
      <c r="E16" s="34">
        <f>D16</f>
        <v>210000</v>
      </c>
      <c r="F16" s="3">
        <f>+F8</f>
        <v>0</v>
      </c>
      <c r="G16" s="3">
        <f aca="true" t="shared" si="1" ref="G16:Q16">+G8</f>
        <v>50000</v>
      </c>
      <c r="H16" s="3"/>
      <c r="I16" s="3">
        <f t="shared" si="1"/>
        <v>0</v>
      </c>
      <c r="J16" s="3"/>
      <c r="K16" s="3">
        <f t="shared" si="1"/>
        <v>20000</v>
      </c>
      <c r="L16" s="2">
        <f t="shared" si="1"/>
        <v>30000</v>
      </c>
      <c r="M16" s="3"/>
      <c r="N16" s="3">
        <f t="shared" si="1"/>
        <v>150000</v>
      </c>
      <c r="O16" s="3">
        <f t="shared" si="1"/>
        <v>100000</v>
      </c>
      <c r="P16" s="3">
        <f t="shared" si="1"/>
        <v>0</v>
      </c>
      <c r="Q16" s="30">
        <f t="shared" si="1"/>
        <v>0</v>
      </c>
    </row>
    <row r="17" spans="2:17" ht="12.75">
      <c r="B17" s="92"/>
      <c r="C17" s="6" t="s">
        <v>21</v>
      </c>
      <c r="D17" s="34">
        <v>50000</v>
      </c>
      <c r="E17" s="34">
        <f>E16+D17</f>
        <v>260000</v>
      </c>
      <c r="F17" s="7">
        <v>10000</v>
      </c>
      <c r="G17" s="7"/>
      <c r="H17" s="7"/>
      <c r="I17" s="7"/>
      <c r="J17" s="7"/>
      <c r="K17" s="7"/>
      <c r="L17" s="6"/>
      <c r="M17" s="7"/>
      <c r="N17" s="7"/>
      <c r="O17" s="7"/>
      <c r="P17" s="7"/>
      <c r="Q17" s="31">
        <v>60000</v>
      </c>
    </row>
    <row r="18" spans="2:17" ht="12.75">
      <c r="B18" s="92"/>
      <c r="C18" s="6" t="s">
        <v>22</v>
      </c>
      <c r="D18" s="34"/>
      <c r="E18" s="34">
        <f>E17+D18</f>
        <v>260000</v>
      </c>
      <c r="F18" s="7"/>
      <c r="G18" s="7">
        <v>-40000</v>
      </c>
      <c r="H18" s="7"/>
      <c r="I18" s="7"/>
      <c r="J18" s="7"/>
      <c r="K18" s="7"/>
      <c r="L18" s="6"/>
      <c r="M18" s="7"/>
      <c r="N18" s="7"/>
      <c r="O18" s="7"/>
      <c r="P18" s="7"/>
      <c r="Q18" s="31">
        <v>-40000</v>
      </c>
    </row>
    <row r="19" spans="2:17" ht="12.75">
      <c r="B19" s="92"/>
      <c r="C19" s="6">
        <v>2</v>
      </c>
      <c r="D19" s="34">
        <v>-10000</v>
      </c>
      <c r="E19" s="34">
        <f>E18+D19</f>
        <v>250000</v>
      </c>
      <c r="F19" s="7"/>
      <c r="G19" s="7">
        <v>80000</v>
      </c>
      <c r="H19" s="7"/>
      <c r="I19" s="7"/>
      <c r="J19" s="7"/>
      <c r="K19" s="7"/>
      <c r="L19" s="6">
        <v>70000</v>
      </c>
      <c r="M19" s="7"/>
      <c r="N19" s="7"/>
      <c r="O19" s="7"/>
      <c r="P19" s="7"/>
      <c r="Q19" s="31"/>
    </row>
    <row r="20" spans="2:17" ht="12.75">
      <c r="B20" s="92"/>
      <c r="C20" s="6">
        <v>3</v>
      </c>
      <c r="D20" s="34">
        <v>-30000</v>
      </c>
      <c r="E20" s="34">
        <f>E19+D20</f>
        <v>220000</v>
      </c>
      <c r="F20" s="7"/>
      <c r="G20" s="7"/>
      <c r="H20" s="7"/>
      <c r="I20" s="7"/>
      <c r="J20" s="7"/>
      <c r="K20" s="7"/>
      <c r="L20" s="6">
        <v>-30000</v>
      </c>
      <c r="M20" s="7"/>
      <c r="N20" s="7"/>
      <c r="O20" s="7"/>
      <c r="P20" s="7"/>
      <c r="Q20" s="31"/>
    </row>
    <row r="21" spans="2:17" ht="12.75">
      <c r="B21" s="92"/>
      <c r="C21" s="6">
        <v>4</v>
      </c>
      <c r="D21" s="34">
        <v>-180000</v>
      </c>
      <c r="E21" s="34">
        <f>E20+D21</f>
        <v>40000</v>
      </c>
      <c r="F21" s="7"/>
      <c r="G21" s="7"/>
      <c r="H21" s="7"/>
      <c r="I21" s="7">
        <v>180000</v>
      </c>
      <c r="J21" s="7"/>
      <c r="K21" s="7"/>
      <c r="L21" s="6"/>
      <c r="M21" s="7"/>
      <c r="N21" s="7"/>
      <c r="O21" s="7"/>
      <c r="P21" s="7"/>
      <c r="Q21" s="31"/>
    </row>
    <row r="22" spans="2:17" ht="12.75">
      <c r="B22" s="92"/>
      <c r="C22" s="6">
        <v>5</v>
      </c>
      <c r="D22" s="34">
        <v>-3000</v>
      </c>
      <c r="E22" s="34">
        <f>E21+D22</f>
        <v>37000</v>
      </c>
      <c r="F22" s="7"/>
      <c r="G22" s="7"/>
      <c r="H22" s="7"/>
      <c r="I22" s="7"/>
      <c r="J22" s="7"/>
      <c r="K22" s="7"/>
      <c r="L22" s="6"/>
      <c r="M22" s="7"/>
      <c r="N22" s="7"/>
      <c r="O22" s="7"/>
      <c r="P22" s="7"/>
      <c r="Q22" s="31">
        <v>-3000</v>
      </c>
    </row>
    <row r="23" spans="2:17" ht="12.75">
      <c r="B23" s="92"/>
      <c r="C23" s="6"/>
      <c r="D23" s="34"/>
      <c r="E23" s="34"/>
      <c r="F23" s="7"/>
      <c r="G23" s="7"/>
      <c r="H23" s="7"/>
      <c r="I23" s="7"/>
      <c r="J23" s="7"/>
      <c r="K23" s="7"/>
      <c r="L23" s="6"/>
      <c r="M23" s="7"/>
      <c r="N23" s="7"/>
      <c r="O23" s="7"/>
      <c r="P23" s="7"/>
      <c r="Q23" s="31"/>
    </row>
    <row r="24" spans="2:17" ht="12.75">
      <c r="B24" s="92"/>
      <c r="C24" s="6"/>
      <c r="D24" s="34"/>
      <c r="E24" s="34"/>
      <c r="F24" s="7"/>
      <c r="G24" s="7"/>
      <c r="H24" s="7"/>
      <c r="I24" s="7"/>
      <c r="J24" s="7"/>
      <c r="K24" s="7"/>
      <c r="L24" s="6"/>
      <c r="M24" s="7"/>
      <c r="N24" s="7"/>
      <c r="O24" s="7"/>
      <c r="P24" s="7">
        <f>-Q24</f>
        <v>17000</v>
      </c>
      <c r="Q24" s="31">
        <f>-SUM(Q17:Q23)</f>
        <v>-17000</v>
      </c>
    </row>
    <row r="25" spans="2:17" ht="12.75">
      <c r="B25" s="92"/>
      <c r="C25" s="9" t="s">
        <v>5</v>
      </c>
      <c r="D25" s="35">
        <f aca="true" t="shared" si="2" ref="D25:Q25">+SUM(D16:D24)</f>
        <v>37000</v>
      </c>
      <c r="E25" s="35"/>
      <c r="F25" s="10">
        <f t="shared" si="2"/>
        <v>10000</v>
      </c>
      <c r="G25" s="10">
        <f t="shared" si="2"/>
        <v>90000</v>
      </c>
      <c r="H25" s="10"/>
      <c r="I25" s="10">
        <f t="shared" si="2"/>
        <v>180000</v>
      </c>
      <c r="J25" s="10"/>
      <c r="K25" s="10">
        <f t="shared" si="2"/>
        <v>20000</v>
      </c>
      <c r="L25" s="9">
        <f t="shared" si="2"/>
        <v>70000</v>
      </c>
      <c r="M25" s="10"/>
      <c r="N25" s="10">
        <f t="shared" si="2"/>
        <v>150000</v>
      </c>
      <c r="O25" s="10">
        <f t="shared" si="2"/>
        <v>100000</v>
      </c>
      <c r="P25" s="10">
        <f t="shared" si="2"/>
        <v>17000</v>
      </c>
      <c r="Q25" s="32">
        <f t="shared" si="2"/>
        <v>0</v>
      </c>
    </row>
    <row r="27" spans="2:4" ht="12.75">
      <c r="B27" s="1" t="s">
        <v>0</v>
      </c>
      <c r="D27" s="1">
        <f>+SUM(D25:K25)</f>
        <v>337000</v>
      </c>
    </row>
    <row r="28" spans="2:4" ht="12.75">
      <c r="B28" s="1" t="s">
        <v>4</v>
      </c>
      <c r="D28" s="1">
        <f>+SUM(L25:Q25)</f>
        <v>337000</v>
      </c>
    </row>
    <row r="30" spans="3:17" ht="12.75">
      <c r="C30" s="93" t="s">
        <v>0</v>
      </c>
      <c r="D30" s="94"/>
      <c r="E30" s="94"/>
      <c r="F30" s="94"/>
      <c r="G30" s="94"/>
      <c r="H30" s="94"/>
      <c r="I30" s="94"/>
      <c r="J30" s="94"/>
      <c r="K30" s="94"/>
      <c r="L30" s="93" t="s">
        <v>1</v>
      </c>
      <c r="M30" s="94"/>
      <c r="N30" s="94"/>
      <c r="O30" s="94"/>
      <c r="P30" s="94"/>
      <c r="Q30" s="95"/>
    </row>
    <row r="31" spans="2:17" ht="25.5">
      <c r="B31" s="104" t="s">
        <v>34</v>
      </c>
      <c r="C31" s="2"/>
      <c r="D31" s="33" t="s">
        <v>2</v>
      </c>
      <c r="E31" s="33"/>
      <c r="F31" s="3" t="s">
        <v>26</v>
      </c>
      <c r="G31" s="3" t="s">
        <v>7</v>
      </c>
      <c r="H31" s="3"/>
      <c r="I31" s="3" t="s">
        <v>24</v>
      </c>
      <c r="J31" s="3" t="s">
        <v>37</v>
      </c>
      <c r="K31" s="3" t="s">
        <v>6</v>
      </c>
      <c r="L31" s="2" t="s">
        <v>8</v>
      </c>
      <c r="M31" s="3"/>
      <c r="N31" s="3" t="s">
        <v>9</v>
      </c>
      <c r="O31" s="3" t="s">
        <v>3</v>
      </c>
      <c r="P31" s="3" t="s">
        <v>25</v>
      </c>
      <c r="Q31" s="30" t="s">
        <v>23</v>
      </c>
    </row>
    <row r="32" spans="2:17" ht="12.75">
      <c r="B32" s="104"/>
      <c r="C32" s="6" t="s">
        <v>20</v>
      </c>
      <c r="D32" s="33">
        <f>+D25</f>
        <v>37000</v>
      </c>
      <c r="E32" s="34">
        <f>D32</f>
        <v>37000</v>
      </c>
      <c r="F32" s="3">
        <f aca="true" t="shared" si="3" ref="F32:Q32">+F25</f>
        <v>10000</v>
      </c>
      <c r="G32" s="3">
        <f t="shared" si="3"/>
        <v>90000</v>
      </c>
      <c r="H32" s="3"/>
      <c r="I32" s="3">
        <f t="shared" si="3"/>
        <v>180000</v>
      </c>
      <c r="J32" s="3">
        <v>0</v>
      </c>
      <c r="K32" s="3">
        <f t="shared" si="3"/>
        <v>20000</v>
      </c>
      <c r="L32" s="2">
        <f t="shared" si="3"/>
        <v>70000</v>
      </c>
      <c r="M32" s="3"/>
      <c r="N32" s="3">
        <f t="shared" si="3"/>
        <v>150000</v>
      </c>
      <c r="O32" s="3">
        <f t="shared" si="3"/>
        <v>100000</v>
      </c>
      <c r="P32" s="3">
        <f t="shared" si="3"/>
        <v>17000</v>
      </c>
      <c r="Q32" s="30">
        <f t="shared" si="3"/>
        <v>0</v>
      </c>
    </row>
    <row r="33" spans="2:17" ht="12.75">
      <c r="B33" s="104"/>
      <c r="C33" s="6">
        <v>1</v>
      </c>
      <c r="D33" s="34">
        <v>10000</v>
      </c>
      <c r="E33" s="34">
        <f>E32+D33</f>
        <v>47000</v>
      </c>
      <c r="F33" s="7">
        <f>-D33</f>
        <v>-10000</v>
      </c>
      <c r="G33" s="7"/>
      <c r="H33" s="7"/>
      <c r="I33" s="7"/>
      <c r="J33" s="7"/>
      <c r="K33" s="7"/>
      <c r="L33" s="6"/>
      <c r="M33" s="7"/>
      <c r="N33" s="7"/>
      <c r="O33" s="7"/>
      <c r="P33" s="7"/>
      <c r="Q33" s="31"/>
    </row>
    <row r="34" spans="2:17" ht="12.75">
      <c r="B34" s="104"/>
      <c r="C34" s="6" t="s">
        <v>106</v>
      </c>
      <c r="D34" s="34">
        <v>130000</v>
      </c>
      <c r="E34" s="34">
        <f>E36+D34</f>
        <v>107000</v>
      </c>
      <c r="F34" s="7">
        <v>20000</v>
      </c>
      <c r="G34" s="7"/>
      <c r="H34" s="7"/>
      <c r="I34" s="7"/>
      <c r="J34" s="7"/>
      <c r="K34" s="7"/>
      <c r="L34" s="6"/>
      <c r="M34" s="7"/>
      <c r="N34" s="7"/>
      <c r="O34" s="7"/>
      <c r="P34" s="7"/>
      <c r="Q34" s="31">
        <v>150000</v>
      </c>
    </row>
    <row r="35" spans="2:17" ht="12.75">
      <c r="B35" s="104"/>
      <c r="C35" s="6" t="s">
        <v>107</v>
      </c>
      <c r="D35" s="34"/>
      <c r="E35" s="34">
        <f>E34+D35</f>
        <v>107000</v>
      </c>
      <c r="F35" s="7"/>
      <c r="G35" s="7">
        <f>-G32</f>
        <v>-90000</v>
      </c>
      <c r="H35" s="7"/>
      <c r="I35" s="7"/>
      <c r="J35" s="7"/>
      <c r="K35" s="7"/>
      <c r="L35" s="6"/>
      <c r="M35" s="7"/>
      <c r="N35" s="7"/>
      <c r="O35" s="7"/>
      <c r="P35" s="7"/>
      <c r="Q35" s="31">
        <f>+G35</f>
        <v>-90000</v>
      </c>
    </row>
    <row r="36" spans="2:17" ht="12.75">
      <c r="B36" s="104"/>
      <c r="C36" s="6">
        <v>3</v>
      </c>
      <c r="D36" s="34">
        <v>-70000</v>
      </c>
      <c r="E36" s="34">
        <f>E33+D36</f>
        <v>-23000</v>
      </c>
      <c r="F36" s="7"/>
      <c r="G36" s="7"/>
      <c r="H36" s="7"/>
      <c r="I36" s="7"/>
      <c r="J36" s="7"/>
      <c r="K36" s="7"/>
      <c r="L36" s="6">
        <v>-70000</v>
      </c>
      <c r="M36" s="7"/>
      <c r="N36" s="7"/>
      <c r="O36" s="7"/>
      <c r="P36" s="7"/>
      <c r="Q36" s="31"/>
    </row>
    <row r="37" spans="2:17" ht="12.75">
      <c r="B37" s="104"/>
      <c r="C37" s="6">
        <v>4</v>
      </c>
      <c r="D37" s="34">
        <v>-2000</v>
      </c>
      <c r="E37" s="34">
        <f>E35+D37</f>
        <v>105000</v>
      </c>
      <c r="F37" s="7"/>
      <c r="G37" s="7"/>
      <c r="H37" s="7"/>
      <c r="I37" s="7"/>
      <c r="J37" s="7"/>
      <c r="K37" s="7"/>
      <c r="L37" s="6"/>
      <c r="M37" s="7"/>
      <c r="N37" s="7"/>
      <c r="O37" s="7"/>
      <c r="P37" s="7"/>
      <c r="Q37" s="31">
        <v>-2000</v>
      </c>
    </row>
    <row r="38" spans="2:17" ht="12.75">
      <c r="B38" s="104"/>
      <c r="C38" s="6">
        <v>5</v>
      </c>
      <c r="D38" s="34">
        <v>-10000</v>
      </c>
      <c r="E38" s="34">
        <f>E37+D38</f>
        <v>95000</v>
      </c>
      <c r="F38" s="7"/>
      <c r="G38" s="7">
        <v>100000</v>
      </c>
      <c r="H38" s="7"/>
      <c r="I38" s="7"/>
      <c r="J38" s="7"/>
      <c r="K38" s="7"/>
      <c r="L38" s="6">
        <v>90000</v>
      </c>
      <c r="M38" s="7"/>
      <c r="N38" s="7"/>
      <c r="O38" s="7"/>
      <c r="P38" s="7"/>
      <c r="Q38" s="31"/>
    </row>
    <row r="39" spans="2:17" ht="12.75">
      <c r="B39" s="104"/>
      <c r="C39" s="6">
        <v>6</v>
      </c>
      <c r="D39" s="34">
        <v>-50000</v>
      </c>
      <c r="E39" s="34"/>
      <c r="F39" s="7"/>
      <c r="G39" s="7"/>
      <c r="H39" s="7"/>
      <c r="I39" s="7"/>
      <c r="J39" s="7"/>
      <c r="K39" s="7"/>
      <c r="L39" s="6"/>
      <c r="M39" s="7"/>
      <c r="N39" s="7">
        <v>-50000</v>
      </c>
      <c r="O39" s="7"/>
      <c r="P39" s="7"/>
      <c r="Q39" s="31"/>
    </row>
    <row r="40" spans="2:17" ht="12.75">
      <c r="B40" s="104"/>
      <c r="C40" s="6"/>
      <c r="D40" s="34"/>
      <c r="E40" s="34"/>
      <c r="F40" s="7"/>
      <c r="G40" s="7"/>
      <c r="H40" s="7"/>
      <c r="I40" s="7"/>
      <c r="J40" s="7">
        <f>+Q40</f>
        <v>-3000</v>
      </c>
      <c r="K40" s="7"/>
      <c r="L40" s="6"/>
      <c r="M40" s="7"/>
      <c r="N40" s="7"/>
      <c r="O40" s="7"/>
      <c r="P40" s="7"/>
      <c r="Q40" s="31">
        <f>-180000/60</f>
        <v>-3000</v>
      </c>
    </row>
    <row r="41" spans="2:17" ht="12.75">
      <c r="B41" s="104"/>
      <c r="C41" s="6"/>
      <c r="D41" s="34"/>
      <c r="E41" s="34"/>
      <c r="F41" s="7"/>
      <c r="G41" s="7"/>
      <c r="H41" s="7"/>
      <c r="I41" s="7"/>
      <c r="J41" s="7"/>
      <c r="K41" s="7"/>
      <c r="L41" s="6"/>
      <c r="M41" s="7"/>
      <c r="N41" s="7"/>
      <c r="O41" s="7"/>
      <c r="P41" s="7">
        <f>-Q41</f>
        <v>55000</v>
      </c>
      <c r="Q41" s="31">
        <f>-SUM(Q33:Q40)</f>
        <v>-55000</v>
      </c>
    </row>
    <row r="42" spans="2:17" ht="12.75">
      <c r="B42" s="104"/>
      <c r="C42" s="9" t="s">
        <v>5</v>
      </c>
      <c r="D42" s="35">
        <f aca="true" t="shared" si="4" ref="D42:Q42">+SUM(D32:D41)</f>
        <v>45000</v>
      </c>
      <c r="E42" s="35"/>
      <c r="F42" s="10">
        <f t="shared" si="4"/>
        <v>20000</v>
      </c>
      <c r="G42" s="10">
        <f t="shared" si="4"/>
        <v>100000</v>
      </c>
      <c r="H42" s="10"/>
      <c r="I42" s="10">
        <f t="shared" si="4"/>
        <v>180000</v>
      </c>
      <c r="J42" s="10">
        <f t="shared" si="4"/>
        <v>-3000</v>
      </c>
      <c r="K42" s="10">
        <f t="shared" si="4"/>
        <v>20000</v>
      </c>
      <c r="L42" s="9">
        <f t="shared" si="4"/>
        <v>90000</v>
      </c>
      <c r="M42" s="10"/>
      <c r="N42" s="10">
        <f t="shared" si="4"/>
        <v>100000</v>
      </c>
      <c r="O42" s="10">
        <f t="shared" si="4"/>
        <v>100000</v>
      </c>
      <c r="P42" s="10">
        <f t="shared" si="4"/>
        <v>72000</v>
      </c>
      <c r="Q42" s="32">
        <f t="shared" si="4"/>
        <v>0</v>
      </c>
    </row>
    <row r="44" spans="2:4" ht="12.75">
      <c r="B44" s="1" t="s">
        <v>0</v>
      </c>
      <c r="D44" s="1">
        <f>+SUM(D42:K42)</f>
        <v>362000</v>
      </c>
    </row>
    <row r="45" spans="2:4" ht="12.75">
      <c r="B45" s="1" t="s">
        <v>4</v>
      </c>
      <c r="D45" s="1">
        <f>+SUM(L42:Q42)</f>
        <v>362000</v>
      </c>
    </row>
    <row r="48" spans="3:17" ht="12.75">
      <c r="C48" s="93" t="s">
        <v>0</v>
      </c>
      <c r="D48" s="94"/>
      <c r="E48" s="94"/>
      <c r="F48" s="94"/>
      <c r="G48" s="94"/>
      <c r="H48" s="94"/>
      <c r="I48" s="94"/>
      <c r="J48" s="94"/>
      <c r="K48" s="94"/>
      <c r="L48" s="93" t="s">
        <v>1</v>
      </c>
      <c r="M48" s="94"/>
      <c r="N48" s="94"/>
      <c r="O48" s="94"/>
      <c r="P48" s="94"/>
      <c r="Q48" s="95"/>
    </row>
    <row r="49" spans="2:17" ht="25.5">
      <c r="B49" s="104" t="s">
        <v>56</v>
      </c>
      <c r="C49" s="2"/>
      <c r="D49" s="33" t="s">
        <v>2</v>
      </c>
      <c r="E49" s="33"/>
      <c r="F49" s="3" t="s">
        <v>26</v>
      </c>
      <c r="G49" s="3" t="s">
        <v>7</v>
      </c>
      <c r="H49" s="3"/>
      <c r="I49" s="3" t="s">
        <v>24</v>
      </c>
      <c r="J49" s="3" t="s">
        <v>37</v>
      </c>
      <c r="K49" s="3" t="s">
        <v>6</v>
      </c>
      <c r="L49" s="2" t="s">
        <v>8</v>
      </c>
      <c r="M49" s="3" t="s">
        <v>57</v>
      </c>
      <c r="N49" s="3" t="s">
        <v>9</v>
      </c>
      <c r="O49" s="3" t="s">
        <v>3</v>
      </c>
      <c r="P49" s="3" t="s">
        <v>25</v>
      </c>
      <c r="Q49" s="30" t="s">
        <v>23</v>
      </c>
    </row>
    <row r="50" spans="2:17" ht="12.75">
      <c r="B50" s="104"/>
      <c r="C50" s="6" t="s">
        <v>20</v>
      </c>
      <c r="D50" s="33">
        <f>+D42</f>
        <v>45000</v>
      </c>
      <c r="E50" s="34">
        <f>D50</f>
        <v>45000</v>
      </c>
      <c r="F50" s="3">
        <f aca="true" t="shared" si="5" ref="F50:Q50">+F42</f>
        <v>20000</v>
      </c>
      <c r="G50" s="3">
        <f t="shared" si="5"/>
        <v>100000</v>
      </c>
      <c r="H50" s="3"/>
      <c r="I50" s="3">
        <f t="shared" si="5"/>
        <v>180000</v>
      </c>
      <c r="J50" s="3">
        <f t="shared" si="5"/>
        <v>-3000</v>
      </c>
      <c r="K50" s="3">
        <f t="shared" si="5"/>
        <v>20000</v>
      </c>
      <c r="L50" s="2">
        <f t="shared" si="5"/>
        <v>90000</v>
      </c>
      <c r="M50" s="3">
        <f t="shared" si="5"/>
        <v>0</v>
      </c>
      <c r="N50" s="3">
        <f t="shared" si="5"/>
        <v>100000</v>
      </c>
      <c r="O50" s="3">
        <f t="shared" si="5"/>
        <v>100000</v>
      </c>
      <c r="P50" s="3">
        <f t="shared" si="5"/>
        <v>72000</v>
      </c>
      <c r="Q50" s="30">
        <f t="shared" si="5"/>
        <v>0</v>
      </c>
    </row>
    <row r="51" spans="2:17" ht="12.75">
      <c r="B51" s="104"/>
      <c r="C51" s="6">
        <v>1</v>
      </c>
      <c r="D51" s="34">
        <v>20000</v>
      </c>
      <c r="E51" s="34">
        <f>E50+D51</f>
        <v>65000</v>
      </c>
      <c r="F51" s="7">
        <f>-F50</f>
        <v>-20000</v>
      </c>
      <c r="G51" s="7"/>
      <c r="H51" s="7"/>
      <c r="I51" s="7"/>
      <c r="J51" s="7"/>
      <c r="K51" s="7"/>
      <c r="L51" s="6"/>
      <c r="M51" s="7"/>
      <c r="N51" s="7"/>
      <c r="O51" s="7"/>
      <c r="P51" s="7"/>
      <c r="Q51" s="31"/>
    </row>
    <row r="52" spans="2:17" ht="12.75">
      <c r="B52" s="104"/>
      <c r="C52" s="6" t="s">
        <v>106</v>
      </c>
      <c r="D52" s="34">
        <v>130000</v>
      </c>
      <c r="E52" s="34">
        <f>E51+D52</f>
        <v>195000</v>
      </c>
      <c r="F52" s="7">
        <v>50000</v>
      </c>
      <c r="G52" s="7"/>
      <c r="H52" s="7"/>
      <c r="I52" s="7"/>
      <c r="J52" s="7"/>
      <c r="K52" s="7"/>
      <c r="L52" s="6"/>
      <c r="M52" s="7"/>
      <c r="N52" s="7"/>
      <c r="O52" s="7"/>
      <c r="P52" s="7"/>
      <c r="Q52" s="31">
        <v>180000</v>
      </c>
    </row>
    <row r="53" spans="2:17" ht="12.75">
      <c r="B53" s="104"/>
      <c r="C53" s="6" t="s">
        <v>107</v>
      </c>
      <c r="D53" s="34"/>
      <c r="E53" s="34">
        <f>E52+D53</f>
        <v>195000</v>
      </c>
      <c r="F53" s="7"/>
      <c r="G53" s="7">
        <v>-100000</v>
      </c>
      <c r="H53" s="7"/>
      <c r="I53" s="7"/>
      <c r="J53" s="7"/>
      <c r="K53" s="7"/>
      <c r="L53" s="6"/>
      <c r="M53" s="7"/>
      <c r="N53" s="7"/>
      <c r="O53" s="7"/>
      <c r="P53" s="7"/>
      <c r="Q53" s="31">
        <v>-100000</v>
      </c>
    </row>
    <row r="54" spans="2:17" ht="12.75">
      <c r="B54" s="104"/>
      <c r="C54" s="6">
        <v>3</v>
      </c>
      <c r="D54" s="34">
        <v>-90000</v>
      </c>
      <c r="E54" s="34">
        <f>E53+D54</f>
        <v>105000</v>
      </c>
      <c r="F54" s="7"/>
      <c r="G54" s="7"/>
      <c r="H54" s="7"/>
      <c r="I54" s="7"/>
      <c r="J54" s="7"/>
      <c r="K54" s="7"/>
      <c r="L54" s="6">
        <v>-90000</v>
      </c>
      <c r="M54" s="7"/>
      <c r="N54" s="7"/>
      <c r="O54" s="7"/>
      <c r="P54" s="7"/>
      <c r="Q54" s="31"/>
    </row>
    <row r="55" spans="2:17" ht="12.75">
      <c r="B55" s="104"/>
      <c r="C55" s="6">
        <v>4</v>
      </c>
      <c r="D55" s="34">
        <v>-2000</v>
      </c>
      <c r="E55" s="34">
        <f>E54+D55</f>
        <v>103000</v>
      </c>
      <c r="F55" s="7"/>
      <c r="G55" s="7"/>
      <c r="H55" s="7"/>
      <c r="I55" s="7"/>
      <c r="J55" s="7"/>
      <c r="K55" s="7"/>
      <c r="L55" s="6"/>
      <c r="M55" s="7"/>
      <c r="N55" s="7"/>
      <c r="O55" s="7"/>
      <c r="P55" s="7"/>
      <c r="Q55" s="31">
        <v>-2000</v>
      </c>
    </row>
    <row r="56" spans="2:17" ht="12.75">
      <c r="B56" s="104"/>
      <c r="C56" s="6">
        <v>5</v>
      </c>
      <c r="D56" s="34">
        <v>-100000</v>
      </c>
      <c r="E56" s="34">
        <f>E55+D56</f>
        <v>3000</v>
      </c>
      <c r="F56" s="7"/>
      <c r="G56" s="7">
        <v>150000</v>
      </c>
      <c r="H56" s="7"/>
      <c r="I56" s="7"/>
      <c r="J56" s="7"/>
      <c r="K56" s="7"/>
      <c r="L56" s="6">
        <v>50000</v>
      </c>
      <c r="M56" s="7"/>
      <c r="N56" s="7"/>
      <c r="O56" s="7"/>
      <c r="P56" s="7"/>
      <c r="Q56" s="31"/>
    </row>
    <row r="57" spans="2:17" ht="12.75">
      <c r="B57" s="104"/>
      <c r="C57" s="6">
        <v>6</v>
      </c>
      <c r="D57" s="34"/>
      <c r="E57" s="34"/>
      <c r="F57" s="7"/>
      <c r="G57" s="7"/>
      <c r="H57" s="7"/>
      <c r="I57" s="7"/>
      <c r="J57" s="7">
        <f>-I50/60</f>
        <v>-3000</v>
      </c>
      <c r="K57" s="7"/>
      <c r="L57" s="6"/>
      <c r="M57" s="7"/>
      <c r="N57" s="7"/>
      <c r="O57" s="7"/>
      <c r="P57" s="7"/>
      <c r="Q57" s="31">
        <v>-3000</v>
      </c>
    </row>
    <row r="58" spans="2:17" ht="12.75">
      <c r="B58" s="104"/>
      <c r="C58" s="6">
        <v>7</v>
      </c>
      <c r="D58" s="34"/>
      <c r="E58" s="34"/>
      <c r="F58" s="7"/>
      <c r="G58" s="7"/>
      <c r="H58" s="7"/>
      <c r="I58" s="7"/>
      <c r="J58" s="7"/>
      <c r="K58" s="7"/>
      <c r="L58" s="6"/>
      <c r="M58" s="7">
        <v>10000</v>
      </c>
      <c r="N58" s="7"/>
      <c r="O58" s="7"/>
      <c r="P58" s="7"/>
      <c r="Q58" s="31">
        <v>-10000</v>
      </c>
    </row>
    <row r="59" spans="2:17" ht="12.75">
      <c r="B59" s="104"/>
      <c r="C59" s="6">
        <v>8</v>
      </c>
      <c r="D59" s="34"/>
      <c r="E59" s="34"/>
      <c r="F59" s="7"/>
      <c r="G59" s="7"/>
      <c r="H59" s="7"/>
      <c r="I59" s="7"/>
      <c r="J59" s="7"/>
      <c r="K59" s="7"/>
      <c r="L59" s="6"/>
      <c r="M59" s="7">
        <v>5000</v>
      </c>
      <c r="N59" s="7"/>
      <c r="O59" s="7"/>
      <c r="P59" s="7"/>
      <c r="Q59" s="31">
        <v>-5000</v>
      </c>
    </row>
    <row r="60" spans="2:17" ht="12.75">
      <c r="B60" s="104"/>
      <c r="C60" s="6"/>
      <c r="D60" s="34"/>
      <c r="E60" s="34"/>
      <c r="F60" s="7"/>
      <c r="G60" s="7"/>
      <c r="H60" s="7"/>
      <c r="I60" s="7"/>
      <c r="J60" s="7"/>
      <c r="K60" s="7"/>
      <c r="L60" s="6"/>
      <c r="M60" s="7"/>
      <c r="N60" s="7"/>
      <c r="O60" s="7"/>
      <c r="P60" s="7">
        <f>-Q60</f>
        <v>60000</v>
      </c>
      <c r="Q60" s="31">
        <f>-SUM(Q51:Q59)</f>
        <v>-60000</v>
      </c>
    </row>
    <row r="61" spans="2:17" ht="12.75">
      <c r="B61" s="104"/>
      <c r="C61" s="9" t="s">
        <v>5</v>
      </c>
      <c r="D61" s="35">
        <f aca="true" t="shared" si="6" ref="D61:Q61">+SUM(D50:D60)</f>
        <v>3000</v>
      </c>
      <c r="E61" s="35"/>
      <c r="F61" s="10">
        <f t="shared" si="6"/>
        <v>50000</v>
      </c>
      <c r="G61" s="10">
        <f t="shared" si="6"/>
        <v>150000</v>
      </c>
      <c r="H61" s="10"/>
      <c r="I61" s="10">
        <f t="shared" si="6"/>
        <v>180000</v>
      </c>
      <c r="J61" s="10">
        <f t="shared" si="6"/>
        <v>-6000</v>
      </c>
      <c r="K61" s="10">
        <f t="shared" si="6"/>
        <v>20000</v>
      </c>
      <c r="L61" s="9">
        <f t="shared" si="6"/>
        <v>50000</v>
      </c>
      <c r="M61" s="10">
        <f t="shared" si="6"/>
        <v>15000</v>
      </c>
      <c r="N61" s="10">
        <f t="shared" si="6"/>
        <v>100000</v>
      </c>
      <c r="O61" s="10">
        <f t="shared" si="6"/>
        <v>100000</v>
      </c>
      <c r="P61" s="10">
        <f t="shared" si="6"/>
        <v>132000</v>
      </c>
      <c r="Q61" s="32">
        <f t="shared" si="6"/>
        <v>0</v>
      </c>
    </row>
    <row r="63" spans="2:4" ht="12.75">
      <c r="B63" s="1" t="s">
        <v>0</v>
      </c>
      <c r="D63" s="1">
        <f>+SUM(D61:K61)</f>
        <v>397000</v>
      </c>
    </row>
    <row r="64" spans="2:4" ht="12.75">
      <c r="B64" s="1" t="s">
        <v>4</v>
      </c>
      <c r="D64" s="1">
        <f>+SUM(L61:Q61)</f>
        <v>397000</v>
      </c>
    </row>
    <row r="67" spans="3:17" ht="12.75" customHeight="1">
      <c r="C67" s="93" t="s">
        <v>0</v>
      </c>
      <c r="D67" s="94"/>
      <c r="E67" s="94"/>
      <c r="F67" s="94"/>
      <c r="G67" s="94"/>
      <c r="H67" s="94"/>
      <c r="I67" s="94"/>
      <c r="J67" s="94"/>
      <c r="K67" s="94"/>
      <c r="L67" s="89" t="s">
        <v>60</v>
      </c>
      <c r="M67" s="90"/>
      <c r="N67" s="91"/>
      <c r="O67" s="89" t="s">
        <v>61</v>
      </c>
      <c r="P67" s="90"/>
      <c r="Q67" s="91"/>
    </row>
    <row r="68" spans="2:17" ht="25.5">
      <c r="B68" s="105" t="s">
        <v>59</v>
      </c>
      <c r="C68" s="2"/>
      <c r="D68" s="33" t="s">
        <v>2</v>
      </c>
      <c r="E68" s="33"/>
      <c r="F68" s="3" t="s">
        <v>26</v>
      </c>
      <c r="G68" s="3" t="s">
        <v>7</v>
      </c>
      <c r="H68" s="3"/>
      <c r="I68" s="3" t="s">
        <v>24</v>
      </c>
      <c r="J68" s="3" t="s">
        <v>37</v>
      </c>
      <c r="K68" s="3" t="s">
        <v>6</v>
      </c>
      <c r="L68" s="27" t="s">
        <v>8</v>
      </c>
      <c r="M68" s="28" t="s">
        <v>57</v>
      </c>
      <c r="N68" s="29" t="s">
        <v>9</v>
      </c>
      <c r="O68" s="27" t="s">
        <v>3</v>
      </c>
      <c r="P68" s="29" t="s">
        <v>25</v>
      </c>
      <c r="Q68" s="48" t="s">
        <v>23</v>
      </c>
    </row>
    <row r="69" spans="2:17" ht="12.75">
      <c r="B69" s="105"/>
      <c r="C69" s="6" t="s">
        <v>20</v>
      </c>
      <c r="D69" s="33">
        <f>+D61</f>
        <v>3000</v>
      </c>
      <c r="E69" s="34">
        <f>D69</f>
        <v>3000</v>
      </c>
      <c r="F69" s="3">
        <f aca="true" t="shared" si="7" ref="F69:Q69">+F61</f>
        <v>50000</v>
      </c>
      <c r="G69" s="3">
        <f t="shared" si="7"/>
        <v>150000</v>
      </c>
      <c r="H69" s="3"/>
      <c r="I69" s="3">
        <f t="shared" si="7"/>
        <v>180000</v>
      </c>
      <c r="J69" s="3">
        <f t="shared" si="7"/>
        <v>-6000</v>
      </c>
      <c r="K69" s="3">
        <f t="shared" si="7"/>
        <v>20000</v>
      </c>
      <c r="L69" s="2">
        <f t="shared" si="7"/>
        <v>50000</v>
      </c>
      <c r="M69" s="3">
        <f t="shared" si="7"/>
        <v>15000</v>
      </c>
      <c r="N69" s="4">
        <f t="shared" si="7"/>
        <v>100000</v>
      </c>
      <c r="O69" s="2">
        <f t="shared" si="7"/>
        <v>100000</v>
      </c>
      <c r="P69" s="4">
        <f t="shared" si="7"/>
        <v>132000</v>
      </c>
      <c r="Q69" s="49">
        <f t="shared" si="7"/>
        <v>0</v>
      </c>
    </row>
    <row r="70" spans="2:17" ht="12.75">
      <c r="B70" s="105"/>
      <c r="C70" s="6">
        <v>1</v>
      </c>
      <c r="D70" s="34">
        <v>50000</v>
      </c>
      <c r="E70" s="34">
        <f>E69+D70</f>
        <v>53000</v>
      </c>
      <c r="F70" s="7">
        <v>-50000</v>
      </c>
      <c r="G70" s="7"/>
      <c r="H70" s="7"/>
      <c r="I70" s="7"/>
      <c r="J70" s="7"/>
      <c r="K70" s="7"/>
      <c r="L70" s="6"/>
      <c r="M70" s="7"/>
      <c r="N70" s="8"/>
      <c r="O70" s="6"/>
      <c r="P70" s="8"/>
      <c r="Q70" s="50"/>
    </row>
    <row r="71" spans="2:17" ht="12.75">
      <c r="B71" s="105"/>
      <c r="C71" s="6" t="s">
        <v>106</v>
      </c>
      <c r="D71" s="34">
        <v>200000</v>
      </c>
      <c r="E71" s="34">
        <f>E70+D71</f>
        <v>253000</v>
      </c>
      <c r="F71" s="7">
        <v>50000</v>
      </c>
      <c r="G71" s="7"/>
      <c r="H71" s="7"/>
      <c r="I71" s="7"/>
      <c r="J71" s="7"/>
      <c r="K71" s="7"/>
      <c r="L71" s="6"/>
      <c r="M71" s="7"/>
      <c r="N71" s="8"/>
      <c r="O71" s="6"/>
      <c r="P71" s="8"/>
      <c r="Q71" s="50">
        <v>250000</v>
      </c>
    </row>
    <row r="72" spans="2:17" ht="12.75">
      <c r="B72" s="105"/>
      <c r="C72" s="6" t="s">
        <v>107</v>
      </c>
      <c r="D72" s="34"/>
      <c r="E72" s="34">
        <f>E71+D72</f>
        <v>253000</v>
      </c>
      <c r="F72" s="7"/>
      <c r="G72" s="7">
        <v>-150000</v>
      </c>
      <c r="H72" s="7"/>
      <c r="I72" s="7"/>
      <c r="J72" s="7"/>
      <c r="K72" s="7"/>
      <c r="L72" s="6"/>
      <c r="M72" s="7"/>
      <c r="N72" s="8"/>
      <c r="O72" s="6"/>
      <c r="P72" s="8"/>
      <c r="Q72" s="50">
        <v>-150000</v>
      </c>
    </row>
    <row r="73" spans="2:17" ht="12.75">
      <c r="B73" s="105"/>
      <c r="C73" s="6">
        <v>3</v>
      </c>
      <c r="D73" s="34">
        <v>-65000</v>
      </c>
      <c r="E73" s="34">
        <f>E72+D73</f>
        <v>188000</v>
      </c>
      <c r="F73" s="7"/>
      <c r="G73" s="7"/>
      <c r="H73" s="7"/>
      <c r="I73" s="7"/>
      <c r="J73" s="7"/>
      <c r="K73" s="7"/>
      <c r="L73" s="6">
        <v>-50000</v>
      </c>
      <c r="M73" s="7">
        <v>-15000</v>
      </c>
      <c r="N73" s="8"/>
      <c r="O73" s="6"/>
      <c r="P73" s="8"/>
      <c r="Q73" s="50"/>
    </row>
    <row r="74" spans="2:17" ht="12.75">
      <c r="B74" s="105"/>
      <c r="C74" s="6">
        <v>4</v>
      </c>
      <c r="D74" s="34">
        <v>-2000</v>
      </c>
      <c r="E74" s="34">
        <f>E73+D74</f>
        <v>186000</v>
      </c>
      <c r="F74" s="7"/>
      <c r="G74" s="7"/>
      <c r="H74" s="7"/>
      <c r="I74" s="7"/>
      <c r="J74" s="7"/>
      <c r="K74" s="7"/>
      <c r="L74" s="6"/>
      <c r="M74" s="7"/>
      <c r="N74" s="8"/>
      <c r="O74" s="6"/>
      <c r="P74" s="8"/>
      <c r="Q74" s="50">
        <v>-2000</v>
      </c>
    </row>
    <row r="75" spans="2:17" ht="12.75">
      <c r="B75" s="105"/>
      <c r="C75" s="6">
        <v>5</v>
      </c>
      <c r="D75" s="34">
        <v>-50000</v>
      </c>
      <c r="E75" s="34">
        <f>E74+D75</f>
        <v>136000</v>
      </c>
      <c r="F75" s="7"/>
      <c r="G75" s="7">
        <v>200000</v>
      </c>
      <c r="H75" s="7"/>
      <c r="I75" s="7"/>
      <c r="J75" s="7"/>
      <c r="K75" s="7"/>
      <c r="L75" s="6">
        <v>150000</v>
      </c>
      <c r="M75" s="7"/>
      <c r="N75" s="8"/>
      <c r="O75" s="6"/>
      <c r="P75" s="8"/>
      <c r="Q75" s="50"/>
    </row>
    <row r="76" spans="2:17" ht="12.75">
      <c r="B76" s="105"/>
      <c r="C76" s="6">
        <v>6</v>
      </c>
      <c r="D76" s="34">
        <v>-100000</v>
      </c>
      <c r="E76" s="34">
        <f>E75+D76</f>
        <v>36000</v>
      </c>
      <c r="F76" s="7"/>
      <c r="G76" s="7"/>
      <c r="H76" s="7"/>
      <c r="I76" s="7"/>
      <c r="J76" s="7"/>
      <c r="K76" s="7"/>
      <c r="L76" s="6"/>
      <c r="M76" s="7"/>
      <c r="N76" s="8">
        <v>-100000</v>
      </c>
      <c r="O76" s="6"/>
      <c r="P76" s="8"/>
      <c r="Q76" s="50"/>
    </row>
    <row r="77" spans="2:17" ht="12.75">
      <c r="B77" s="105"/>
      <c r="C77" s="6">
        <v>7</v>
      </c>
      <c r="D77" s="34"/>
      <c r="E77" s="34"/>
      <c r="F77" s="7"/>
      <c r="G77" s="7"/>
      <c r="H77" s="7"/>
      <c r="I77" s="7"/>
      <c r="J77" s="7">
        <v>-3000</v>
      </c>
      <c r="K77" s="7"/>
      <c r="L77" s="6"/>
      <c r="M77" s="7"/>
      <c r="N77" s="8"/>
      <c r="O77" s="6"/>
      <c r="P77" s="8"/>
      <c r="Q77" s="50">
        <v>-3000</v>
      </c>
    </row>
    <row r="78" spans="2:17" ht="12.75">
      <c r="B78" s="105"/>
      <c r="C78" s="6">
        <v>8</v>
      </c>
      <c r="D78" s="34"/>
      <c r="E78" s="34"/>
      <c r="F78" s="7"/>
      <c r="G78" s="7"/>
      <c r="H78" s="7"/>
      <c r="I78" s="7"/>
      <c r="J78" s="7"/>
      <c r="K78" s="7"/>
      <c r="L78" s="6"/>
      <c r="M78" s="7">
        <v>10000</v>
      </c>
      <c r="N78" s="8"/>
      <c r="O78" s="6"/>
      <c r="P78" s="8"/>
      <c r="Q78" s="50">
        <v>-10000</v>
      </c>
    </row>
    <row r="79" spans="2:17" ht="12.75">
      <c r="B79" s="105"/>
      <c r="C79" s="6">
        <v>9</v>
      </c>
      <c r="D79" s="34"/>
      <c r="E79" s="34"/>
      <c r="F79" s="7"/>
      <c r="G79" s="7"/>
      <c r="H79" s="7"/>
      <c r="I79" s="7"/>
      <c r="J79" s="7"/>
      <c r="K79" s="7"/>
      <c r="L79" s="6"/>
      <c r="M79" s="7">
        <v>5000</v>
      </c>
      <c r="N79" s="8"/>
      <c r="O79" s="6"/>
      <c r="P79" s="8"/>
      <c r="Q79" s="50">
        <v>-5000</v>
      </c>
    </row>
    <row r="80" spans="2:17" ht="12.75">
      <c r="B80" s="105"/>
      <c r="C80" s="6"/>
      <c r="D80" s="34"/>
      <c r="E80" s="34"/>
      <c r="F80" s="7"/>
      <c r="G80" s="7"/>
      <c r="H80" s="7"/>
      <c r="I80" s="7"/>
      <c r="J80" s="7"/>
      <c r="K80" s="7"/>
      <c r="L80" s="6"/>
      <c r="M80" s="7"/>
      <c r="N80" s="8"/>
      <c r="O80" s="6"/>
      <c r="P80" s="8">
        <f>-Q80</f>
        <v>80000</v>
      </c>
      <c r="Q80" s="50">
        <f>-SUM(Q70:Q79)</f>
        <v>-80000</v>
      </c>
    </row>
    <row r="81" spans="2:17" ht="12.75">
      <c r="B81" s="105"/>
      <c r="C81" s="9" t="s">
        <v>5</v>
      </c>
      <c r="D81" s="35">
        <f aca="true" t="shared" si="8" ref="D81:Q81">+SUM(D69:D80)</f>
        <v>36000</v>
      </c>
      <c r="E81" s="35"/>
      <c r="F81" s="10">
        <f t="shared" si="8"/>
        <v>50000</v>
      </c>
      <c r="G81" s="10">
        <f t="shared" si="8"/>
        <v>200000</v>
      </c>
      <c r="H81" s="10"/>
      <c r="I81" s="10">
        <f t="shared" si="8"/>
        <v>180000</v>
      </c>
      <c r="J81" s="10">
        <f t="shared" si="8"/>
        <v>-9000</v>
      </c>
      <c r="K81" s="10">
        <f t="shared" si="8"/>
        <v>20000</v>
      </c>
      <c r="L81" s="9">
        <f t="shared" si="8"/>
        <v>150000</v>
      </c>
      <c r="M81" s="10">
        <f t="shared" si="8"/>
        <v>15000</v>
      </c>
      <c r="N81" s="11">
        <f t="shared" si="8"/>
        <v>0</v>
      </c>
      <c r="O81" s="9">
        <f t="shared" si="8"/>
        <v>100000</v>
      </c>
      <c r="P81" s="11">
        <f t="shared" si="8"/>
        <v>212000</v>
      </c>
      <c r="Q81" s="51">
        <f t="shared" si="8"/>
        <v>0</v>
      </c>
    </row>
    <row r="83" spans="2:4" ht="12.75">
      <c r="B83" s="1" t="s">
        <v>0</v>
      </c>
      <c r="D83" s="1">
        <f>+SUM(D81:K81)</f>
        <v>477000</v>
      </c>
    </row>
    <row r="84" spans="2:4" ht="12.75">
      <c r="B84" s="1" t="s">
        <v>4</v>
      </c>
      <c r="D84" s="1">
        <f>+SUM(L81:Q81)</f>
        <v>477000</v>
      </c>
    </row>
    <row r="87" spans="3:17" ht="12.75">
      <c r="C87" s="93" t="s">
        <v>0</v>
      </c>
      <c r="D87" s="94"/>
      <c r="E87" s="94"/>
      <c r="F87" s="94"/>
      <c r="G87" s="94"/>
      <c r="H87" s="94"/>
      <c r="I87" s="94"/>
      <c r="J87" s="94"/>
      <c r="K87" s="94"/>
      <c r="L87" s="89" t="s">
        <v>60</v>
      </c>
      <c r="M87" s="90"/>
      <c r="N87" s="91"/>
      <c r="O87" s="89" t="s">
        <v>61</v>
      </c>
      <c r="P87" s="90"/>
      <c r="Q87" s="91"/>
    </row>
    <row r="88" spans="2:17" ht="25.5">
      <c r="B88" s="105" t="s">
        <v>64</v>
      </c>
      <c r="C88" s="2"/>
      <c r="D88" s="33" t="s">
        <v>2</v>
      </c>
      <c r="E88" s="33"/>
      <c r="F88" s="3" t="s">
        <v>26</v>
      </c>
      <c r="G88" s="3" t="s">
        <v>7</v>
      </c>
      <c r="H88" s="3"/>
      <c r="I88" s="3" t="s">
        <v>24</v>
      </c>
      <c r="J88" s="3" t="s">
        <v>37</v>
      </c>
      <c r="K88" s="3" t="s">
        <v>6</v>
      </c>
      <c r="L88" s="27" t="s">
        <v>8</v>
      </c>
      <c r="M88" s="28" t="s">
        <v>57</v>
      </c>
      <c r="N88" s="29" t="s">
        <v>9</v>
      </c>
      <c r="O88" s="27" t="s">
        <v>3</v>
      </c>
      <c r="P88" s="29" t="s">
        <v>25</v>
      </c>
      <c r="Q88" s="48" t="s">
        <v>23</v>
      </c>
    </row>
    <row r="89" spans="2:17" ht="12.75">
      <c r="B89" s="105"/>
      <c r="C89" s="6" t="s">
        <v>20</v>
      </c>
      <c r="D89" s="33">
        <f>+D81</f>
        <v>36000</v>
      </c>
      <c r="E89" s="34">
        <f>D89</f>
        <v>36000</v>
      </c>
      <c r="F89" s="3">
        <f aca="true" t="shared" si="9" ref="F89:Q89">+F81</f>
        <v>50000</v>
      </c>
      <c r="G89" s="3">
        <f t="shared" si="9"/>
        <v>200000</v>
      </c>
      <c r="H89" s="3"/>
      <c r="I89" s="3">
        <f t="shared" si="9"/>
        <v>180000</v>
      </c>
      <c r="J89" s="3">
        <f t="shared" si="9"/>
        <v>-9000</v>
      </c>
      <c r="K89" s="3">
        <f t="shared" si="9"/>
        <v>20000</v>
      </c>
      <c r="L89" s="2">
        <f t="shared" si="9"/>
        <v>150000</v>
      </c>
      <c r="M89" s="3">
        <f t="shared" si="9"/>
        <v>15000</v>
      </c>
      <c r="N89" s="4">
        <f t="shared" si="9"/>
        <v>0</v>
      </c>
      <c r="O89" s="2">
        <f t="shared" si="9"/>
        <v>100000</v>
      </c>
      <c r="P89" s="4">
        <f t="shared" si="9"/>
        <v>212000</v>
      </c>
      <c r="Q89" s="49">
        <f t="shared" si="9"/>
        <v>0</v>
      </c>
    </row>
    <row r="90" spans="2:17" ht="12.75">
      <c r="B90" s="105"/>
      <c r="C90" s="6">
        <v>1</v>
      </c>
      <c r="D90" s="34">
        <v>50000</v>
      </c>
      <c r="E90" s="34">
        <f>E89+D90</f>
        <v>86000</v>
      </c>
      <c r="F90" s="7">
        <f>-D90</f>
        <v>-50000</v>
      </c>
      <c r="G90" s="7"/>
      <c r="H90" s="7"/>
      <c r="I90" s="7"/>
      <c r="J90" s="7"/>
      <c r="K90" s="7"/>
      <c r="L90" s="6"/>
      <c r="M90" s="7"/>
      <c r="N90" s="8"/>
      <c r="O90" s="6"/>
      <c r="P90" s="8"/>
      <c r="Q90" s="50"/>
    </row>
    <row r="91" spans="2:17" ht="12.75">
      <c r="B91" s="105"/>
      <c r="C91" s="6" t="s">
        <v>106</v>
      </c>
      <c r="D91" s="34">
        <v>200000</v>
      </c>
      <c r="E91" s="34">
        <f>E90+D91</f>
        <v>286000</v>
      </c>
      <c r="F91" s="7">
        <v>100000</v>
      </c>
      <c r="G91" s="7"/>
      <c r="H91" s="7"/>
      <c r="I91" s="7"/>
      <c r="J91" s="7"/>
      <c r="K91" s="7"/>
      <c r="L91" s="6"/>
      <c r="M91" s="7"/>
      <c r="N91" s="8"/>
      <c r="O91" s="6"/>
      <c r="P91" s="8"/>
      <c r="Q91" s="50">
        <v>300000</v>
      </c>
    </row>
    <row r="92" spans="2:17" ht="12.75">
      <c r="B92" s="105"/>
      <c r="C92" s="6" t="s">
        <v>107</v>
      </c>
      <c r="D92" s="34"/>
      <c r="E92" s="34">
        <f aca="true" t="shared" si="10" ref="E92:E100">E91+D92</f>
        <v>286000</v>
      </c>
      <c r="F92" s="7"/>
      <c r="G92" s="7">
        <v>-200000</v>
      </c>
      <c r="H92" s="7"/>
      <c r="I92" s="7"/>
      <c r="J92" s="7"/>
      <c r="K92" s="7"/>
      <c r="L92" s="6"/>
      <c r="M92" s="7"/>
      <c r="N92" s="8"/>
      <c r="O92" s="6"/>
      <c r="P92" s="8"/>
      <c r="Q92" s="50">
        <v>-200000</v>
      </c>
    </row>
    <row r="93" spans="2:17" ht="12.75">
      <c r="B93" s="105"/>
      <c r="C93" s="6">
        <v>3</v>
      </c>
      <c r="D93" s="34">
        <f>-150000-15000</f>
        <v>-165000</v>
      </c>
      <c r="E93" s="34">
        <f t="shared" si="10"/>
        <v>121000</v>
      </c>
      <c r="F93" s="7"/>
      <c r="G93" s="7"/>
      <c r="H93" s="7"/>
      <c r="I93" s="7"/>
      <c r="J93" s="7"/>
      <c r="K93" s="7"/>
      <c r="L93" s="6">
        <v>-150000</v>
      </c>
      <c r="M93" s="7">
        <v>-15000</v>
      </c>
      <c r="N93" s="8"/>
      <c r="O93" s="6"/>
      <c r="P93" s="8"/>
      <c r="Q93" s="50"/>
    </row>
    <row r="94" spans="2:17" ht="12.75">
      <c r="B94" s="105"/>
      <c r="C94" s="6">
        <v>4</v>
      </c>
      <c r="D94" s="34">
        <v>-100000</v>
      </c>
      <c r="E94" s="34">
        <f t="shared" si="10"/>
        <v>21000</v>
      </c>
      <c r="F94" s="7"/>
      <c r="G94" s="7">
        <v>300000</v>
      </c>
      <c r="H94" s="7"/>
      <c r="I94" s="7"/>
      <c r="J94" s="7"/>
      <c r="K94" s="7"/>
      <c r="L94" s="6">
        <v>200000</v>
      </c>
      <c r="M94" s="7"/>
      <c r="N94" s="8"/>
      <c r="O94" s="6"/>
      <c r="P94" s="8"/>
      <c r="Q94" s="50"/>
    </row>
    <row r="95" spans="2:17" ht="12.75">
      <c r="B95" s="105"/>
      <c r="C95" s="6">
        <v>5</v>
      </c>
      <c r="D95" s="34"/>
      <c r="E95" s="34">
        <f t="shared" si="10"/>
        <v>21000</v>
      </c>
      <c r="F95" s="7"/>
      <c r="G95" s="7"/>
      <c r="H95" s="7"/>
      <c r="I95" s="7"/>
      <c r="J95" s="7">
        <v>-3000</v>
      </c>
      <c r="K95" s="7"/>
      <c r="L95" s="6"/>
      <c r="M95" s="7"/>
      <c r="N95" s="8"/>
      <c r="O95" s="6"/>
      <c r="P95" s="8"/>
      <c r="Q95" s="50">
        <v>-3000</v>
      </c>
    </row>
    <row r="96" spans="2:17" ht="12.75">
      <c r="B96" s="105"/>
      <c r="C96" s="6">
        <v>6</v>
      </c>
      <c r="D96" s="34"/>
      <c r="E96" s="34">
        <f t="shared" si="10"/>
        <v>21000</v>
      </c>
      <c r="F96" s="7"/>
      <c r="G96" s="7"/>
      <c r="H96" s="7"/>
      <c r="I96" s="7"/>
      <c r="J96" s="7"/>
      <c r="K96" s="7"/>
      <c r="L96" s="6"/>
      <c r="M96" s="7">
        <v>10000</v>
      </c>
      <c r="N96" s="8"/>
      <c r="O96" s="6"/>
      <c r="P96" s="8"/>
      <c r="Q96" s="50">
        <v>-10000</v>
      </c>
    </row>
    <row r="97" spans="2:17" ht="12.75">
      <c r="B97" s="105"/>
      <c r="C97" s="6">
        <v>7</v>
      </c>
      <c r="D97" s="34"/>
      <c r="E97" s="34">
        <f t="shared" si="10"/>
        <v>21000</v>
      </c>
      <c r="F97" s="7"/>
      <c r="G97" s="7"/>
      <c r="H97" s="7"/>
      <c r="I97" s="7"/>
      <c r="J97" s="7"/>
      <c r="K97" s="7"/>
      <c r="L97" s="6"/>
      <c r="M97" s="7">
        <v>5000</v>
      </c>
      <c r="N97" s="8"/>
      <c r="O97" s="6"/>
      <c r="P97" s="8"/>
      <c r="Q97" s="50">
        <v>-5000</v>
      </c>
    </row>
    <row r="98" spans="2:17" ht="12.75">
      <c r="B98" s="105"/>
      <c r="C98" s="6">
        <v>8</v>
      </c>
      <c r="D98" s="34">
        <v>400000</v>
      </c>
      <c r="E98" s="34">
        <f t="shared" si="10"/>
        <v>421000</v>
      </c>
      <c r="F98" s="7"/>
      <c r="G98" s="7"/>
      <c r="H98" s="7"/>
      <c r="I98" s="7"/>
      <c r="J98" s="7"/>
      <c r="K98" s="7"/>
      <c r="L98" s="6"/>
      <c r="M98" s="7"/>
      <c r="N98" s="8">
        <v>400000</v>
      </c>
      <c r="O98" s="6"/>
      <c r="P98" s="8"/>
      <c r="Q98" s="50"/>
    </row>
    <row r="99" spans="2:17" ht="12.75">
      <c r="B99" s="105"/>
      <c r="C99" s="6">
        <v>9</v>
      </c>
      <c r="D99" s="34">
        <v>-360000</v>
      </c>
      <c r="E99" s="34">
        <f t="shared" si="10"/>
        <v>61000</v>
      </c>
      <c r="F99" s="7"/>
      <c r="G99" s="7"/>
      <c r="H99" s="7"/>
      <c r="I99" s="7">
        <v>360000</v>
      </c>
      <c r="J99" s="7"/>
      <c r="K99" s="7"/>
      <c r="L99" s="6"/>
      <c r="M99" s="7"/>
      <c r="N99" s="8"/>
      <c r="O99" s="6"/>
      <c r="P99" s="8"/>
      <c r="Q99" s="50"/>
    </row>
    <row r="100" spans="2:17" ht="12.75">
      <c r="B100" s="105"/>
      <c r="C100" s="6"/>
      <c r="D100" s="34">
        <v>-24000</v>
      </c>
      <c r="E100" s="34">
        <f t="shared" si="10"/>
        <v>37000</v>
      </c>
      <c r="F100" s="7"/>
      <c r="G100" s="7"/>
      <c r="H100" s="7"/>
      <c r="I100" s="7"/>
      <c r="J100" s="7"/>
      <c r="K100" s="7"/>
      <c r="L100" s="6"/>
      <c r="M100" s="7"/>
      <c r="N100" s="8"/>
      <c r="O100" s="6"/>
      <c r="P100" s="8">
        <f>+D100</f>
        <v>-24000</v>
      </c>
      <c r="Q100" s="50"/>
    </row>
    <row r="101" spans="2:17" ht="12.75">
      <c r="B101" s="105"/>
      <c r="C101" s="6"/>
      <c r="D101" s="34"/>
      <c r="E101" s="34"/>
      <c r="F101" s="7"/>
      <c r="G101" s="7"/>
      <c r="H101" s="7"/>
      <c r="I101" s="7"/>
      <c r="J101" s="7"/>
      <c r="K101" s="7"/>
      <c r="L101" s="6"/>
      <c r="M101" s="7"/>
      <c r="N101" s="8"/>
      <c r="O101" s="6"/>
      <c r="P101" s="8">
        <f>-Q101</f>
        <v>82000</v>
      </c>
      <c r="Q101" s="50">
        <f>-SUM(Q90:Q99)</f>
        <v>-82000</v>
      </c>
    </row>
    <row r="102" spans="2:17" ht="12.75">
      <c r="B102" s="105"/>
      <c r="C102" s="9" t="s">
        <v>5</v>
      </c>
      <c r="D102" s="35">
        <f>+SUM(D89:D101)</f>
        <v>37000</v>
      </c>
      <c r="E102" s="35"/>
      <c r="F102" s="10">
        <f>+SUM(F89:F101)</f>
        <v>100000</v>
      </c>
      <c r="G102" s="10">
        <f>+SUM(G89:G101)</f>
        <v>300000</v>
      </c>
      <c r="H102" s="10"/>
      <c r="I102" s="10">
        <f aca="true" t="shared" si="11" ref="I102:Q102">+SUM(I89:I101)</f>
        <v>540000</v>
      </c>
      <c r="J102" s="10">
        <f t="shared" si="11"/>
        <v>-12000</v>
      </c>
      <c r="K102" s="10">
        <f t="shared" si="11"/>
        <v>20000</v>
      </c>
      <c r="L102" s="9">
        <f t="shared" si="11"/>
        <v>200000</v>
      </c>
      <c r="M102" s="10">
        <f t="shared" si="11"/>
        <v>15000</v>
      </c>
      <c r="N102" s="11">
        <f t="shared" si="11"/>
        <v>400000</v>
      </c>
      <c r="O102" s="9">
        <f t="shared" si="11"/>
        <v>100000</v>
      </c>
      <c r="P102" s="11">
        <f t="shared" si="11"/>
        <v>270000</v>
      </c>
      <c r="Q102" s="51">
        <f t="shared" si="11"/>
        <v>0</v>
      </c>
    </row>
    <row r="104" spans="2:4" ht="12.75">
      <c r="B104" s="1" t="s">
        <v>0</v>
      </c>
      <c r="D104" s="1">
        <f>+SUM(D102:K102)</f>
        <v>985000</v>
      </c>
    </row>
    <row r="105" spans="2:4" ht="12.75">
      <c r="B105" s="1" t="s">
        <v>4</v>
      </c>
      <c r="D105" s="1">
        <f>+SUM(L102:Q102)</f>
        <v>985000</v>
      </c>
    </row>
    <row r="107" s="106" customFormat="1" ht="12.75"/>
    <row r="108" spans="3:17" ht="12.75">
      <c r="C108" s="93" t="s">
        <v>0</v>
      </c>
      <c r="D108" s="94"/>
      <c r="E108" s="94"/>
      <c r="F108" s="94"/>
      <c r="G108" s="94"/>
      <c r="H108" s="94"/>
      <c r="I108" s="94"/>
      <c r="J108" s="94"/>
      <c r="K108" s="94"/>
      <c r="L108" s="89" t="s">
        <v>60</v>
      </c>
      <c r="M108" s="90"/>
      <c r="N108" s="91"/>
      <c r="O108" s="89" t="s">
        <v>61</v>
      </c>
      <c r="P108" s="90"/>
      <c r="Q108" s="91"/>
    </row>
    <row r="109" spans="2:17" ht="25.5">
      <c r="B109" s="92" t="s">
        <v>68</v>
      </c>
      <c r="C109" s="2"/>
      <c r="D109" s="33" t="s">
        <v>2</v>
      </c>
      <c r="E109" s="33"/>
      <c r="F109" s="3" t="s">
        <v>26</v>
      </c>
      <c r="G109" s="3" t="s">
        <v>7</v>
      </c>
      <c r="H109" s="3" t="s">
        <v>69</v>
      </c>
      <c r="I109" s="3" t="s">
        <v>24</v>
      </c>
      <c r="J109" s="3" t="s">
        <v>37</v>
      </c>
      <c r="K109" s="3" t="s">
        <v>6</v>
      </c>
      <c r="L109" s="27" t="s">
        <v>8</v>
      </c>
      <c r="M109" s="28" t="s">
        <v>57</v>
      </c>
      <c r="N109" s="29" t="s">
        <v>9</v>
      </c>
      <c r="O109" s="27" t="s">
        <v>3</v>
      </c>
      <c r="P109" s="29" t="s">
        <v>25</v>
      </c>
      <c r="Q109" s="48" t="s">
        <v>23</v>
      </c>
    </row>
    <row r="110" spans="2:17" ht="12.75">
      <c r="B110" s="92"/>
      <c r="C110" s="6" t="s">
        <v>20</v>
      </c>
      <c r="D110" s="33">
        <f>+D102</f>
        <v>37000</v>
      </c>
      <c r="E110" s="34"/>
      <c r="F110" s="3">
        <f aca="true" t="shared" si="12" ref="F110:Q110">+F102</f>
        <v>100000</v>
      </c>
      <c r="G110" s="3">
        <f t="shared" si="12"/>
        <v>300000</v>
      </c>
      <c r="H110" s="3">
        <v>0</v>
      </c>
      <c r="I110" s="3">
        <f t="shared" si="12"/>
        <v>540000</v>
      </c>
      <c r="J110" s="3">
        <f t="shared" si="12"/>
        <v>-12000</v>
      </c>
      <c r="K110" s="3">
        <f t="shared" si="12"/>
        <v>20000</v>
      </c>
      <c r="L110" s="2">
        <f t="shared" si="12"/>
        <v>200000</v>
      </c>
      <c r="M110" s="3">
        <f t="shared" si="12"/>
        <v>15000</v>
      </c>
      <c r="N110" s="4">
        <f t="shared" si="12"/>
        <v>400000</v>
      </c>
      <c r="O110" s="2">
        <f t="shared" si="12"/>
        <v>100000</v>
      </c>
      <c r="P110" s="4">
        <f t="shared" si="12"/>
        <v>270000</v>
      </c>
      <c r="Q110" s="49">
        <f t="shared" si="12"/>
        <v>0</v>
      </c>
    </row>
    <row r="111" spans="2:17" ht="12.75">
      <c r="B111" s="92"/>
      <c r="C111" s="6">
        <v>1</v>
      </c>
      <c r="D111" s="34">
        <v>100000</v>
      </c>
      <c r="E111" s="34"/>
      <c r="F111" s="7">
        <v>-100000</v>
      </c>
      <c r="G111" s="7"/>
      <c r="H111" s="7"/>
      <c r="I111" s="7"/>
      <c r="J111" s="7"/>
      <c r="K111" s="7"/>
      <c r="L111" s="6"/>
      <c r="M111" s="7"/>
      <c r="N111" s="8"/>
      <c r="O111" s="6"/>
      <c r="P111" s="8"/>
      <c r="Q111" s="50"/>
    </row>
    <row r="112" spans="2:17" ht="12.75">
      <c r="B112" s="92"/>
      <c r="C112" s="6">
        <v>2</v>
      </c>
      <c r="D112" s="34">
        <v>-215000</v>
      </c>
      <c r="E112" s="34"/>
      <c r="F112" s="7"/>
      <c r="G112" s="7"/>
      <c r="H112" s="7"/>
      <c r="I112" s="7"/>
      <c r="J112" s="7"/>
      <c r="K112" s="7"/>
      <c r="L112" s="6">
        <v>-200000</v>
      </c>
      <c r="M112" s="7">
        <v>-15000</v>
      </c>
      <c r="N112" s="8"/>
      <c r="O112" s="6"/>
      <c r="P112" s="8"/>
      <c r="Q112" s="50"/>
    </row>
    <row r="113" spans="2:17" ht="12.75">
      <c r="B113" s="92"/>
      <c r="C113" s="6" t="s">
        <v>35</v>
      </c>
      <c r="D113" s="34">
        <v>390000</v>
      </c>
      <c r="E113" s="34"/>
      <c r="F113" s="7">
        <v>80000</v>
      </c>
      <c r="G113" s="7"/>
      <c r="H113" s="7"/>
      <c r="I113" s="7"/>
      <c r="J113" s="7"/>
      <c r="K113" s="7"/>
      <c r="L113" s="6"/>
      <c r="M113" s="7"/>
      <c r="N113" s="8"/>
      <c r="O113" s="6"/>
      <c r="P113" s="8"/>
      <c r="Q113" s="50">
        <v>470000</v>
      </c>
    </row>
    <row r="114" spans="2:17" ht="12.75">
      <c r="B114" s="92"/>
      <c r="C114" s="6" t="s">
        <v>36</v>
      </c>
      <c r="D114" s="34"/>
      <c r="E114" s="34"/>
      <c r="F114" s="7"/>
      <c r="G114" s="7">
        <f>-G110</f>
        <v>-300000</v>
      </c>
      <c r="H114" s="7"/>
      <c r="I114" s="7"/>
      <c r="J114" s="7"/>
      <c r="K114" s="7"/>
      <c r="L114" s="6"/>
      <c r="M114" s="7"/>
      <c r="N114" s="8"/>
      <c r="O114" s="6"/>
      <c r="P114" s="8"/>
      <c r="Q114" s="50">
        <f>+G114</f>
        <v>-300000</v>
      </c>
    </row>
    <row r="115" spans="2:17" ht="12.75">
      <c r="B115" s="92"/>
      <c r="C115" s="6">
        <v>4</v>
      </c>
      <c r="D115" s="34">
        <v>-180000</v>
      </c>
      <c r="E115" s="34"/>
      <c r="F115" s="7"/>
      <c r="G115" s="7">
        <v>330000</v>
      </c>
      <c r="H115" s="7"/>
      <c r="I115" s="7"/>
      <c r="J115" s="7"/>
      <c r="K115" s="7"/>
      <c r="L115" s="6">
        <v>150000</v>
      </c>
      <c r="M115" s="7"/>
      <c r="N115" s="8"/>
      <c r="O115" s="6"/>
      <c r="P115" s="8"/>
      <c r="Q115" s="50"/>
    </row>
    <row r="116" spans="2:17" ht="12.75">
      <c r="B116" s="92"/>
      <c r="C116" s="6">
        <v>5</v>
      </c>
      <c r="D116" s="34"/>
      <c r="E116" s="34"/>
      <c r="F116" s="7"/>
      <c r="G116" s="7"/>
      <c r="H116" s="7"/>
      <c r="I116" s="7"/>
      <c r="J116" s="7">
        <f>-I110/5/12</f>
        <v>-9000</v>
      </c>
      <c r="K116" s="7"/>
      <c r="L116" s="6"/>
      <c r="M116" s="7"/>
      <c r="N116" s="8"/>
      <c r="O116" s="6"/>
      <c r="P116" s="8"/>
      <c r="Q116" s="50">
        <v>-9000</v>
      </c>
    </row>
    <row r="117" spans="2:17" ht="12.75">
      <c r="B117" s="92"/>
      <c r="C117" s="6">
        <v>6</v>
      </c>
      <c r="D117" s="34"/>
      <c r="E117" s="34"/>
      <c r="F117" s="7"/>
      <c r="G117" s="7"/>
      <c r="H117" s="7"/>
      <c r="I117" s="7"/>
      <c r="J117" s="7"/>
      <c r="K117" s="7"/>
      <c r="L117" s="6"/>
      <c r="M117" s="7">
        <v>10000</v>
      </c>
      <c r="N117" s="8"/>
      <c r="O117" s="6"/>
      <c r="P117" s="8"/>
      <c r="Q117" s="50">
        <v>-10000</v>
      </c>
    </row>
    <row r="118" spans="2:17" ht="12.75">
      <c r="B118" s="92"/>
      <c r="C118" s="6">
        <v>7</v>
      </c>
      <c r="D118" s="34"/>
      <c r="E118" s="34"/>
      <c r="F118" s="7"/>
      <c r="G118" s="7"/>
      <c r="H118" s="7"/>
      <c r="I118" s="7"/>
      <c r="J118" s="7"/>
      <c r="K118" s="7"/>
      <c r="L118" s="6"/>
      <c r="M118" s="7">
        <v>5000</v>
      </c>
      <c r="N118" s="8"/>
      <c r="O118" s="6"/>
      <c r="P118" s="8"/>
      <c r="Q118" s="50">
        <v>-5000</v>
      </c>
    </row>
    <row r="119" spans="2:17" ht="12.75">
      <c r="B119" s="92"/>
      <c r="C119" s="6">
        <v>8</v>
      </c>
      <c r="D119" s="34">
        <v>-4000</v>
      </c>
      <c r="E119" s="34"/>
      <c r="F119" s="7"/>
      <c r="G119" s="7"/>
      <c r="H119" s="7"/>
      <c r="I119" s="7"/>
      <c r="J119" s="7"/>
      <c r="K119" s="7"/>
      <c r="L119" s="6"/>
      <c r="M119" s="7"/>
      <c r="N119" s="8"/>
      <c r="O119" s="6"/>
      <c r="P119" s="8"/>
      <c r="Q119" s="50">
        <v>-4000</v>
      </c>
    </row>
    <row r="120" spans="2:17" ht="12.75">
      <c r="B120" s="92"/>
      <c r="C120" s="6">
        <v>9</v>
      </c>
      <c r="D120" s="34">
        <v>-6000</v>
      </c>
      <c r="E120" s="34"/>
      <c r="F120" s="7"/>
      <c r="G120" s="7"/>
      <c r="H120" s="7">
        <f>-D120</f>
        <v>6000</v>
      </c>
      <c r="I120" s="7"/>
      <c r="J120" s="7"/>
      <c r="K120" s="7"/>
      <c r="L120" s="6"/>
      <c r="M120" s="7"/>
      <c r="N120" s="8"/>
      <c r="O120" s="6"/>
      <c r="P120" s="8"/>
      <c r="Q120" s="50"/>
    </row>
    <row r="121" spans="2:17" ht="12.75">
      <c r="B121" s="92"/>
      <c r="C121" s="6">
        <v>10</v>
      </c>
      <c r="D121" s="34">
        <v>-100000</v>
      </c>
      <c r="E121" s="34"/>
      <c r="F121" s="7"/>
      <c r="G121" s="7"/>
      <c r="H121" s="7"/>
      <c r="I121" s="7"/>
      <c r="J121" s="7"/>
      <c r="K121" s="7"/>
      <c r="L121" s="6"/>
      <c r="M121" s="7"/>
      <c r="N121" s="8">
        <f>+D121</f>
        <v>-100000</v>
      </c>
      <c r="O121" s="6"/>
      <c r="P121" s="8"/>
      <c r="Q121" s="50"/>
    </row>
    <row r="122" spans="2:17" ht="12.75">
      <c r="B122" s="92"/>
      <c r="C122" s="6">
        <v>11</v>
      </c>
      <c r="D122" s="34">
        <v>-10000</v>
      </c>
      <c r="E122" s="34"/>
      <c r="F122" s="7"/>
      <c r="G122" s="7"/>
      <c r="H122" s="7"/>
      <c r="I122" s="7"/>
      <c r="J122" s="7"/>
      <c r="K122" s="7"/>
      <c r="L122" s="6"/>
      <c r="M122" s="7"/>
      <c r="N122" s="8"/>
      <c r="O122" s="6"/>
      <c r="P122" s="8">
        <v>-10000</v>
      </c>
      <c r="Q122" s="50"/>
    </row>
    <row r="123" spans="2:17" ht="12.75">
      <c r="B123" s="92"/>
      <c r="C123" s="6"/>
      <c r="D123" s="34"/>
      <c r="E123" s="34"/>
      <c r="F123" s="7"/>
      <c r="G123" s="7"/>
      <c r="H123" s="7"/>
      <c r="I123" s="7"/>
      <c r="J123" s="7"/>
      <c r="K123" s="7"/>
      <c r="L123" s="6"/>
      <c r="M123" s="7"/>
      <c r="N123" s="8"/>
      <c r="O123" s="6"/>
      <c r="P123" s="8">
        <f>-Q123</f>
        <v>142000</v>
      </c>
      <c r="Q123" s="50">
        <f>-SUM(Q111:Q120)</f>
        <v>-142000</v>
      </c>
    </row>
    <row r="124" spans="2:17" ht="12.75">
      <c r="B124" s="92"/>
      <c r="C124" s="9" t="s">
        <v>5</v>
      </c>
      <c r="D124" s="35">
        <f aca="true" t="shared" si="13" ref="D124:Q124">+SUM(D110:D123)</f>
        <v>12000</v>
      </c>
      <c r="E124" s="35"/>
      <c r="F124" s="10">
        <f t="shared" si="13"/>
        <v>80000</v>
      </c>
      <c r="G124" s="10">
        <f t="shared" si="13"/>
        <v>330000</v>
      </c>
      <c r="H124" s="10">
        <f t="shared" si="13"/>
        <v>6000</v>
      </c>
      <c r="I124" s="10">
        <f t="shared" si="13"/>
        <v>540000</v>
      </c>
      <c r="J124" s="10">
        <f t="shared" si="13"/>
        <v>-21000</v>
      </c>
      <c r="K124" s="10">
        <f t="shared" si="13"/>
        <v>20000</v>
      </c>
      <c r="L124" s="9">
        <f t="shared" si="13"/>
        <v>150000</v>
      </c>
      <c r="M124" s="10">
        <f t="shared" si="13"/>
        <v>15000</v>
      </c>
      <c r="N124" s="11">
        <f t="shared" si="13"/>
        <v>300000</v>
      </c>
      <c r="O124" s="9">
        <f t="shared" si="13"/>
        <v>100000</v>
      </c>
      <c r="P124" s="11">
        <f t="shared" si="13"/>
        <v>402000</v>
      </c>
      <c r="Q124" s="51">
        <f t="shared" si="13"/>
        <v>0</v>
      </c>
    </row>
    <row r="126" spans="2:4" ht="12.75">
      <c r="B126" s="1" t="s">
        <v>0</v>
      </c>
      <c r="D126" s="1">
        <f>+SUM(D124:K124)</f>
        <v>967000</v>
      </c>
    </row>
    <row r="127" spans="2:4" ht="12.75">
      <c r="B127" s="1" t="s">
        <v>4</v>
      </c>
      <c r="D127" s="1">
        <f>+SUM(L124:Q124)</f>
        <v>967000</v>
      </c>
    </row>
    <row r="131" spans="3:18" ht="12.75" customHeight="1">
      <c r="C131" s="93" t="s">
        <v>0</v>
      </c>
      <c r="D131" s="94"/>
      <c r="E131" s="94"/>
      <c r="F131" s="94"/>
      <c r="G131" s="94"/>
      <c r="H131" s="94"/>
      <c r="I131" s="94"/>
      <c r="J131" s="94"/>
      <c r="K131" s="94"/>
      <c r="L131" s="94"/>
      <c r="M131" s="89" t="s">
        <v>60</v>
      </c>
      <c r="N131" s="90"/>
      <c r="O131" s="90"/>
      <c r="P131" s="91"/>
      <c r="Q131" s="89" t="s">
        <v>61</v>
      </c>
      <c r="R131" s="91"/>
    </row>
    <row r="132" spans="2:19" ht="38.25">
      <c r="B132" s="92" t="s">
        <v>74</v>
      </c>
      <c r="C132" s="2"/>
      <c r="D132" s="33" t="s">
        <v>2</v>
      </c>
      <c r="E132" s="33"/>
      <c r="F132" s="3" t="s">
        <v>26</v>
      </c>
      <c r="G132" s="3" t="s">
        <v>7</v>
      </c>
      <c r="H132" s="3" t="s">
        <v>76</v>
      </c>
      <c r="I132" s="3" t="s">
        <v>75</v>
      </c>
      <c r="J132" s="3" t="s">
        <v>24</v>
      </c>
      <c r="K132" s="3" t="s">
        <v>37</v>
      </c>
      <c r="L132" s="3" t="s">
        <v>6</v>
      </c>
      <c r="M132" s="27" t="s">
        <v>8</v>
      </c>
      <c r="N132" s="28" t="s">
        <v>57</v>
      </c>
      <c r="O132" s="28" t="s">
        <v>79</v>
      </c>
      <c r="P132" s="29" t="s">
        <v>9</v>
      </c>
      <c r="Q132" s="27" t="s">
        <v>3</v>
      </c>
      <c r="R132" s="29" t="s">
        <v>25</v>
      </c>
      <c r="S132" s="48" t="s">
        <v>23</v>
      </c>
    </row>
    <row r="133" spans="2:19" ht="12.75">
      <c r="B133" s="92"/>
      <c r="C133" s="6" t="s">
        <v>20</v>
      </c>
      <c r="D133" s="33">
        <v>12000</v>
      </c>
      <c r="E133" s="33"/>
      <c r="F133" s="3">
        <v>80000</v>
      </c>
      <c r="G133" s="3">
        <v>330000</v>
      </c>
      <c r="H133" s="3">
        <v>6000</v>
      </c>
      <c r="I133" s="7"/>
      <c r="J133" s="3">
        <v>540000</v>
      </c>
      <c r="K133" s="3">
        <v>-21000</v>
      </c>
      <c r="L133" s="3">
        <v>20000</v>
      </c>
      <c r="M133" s="2">
        <v>150000</v>
      </c>
      <c r="N133" s="3">
        <v>15000</v>
      </c>
      <c r="O133" s="3"/>
      <c r="P133" s="4">
        <v>300000</v>
      </c>
      <c r="Q133" s="2">
        <v>100000</v>
      </c>
      <c r="R133" s="4">
        <v>402000</v>
      </c>
      <c r="S133" s="49">
        <v>0</v>
      </c>
    </row>
    <row r="134" spans="2:19" ht="12.75">
      <c r="B134" s="92"/>
      <c r="C134" s="6">
        <v>1</v>
      </c>
      <c r="D134" s="34">
        <v>80000</v>
      </c>
      <c r="E134" s="34"/>
      <c r="F134" s="7">
        <f>-80000</f>
        <v>-80000</v>
      </c>
      <c r="G134" s="7"/>
      <c r="H134" s="7"/>
      <c r="I134" s="7"/>
      <c r="J134" s="7"/>
      <c r="K134" s="7"/>
      <c r="L134" s="7"/>
      <c r="M134" s="6"/>
      <c r="N134" s="7"/>
      <c r="O134" s="7"/>
      <c r="P134" s="8"/>
      <c r="Q134" s="6"/>
      <c r="R134" s="8"/>
      <c r="S134" s="50"/>
    </row>
    <row r="135" spans="2:19" ht="12.75">
      <c r="B135" s="92"/>
      <c r="C135" s="6">
        <v>2</v>
      </c>
      <c r="D135" s="34">
        <f>-165000</f>
        <v>-165000</v>
      </c>
      <c r="E135" s="34"/>
      <c r="F135" s="7"/>
      <c r="G135" s="7"/>
      <c r="H135" s="7"/>
      <c r="I135" s="7"/>
      <c r="J135" s="7"/>
      <c r="K135" s="7"/>
      <c r="L135" s="7"/>
      <c r="M135" s="6">
        <f>-M133</f>
        <v>-150000</v>
      </c>
      <c r="N135" s="7">
        <f>-N133</f>
        <v>-15000</v>
      </c>
      <c r="O135" s="7"/>
      <c r="P135" s="8"/>
      <c r="Q135" s="6"/>
      <c r="R135" s="8"/>
      <c r="S135" s="50"/>
    </row>
    <row r="136" spans="2:19" ht="12.75">
      <c r="B136" s="92"/>
      <c r="C136" s="6" t="s">
        <v>35</v>
      </c>
      <c r="D136" s="34"/>
      <c r="E136" s="34"/>
      <c r="F136" s="7"/>
      <c r="G136" s="7">
        <f>-330000</f>
        <v>-330000</v>
      </c>
      <c r="H136" s="7"/>
      <c r="I136" s="7"/>
      <c r="J136" s="7"/>
      <c r="K136" s="7"/>
      <c r="L136" s="7"/>
      <c r="M136" s="6"/>
      <c r="N136" s="7"/>
      <c r="O136" s="7"/>
      <c r="P136" s="8"/>
      <c r="Q136" s="6"/>
      <c r="R136" s="8"/>
      <c r="S136" s="50">
        <v>-330000</v>
      </c>
    </row>
    <row r="137" spans="2:19" ht="12.75">
      <c r="B137" s="92"/>
      <c r="C137" s="6" t="s">
        <v>36</v>
      </c>
      <c r="D137" s="34">
        <v>400000</v>
      </c>
      <c r="E137" s="34"/>
      <c r="F137" s="7">
        <v>50000</v>
      </c>
      <c r="G137" s="7"/>
      <c r="H137" s="7"/>
      <c r="I137" s="7"/>
      <c r="J137" s="7"/>
      <c r="K137" s="7"/>
      <c r="L137" s="7"/>
      <c r="M137" s="6"/>
      <c r="N137" s="7"/>
      <c r="O137" s="7"/>
      <c r="P137" s="8"/>
      <c r="Q137" s="6"/>
      <c r="R137" s="8"/>
      <c r="S137" s="50">
        <v>450000</v>
      </c>
    </row>
    <row r="138" spans="2:19" ht="12.75">
      <c r="B138" s="92"/>
      <c r="C138" s="6">
        <v>4</v>
      </c>
      <c r="D138" s="34">
        <f>-220000</f>
        <v>-220000</v>
      </c>
      <c r="E138" s="34"/>
      <c r="F138" s="7"/>
      <c r="G138" s="7">
        <v>320000</v>
      </c>
      <c r="H138" s="7"/>
      <c r="I138" s="7"/>
      <c r="J138" s="7"/>
      <c r="K138" s="7"/>
      <c r="L138" s="7"/>
      <c r="M138" s="6">
        <v>100000</v>
      </c>
      <c r="N138" s="7"/>
      <c r="O138" s="7"/>
      <c r="P138" s="8"/>
      <c r="Q138" s="6"/>
      <c r="R138" s="8"/>
      <c r="S138" s="50"/>
    </row>
    <row r="139" spans="2:19" ht="12.75">
      <c r="B139" s="92"/>
      <c r="C139" s="6">
        <v>5</v>
      </c>
      <c r="D139" s="34"/>
      <c r="E139" s="34"/>
      <c r="F139" s="7"/>
      <c r="G139" s="7"/>
      <c r="H139" s="7"/>
      <c r="I139" s="7"/>
      <c r="J139" s="7"/>
      <c r="K139" s="7">
        <f>-J133/12/5</f>
        <v>-9000</v>
      </c>
      <c r="L139" s="7"/>
      <c r="M139" s="6"/>
      <c r="N139" s="7"/>
      <c r="O139" s="7"/>
      <c r="P139" s="8"/>
      <c r="Q139" s="6"/>
      <c r="R139" s="8"/>
      <c r="S139" s="50">
        <f>-9000</f>
        <v>-9000</v>
      </c>
    </row>
    <row r="140" spans="2:19" ht="12.75">
      <c r="B140" s="92"/>
      <c r="C140" s="6">
        <v>6</v>
      </c>
      <c r="D140" s="34"/>
      <c r="E140" s="34"/>
      <c r="F140" s="7"/>
      <c r="G140" s="7"/>
      <c r="H140" s="7"/>
      <c r="I140" s="7"/>
      <c r="J140" s="7"/>
      <c r="K140" s="7"/>
      <c r="L140" s="7"/>
      <c r="M140" s="6"/>
      <c r="N140" s="7">
        <f>10000</f>
        <v>10000</v>
      </c>
      <c r="O140" s="7"/>
      <c r="P140" s="8"/>
      <c r="Q140" s="6"/>
      <c r="R140" s="8"/>
      <c r="S140" s="50">
        <f>-10000</f>
        <v>-10000</v>
      </c>
    </row>
    <row r="141" spans="2:19" ht="12.75">
      <c r="B141" s="92"/>
      <c r="C141" s="6">
        <v>7</v>
      </c>
      <c r="D141" s="34"/>
      <c r="E141" s="34"/>
      <c r="F141" s="7"/>
      <c r="G141" s="7"/>
      <c r="H141" s="7"/>
      <c r="I141" s="7"/>
      <c r="J141" s="7"/>
      <c r="K141" s="7"/>
      <c r="L141" s="7"/>
      <c r="M141" s="6"/>
      <c r="N141" s="7">
        <f>5000</f>
        <v>5000</v>
      </c>
      <c r="O141" s="7"/>
      <c r="P141" s="8"/>
      <c r="Q141" s="6"/>
      <c r="R141" s="8"/>
      <c r="S141" s="50">
        <f>-5000</f>
        <v>-5000</v>
      </c>
    </row>
    <row r="142" spans="2:19" ht="12.75">
      <c r="B142" s="92"/>
      <c r="C142" s="6">
        <v>8</v>
      </c>
      <c r="D142" s="34"/>
      <c r="E142" s="34"/>
      <c r="F142" s="7"/>
      <c r="G142" s="7"/>
      <c r="H142" s="7"/>
      <c r="I142" s="7"/>
      <c r="J142" s="7"/>
      <c r="K142" s="7"/>
      <c r="L142" s="7"/>
      <c r="M142" s="6"/>
      <c r="N142" s="7"/>
      <c r="O142" s="7"/>
      <c r="P142" s="7">
        <f>4000</f>
        <v>4000</v>
      </c>
      <c r="Q142" s="6"/>
      <c r="R142" s="8"/>
      <c r="S142" s="50">
        <f>-4000</f>
        <v>-4000</v>
      </c>
    </row>
    <row r="143" spans="2:19" ht="12.75">
      <c r="B143" s="92"/>
      <c r="C143" s="6">
        <v>9</v>
      </c>
      <c r="D143" s="34"/>
      <c r="E143" s="34"/>
      <c r="F143" s="7"/>
      <c r="G143" s="7"/>
      <c r="H143" s="7">
        <f>-H133/12</f>
        <v>-500</v>
      </c>
      <c r="I143" s="7"/>
      <c r="J143" s="7"/>
      <c r="K143" s="7"/>
      <c r="L143" s="7"/>
      <c r="M143" s="6"/>
      <c r="N143" s="7"/>
      <c r="O143" s="7"/>
      <c r="P143" s="8"/>
      <c r="Q143" s="6"/>
      <c r="R143" s="8"/>
      <c r="S143" s="50">
        <f>-H133/12</f>
        <v>-500</v>
      </c>
    </row>
    <row r="144" spans="2:19" ht="12.75">
      <c r="B144" s="92"/>
      <c r="C144" s="6">
        <v>10</v>
      </c>
      <c r="D144" s="34">
        <f>-50000</f>
        <v>-50000</v>
      </c>
      <c r="E144" s="34"/>
      <c r="F144" s="7"/>
      <c r="G144" s="7"/>
      <c r="H144" s="7"/>
      <c r="I144" s="7"/>
      <c r="J144" s="7"/>
      <c r="K144" s="7"/>
      <c r="L144" s="7"/>
      <c r="M144" s="6"/>
      <c r="N144" s="7"/>
      <c r="O144" s="7"/>
      <c r="P144" s="8">
        <f>-50000</f>
        <v>-50000</v>
      </c>
      <c r="Q144" s="6"/>
      <c r="R144" s="8"/>
      <c r="S144" s="50"/>
    </row>
    <row r="145" spans="2:19" ht="12.75">
      <c r="B145" s="92"/>
      <c r="C145" s="6">
        <v>11</v>
      </c>
      <c r="D145" s="34">
        <f>-40000</f>
        <v>-40000</v>
      </c>
      <c r="E145" s="34"/>
      <c r="F145" s="7"/>
      <c r="G145" s="7"/>
      <c r="H145" s="7"/>
      <c r="I145" s="7">
        <f>40000</f>
        <v>40000</v>
      </c>
      <c r="J145" s="7"/>
      <c r="K145" s="7"/>
      <c r="L145" s="7"/>
      <c r="M145" s="6"/>
      <c r="N145" s="7"/>
      <c r="O145" s="7"/>
      <c r="P145" s="8"/>
      <c r="Q145" s="6"/>
      <c r="R145" s="8"/>
      <c r="S145" s="50"/>
    </row>
    <row r="146" spans="2:19" ht="12.75">
      <c r="B146" s="92"/>
      <c r="C146" s="6">
        <v>12</v>
      </c>
      <c r="D146" s="34"/>
      <c r="E146" s="34"/>
      <c r="F146" s="7"/>
      <c r="G146" s="7"/>
      <c r="H146" s="7"/>
      <c r="I146" s="7"/>
      <c r="J146" s="7"/>
      <c r="K146" s="7"/>
      <c r="L146" s="7"/>
      <c r="M146" s="6"/>
      <c r="N146" s="7"/>
      <c r="O146" s="7">
        <v>5000</v>
      </c>
      <c r="P146" s="8"/>
      <c r="Q146" s="6"/>
      <c r="R146" s="8">
        <f>-5000</f>
        <v>-5000</v>
      </c>
      <c r="S146" s="50"/>
    </row>
    <row r="147" spans="2:19" ht="12.75">
      <c r="B147" s="92"/>
      <c r="C147" s="6"/>
      <c r="D147" s="34"/>
      <c r="E147" s="34"/>
      <c r="F147" s="7"/>
      <c r="G147" s="7"/>
      <c r="H147" s="7"/>
      <c r="I147" s="7"/>
      <c r="J147" s="7"/>
      <c r="K147" s="7"/>
      <c r="L147" s="7"/>
      <c r="M147" s="6"/>
      <c r="N147" s="7"/>
      <c r="O147" s="7"/>
      <c r="P147" s="8"/>
      <c r="Q147" s="6"/>
      <c r="R147" s="8">
        <v>91500</v>
      </c>
      <c r="S147" s="50">
        <v>-91500</v>
      </c>
    </row>
    <row r="148" spans="2:19" ht="12.75">
      <c r="B148" s="92"/>
      <c r="C148" s="9" t="s">
        <v>5</v>
      </c>
      <c r="D148" s="35">
        <f>+SUM(D133:D146)</f>
        <v>17000</v>
      </c>
      <c r="E148" s="35"/>
      <c r="F148" s="10">
        <f>+SUM(F133:F146)</f>
        <v>50000</v>
      </c>
      <c r="G148" s="10">
        <f>SUM(G132:G146)</f>
        <v>320000</v>
      </c>
      <c r="H148" s="10">
        <f>SUM(H133:H145)</f>
        <v>5500</v>
      </c>
      <c r="I148" s="10">
        <f>+SUM(I133:I145)</f>
        <v>40000</v>
      </c>
      <c r="J148" s="10">
        <f aca="true" t="shared" si="14" ref="J148:P148">+SUM(J133:J144)</f>
        <v>540000</v>
      </c>
      <c r="K148" s="10">
        <f t="shared" si="14"/>
        <v>-30000</v>
      </c>
      <c r="L148" s="10">
        <f t="shared" si="14"/>
        <v>20000</v>
      </c>
      <c r="M148" s="9">
        <f t="shared" si="14"/>
        <v>100000</v>
      </c>
      <c r="N148" s="10">
        <f>+SUM(N133:N144)</f>
        <v>15000</v>
      </c>
      <c r="O148" s="10">
        <f>SUM(O133:O146)</f>
        <v>5000</v>
      </c>
      <c r="P148" s="11">
        <f t="shared" si="14"/>
        <v>254000</v>
      </c>
      <c r="Q148" s="9">
        <f>+SUM(Q133:Q144)</f>
        <v>100000</v>
      </c>
      <c r="R148" s="11">
        <f>+SUM(R133:R147)</f>
        <v>488500</v>
      </c>
      <c r="S148" s="51">
        <f>SUM(S133:S147)</f>
        <v>0</v>
      </c>
    </row>
    <row r="151" spans="2:4" ht="12.75">
      <c r="B151" s="1" t="s">
        <v>0</v>
      </c>
      <c r="D151" s="1">
        <f>SUM(D148:L148)</f>
        <v>962500</v>
      </c>
    </row>
    <row r="152" spans="2:4" ht="12.75">
      <c r="B152" s="1" t="s">
        <v>4</v>
      </c>
      <c r="D152" s="1">
        <f>SUM(M148:S148)</f>
        <v>962500</v>
      </c>
    </row>
    <row r="155" spans="3:21" ht="12.75" customHeight="1">
      <c r="C155" s="89" t="s">
        <v>0</v>
      </c>
      <c r="D155" s="90"/>
      <c r="E155" s="90"/>
      <c r="F155" s="90"/>
      <c r="G155" s="90"/>
      <c r="H155" s="90"/>
      <c r="I155" s="90"/>
      <c r="J155" s="90"/>
      <c r="K155" s="90"/>
      <c r="L155" s="90"/>
      <c r="M155" s="91"/>
      <c r="N155" s="89" t="s">
        <v>60</v>
      </c>
      <c r="O155" s="90"/>
      <c r="P155" s="90"/>
      <c r="Q155" s="90"/>
      <c r="R155" s="91"/>
      <c r="S155" s="88" t="s">
        <v>61</v>
      </c>
      <c r="T155" s="88"/>
      <c r="U155" s="88"/>
    </row>
    <row r="156" spans="2:21" ht="38.25">
      <c r="B156" s="92" t="s">
        <v>77</v>
      </c>
      <c r="C156" s="2"/>
      <c r="D156" s="33" t="s">
        <v>2</v>
      </c>
      <c r="E156" s="33"/>
      <c r="F156" s="3" t="s">
        <v>26</v>
      </c>
      <c r="G156" s="3" t="s">
        <v>104</v>
      </c>
      <c r="H156" s="3" t="s">
        <v>7</v>
      </c>
      <c r="I156" s="3" t="s">
        <v>76</v>
      </c>
      <c r="J156" s="3" t="s">
        <v>75</v>
      </c>
      <c r="K156" s="3" t="s">
        <v>24</v>
      </c>
      <c r="L156" s="3" t="s">
        <v>37</v>
      </c>
      <c r="M156" s="3" t="s">
        <v>6</v>
      </c>
      <c r="N156" s="27" t="s">
        <v>8</v>
      </c>
      <c r="O156" s="28" t="s">
        <v>57</v>
      </c>
      <c r="P156" s="28" t="s">
        <v>79</v>
      </c>
      <c r="Q156" s="28" t="s">
        <v>9</v>
      </c>
      <c r="R156" s="28" t="s">
        <v>78</v>
      </c>
      <c r="S156" s="27" t="s">
        <v>3</v>
      </c>
      <c r="T156" s="29" t="s">
        <v>25</v>
      </c>
      <c r="U156" s="48" t="s">
        <v>23</v>
      </c>
    </row>
    <row r="157" spans="2:21" ht="12.75">
      <c r="B157" s="92"/>
      <c r="C157" s="6" t="s">
        <v>20</v>
      </c>
      <c r="D157" s="33">
        <f>D148</f>
        <v>17000</v>
      </c>
      <c r="E157" s="33"/>
      <c r="F157" s="3">
        <f>F148</f>
        <v>50000</v>
      </c>
      <c r="G157" s="3">
        <v>0</v>
      </c>
      <c r="H157" s="3">
        <f aca="true" t="shared" si="15" ref="H157:N157">G148</f>
        <v>320000</v>
      </c>
      <c r="I157" s="3">
        <f t="shared" si="15"/>
        <v>5500</v>
      </c>
      <c r="J157" s="3">
        <f t="shared" si="15"/>
        <v>40000</v>
      </c>
      <c r="K157" s="3">
        <f t="shared" si="15"/>
        <v>540000</v>
      </c>
      <c r="L157" s="3">
        <f t="shared" si="15"/>
        <v>-30000</v>
      </c>
      <c r="M157" s="3">
        <f t="shared" si="15"/>
        <v>20000</v>
      </c>
      <c r="N157" s="2">
        <f t="shared" si="15"/>
        <v>100000</v>
      </c>
      <c r="O157" s="3">
        <v>15000</v>
      </c>
      <c r="P157" s="3">
        <f>O148</f>
        <v>5000</v>
      </c>
      <c r="Q157" s="3">
        <f>P148</f>
        <v>254000</v>
      </c>
      <c r="R157" s="3"/>
      <c r="S157" s="2">
        <v>100000</v>
      </c>
      <c r="T157" s="4">
        <v>488500</v>
      </c>
      <c r="U157" s="49">
        <v>0</v>
      </c>
    </row>
    <row r="158" spans="2:21" ht="12.75">
      <c r="B158" s="92"/>
      <c r="C158" s="6">
        <v>1</v>
      </c>
      <c r="D158" s="34">
        <v>50000</v>
      </c>
      <c r="E158" s="34"/>
      <c r="F158" s="7">
        <f>-50000</f>
        <v>-50000</v>
      </c>
      <c r="G158" s="7"/>
      <c r="H158" s="7"/>
      <c r="I158" s="7"/>
      <c r="J158" s="7"/>
      <c r="K158" s="7"/>
      <c r="L158" s="7"/>
      <c r="M158" s="7"/>
      <c r="N158" s="6"/>
      <c r="O158" s="7"/>
      <c r="P158" s="7"/>
      <c r="Q158" s="7"/>
      <c r="R158" s="7"/>
      <c r="S158" s="6"/>
      <c r="T158" s="8"/>
      <c r="U158" s="50"/>
    </row>
    <row r="159" spans="2:21" ht="12.75">
      <c r="B159" s="92"/>
      <c r="C159" s="6">
        <v>2</v>
      </c>
      <c r="D159" s="34">
        <f>-115000</f>
        <v>-115000</v>
      </c>
      <c r="E159" s="34"/>
      <c r="F159" s="7"/>
      <c r="G159" s="7"/>
      <c r="H159" s="7"/>
      <c r="I159" s="7"/>
      <c r="J159" s="7"/>
      <c r="K159" s="7"/>
      <c r="L159" s="7"/>
      <c r="M159" s="7"/>
      <c r="N159" s="6">
        <f>-100000</f>
        <v>-100000</v>
      </c>
      <c r="O159" s="7">
        <f>-15000</f>
        <v>-15000</v>
      </c>
      <c r="P159" s="7"/>
      <c r="Q159" s="7"/>
      <c r="R159" s="7"/>
      <c r="S159" s="6"/>
      <c r="T159" s="8"/>
      <c r="U159" s="50"/>
    </row>
    <row r="160" spans="2:21" ht="12.75">
      <c r="B160" s="92"/>
      <c r="C160" s="6" t="s">
        <v>35</v>
      </c>
      <c r="D160" s="34"/>
      <c r="E160" s="34"/>
      <c r="F160" s="7"/>
      <c r="G160" s="7"/>
      <c r="H160" s="7">
        <f>-320000</f>
        <v>-320000</v>
      </c>
      <c r="I160" s="7"/>
      <c r="J160" s="7"/>
      <c r="K160" s="7"/>
      <c r="L160" s="7"/>
      <c r="M160" s="7"/>
      <c r="N160" s="6"/>
      <c r="O160" s="7"/>
      <c r="P160" s="7"/>
      <c r="Q160" s="7"/>
      <c r="R160" s="7"/>
      <c r="S160" s="6"/>
      <c r="T160" s="8"/>
      <c r="U160" s="50">
        <f>-320000</f>
        <v>-320000</v>
      </c>
    </row>
    <row r="161" spans="2:21" ht="12.75">
      <c r="B161" s="92"/>
      <c r="C161" s="6" t="s">
        <v>36</v>
      </c>
      <c r="D161" s="34">
        <v>290000</v>
      </c>
      <c r="E161" s="34"/>
      <c r="F161" s="7">
        <v>100000</v>
      </c>
      <c r="G161" s="7"/>
      <c r="H161" s="7"/>
      <c r="I161" s="7"/>
      <c r="J161" s="7"/>
      <c r="K161" s="7"/>
      <c r="L161" s="7"/>
      <c r="M161" s="7"/>
      <c r="N161" s="6"/>
      <c r="O161" s="7"/>
      <c r="P161" s="7"/>
      <c r="Q161" s="7"/>
      <c r="R161" s="7"/>
      <c r="S161" s="6"/>
      <c r="T161" s="8"/>
      <c r="U161" s="50">
        <v>390000</v>
      </c>
    </row>
    <row r="162" spans="2:21" ht="12.75">
      <c r="B162" s="92"/>
      <c r="C162" s="6">
        <v>4</v>
      </c>
      <c r="D162" s="34">
        <f>-140000</f>
        <v>-140000</v>
      </c>
      <c r="E162" s="34"/>
      <c r="F162" s="7"/>
      <c r="G162" s="7"/>
      <c r="H162" s="7">
        <v>340000</v>
      </c>
      <c r="I162" s="7"/>
      <c r="J162" s="7"/>
      <c r="K162" s="7"/>
      <c r="L162" s="7"/>
      <c r="M162" s="7"/>
      <c r="N162" s="6">
        <f>200000</f>
        <v>200000</v>
      </c>
      <c r="O162" s="7"/>
      <c r="P162" s="7"/>
      <c r="Q162" s="7"/>
      <c r="R162" s="7"/>
      <c r="S162" s="6"/>
      <c r="T162" s="8"/>
      <c r="U162" s="50"/>
    </row>
    <row r="163" spans="2:21" ht="12.75">
      <c r="B163" s="92"/>
      <c r="C163" s="6">
        <v>5</v>
      </c>
      <c r="D163" s="34"/>
      <c r="E163" s="34"/>
      <c r="F163" s="7"/>
      <c r="G163" s="7"/>
      <c r="H163" s="7"/>
      <c r="I163" s="7"/>
      <c r="J163" s="7"/>
      <c r="K163" s="7"/>
      <c r="L163" s="7">
        <f>-K157/5/12</f>
        <v>-9000</v>
      </c>
      <c r="M163" s="7"/>
      <c r="N163" s="6"/>
      <c r="O163" s="7"/>
      <c r="P163" s="7"/>
      <c r="Q163" s="7"/>
      <c r="R163" s="7"/>
      <c r="S163" s="6"/>
      <c r="T163" s="8"/>
      <c r="U163" s="50">
        <f>-9000</f>
        <v>-9000</v>
      </c>
    </row>
    <row r="164" spans="2:21" ht="12.75">
      <c r="B164" s="92"/>
      <c r="C164" s="6">
        <v>6</v>
      </c>
      <c r="D164" s="34"/>
      <c r="E164" s="34"/>
      <c r="F164" s="7"/>
      <c r="G164" s="7"/>
      <c r="H164" s="7"/>
      <c r="I164" s="7"/>
      <c r="J164" s="7"/>
      <c r="K164" s="7"/>
      <c r="L164" s="7"/>
      <c r="M164" s="7"/>
      <c r="N164" s="6"/>
      <c r="O164" s="7">
        <v>15000</v>
      </c>
      <c r="P164" s="7"/>
      <c r="Q164" s="7"/>
      <c r="R164" s="7"/>
      <c r="S164" s="6"/>
      <c r="T164" s="8"/>
      <c r="U164" s="50">
        <f>-15000</f>
        <v>-15000</v>
      </c>
    </row>
    <row r="165" spans="2:21" ht="12.75">
      <c r="B165" s="92"/>
      <c r="C165" s="6">
        <v>7</v>
      </c>
      <c r="D165" s="34"/>
      <c r="E165" s="34"/>
      <c r="F165" s="7"/>
      <c r="G165" s="7"/>
      <c r="H165" s="7"/>
      <c r="I165" s="7"/>
      <c r="J165" s="7"/>
      <c r="K165" s="7"/>
      <c r="L165" s="7"/>
      <c r="M165" s="7"/>
      <c r="N165" s="6"/>
      <c r="O165" s="7">
        <v>8000</v>
      </c>
      <c r="P165" s="7"/>
      <c r="Q165" s="7"/>
      <c r="R165" s="7"/>
      <c r="S165" s="6"/>
      <c r="T165" s="8"/>
      <c r="U165" s="50">
        <f>-8000</f>
        <v>-8000</v>
      </c>
    </row>
    <row r="166" spans="2:21" ht="12.75">
      <c r="B166" s="92"/>
      <c r="C166" s="6">
        <v>8</v>
      </c>
      <c r="D166" s="34"/>
      <c r="E166" s="34"/>
      <c r="F166" s="7"/>
      <c r="G166" s="7"/>
      <c r="H166" s="7"/>
      <c r="I166" s="7">
        <f>-6000/12</f>
        <v>-500</v>
      </c>
      <c r="J166" s="7"/>
      <c r="K166" s="7"/>
      <c r="L166" s="7"/>
      <c r="M166" s="7"/>
      <c r="N166" s="6"/>
      <c r="O166" s="7"/>
      <c r="P166" s="7"/>
      <c r="Q166" s="7"/>
      <c r="R166" s="7"/>
      <c r="S166" s="6"/>
      <c r="T166" s="8"/>
      <c r="U166" s="50">
        <f>-500</f>
        <v>-500</v>
      </c>
    </row>
    <row r="167" spans="2:21" ht="12.75">
      <c r="B167" s="92"/>
      <c r="C167" s="6">
        <v>9</v>
      </c>
      <c r="D167" s="34"/>
      <c r="E167" s="34"/>
      <c r="F167" s="7"/>
      <c r="G167" s="7"/>
      <c r="H167" s="7"/>
      <c r="I167" s="7"/>
      <c r="J167" s="7">
        <v>2000</v>
      </c>
      <c r="K167" s="7"/>
      <c r="L167" s="7"/>
      <c r="M167" s="7"/>
      <c r="N167" s="6"/>
      <c r="O167" s="7"/>
      <c r="P167" s="7"/>
      <c r="Q167" s="7"/>
      <c r="R167" s="7"/>
      <c r="S167" s="6"/>
      <c r="T167" s="8"/>
      <c r="U167" s="50">
        <v>2000</v>
      </c>
    </row>
    <row r="168" spans="2:21" ht="12.75">
      <c r="B168" s="92"/>
      <c r="C168" s="6">
        <v>10</v>
      </c>
      <c r="D168" s="34">
        <v>150000</v>
      </c>
      <c r="E168" s="34"/>
      <c r="F168" s="7"/>
      <c r="G168" s="7"/>
      <c r="H168" s="7"/>
      <c r="I168" s="7"/>
      <c r="J168" s="7"/>
      <c r="K168" s="7"/>
      <c r="L168" s="7"/>
      <c r="M168" s="7"/>
      <c r="N168" s="6"/>
      <c r="O168" s="7"/>
      <c r="P168" s="7"/>
      <c r="Q168" s="7"/>
      <c r="R168" s="7">
        <v>150000</v>
      </c>
      <c r="S168" s="6"/>
      <c r="T168" s="8"/>
      <c r="U168" s="50"/>
    </row>
    <row r="169" spans="2:21" ht="12.75">
      <c r="B169" s="92"/>
      <c r="C169" s="6">
        <v>11</v>
      </c>
      <c r="D169" s="34">
        <v>4500</v>
      </c>
      <c r="E169" s="34"/>
      <c r="F169" s="7"/>
      <c r="G169" s="7">
        <f>-5000</f>
        <v>-5000</v>
      </c>
      <c r="H169" s="7"/>
      <c r="I169" s="7"/>
      <c r="J169" s="7"/>
      <c r="K169" s="7"/>
      <c r="L169" s="7"/>
      <c r="M169" s="7"/>
      <c r="N169" s="6"/>
      <c r="O169" s="7"/>
      <c r="P169" s="7"/>
      <c r="Q169" s="7"/>
      <c r="R169" s="7"/>
      <c r="S169" s="6"/>
      <c r="T169" s="8"/>
      <c r="U169" s="50">
        <f>-500</f>
        <v>-500</v>
      </c>
    </row>
    <row r="170" spans="2:21" ht="12.75">
      <c r="B170" s="92"/>
      <c r="C170" s="6">
        <v>12</v>
      </c>
      <c r="D170" s="34"/>
      <c r="E170" s="34"/>
      <c r="F170" s="7"/>
      <c r="G170" s="7"/>
      <c r="H170" s="7"/>
      <c r="I170" s="7"/>
      <c r="J170" s="7"/>
      <c r="K170" s="7"/>
      <c r="L170" s="7"/>
      <c r="M170" s="7"/>
      <c r="N170" s="6"/>
      <c r="O170" s="7"/>
      <c r="P170" s="7"/>
      <c r="Q170" s="7">
        <f>10000</f>
        <v>10000</v>
      </c>
      <c r="R170" s="7"/>
      <c r="S170" s="6"/>
      <c r="T170" s="8"/>
      <c r="U170" s="50">
        <f>-10000</f>
        <v>-10000</v>
      </c>
    </row>
    <row r="171" spans="2:21" ht="12.75">
      <c r="B171" s="92"/>
      <c r="C171" s="6">
        <v>13</v>
      </c>
      <c r="D171" s="34"/>
      <c r="E171" s="34"/>
      <c r="F171" s="7"/>
      <c r="G171" s="7"/>
      <c r="H171" s="7"/>
      <c r="I171" s="7"/>
      <c r="J171" s="7"/>
      <c r="K171" s="7"/>
      <c r="L171" s="7"/>
      <c r="M171" s="7"/>
      <c r="N171" s="6"/>
      <c r="O171" s="7"/>
      <c r="P171" s="7">
        <v>15000</v>
      </c>
      <c r="Q171" s="7"/>
      <c r="R171" s="7"/>
      <c r="S171" s="6"/>
      <c r="T171" s="8">
        <f>-15000</f>
        <v>-15000</v>
      </c>
      <c r="U171" s="50"/>
    </row>
    <row r="172" spans="2:21" ht="12.75">
      <c r="B172" s="92"/>
      <c r="C172" s="6"/>
      <c r="D172" s="34"/>
      <c r="E172" s="34"/>
      <c r="F172" s="7"/>
      <c r="G172" s="7"/>
      <c r="H172" s="7"/>
      <c r="I172" s="7"/>
      <c r="J172" s="7"/>
      <c r="K172" s="7"/>
      <c r="L172" s="7"/>
      <c r="M172" s="7"/>
      <c r="N172" s="6"/>
      <c r="O172" s="7"/>
      <c r="P172" s="7"/>
      <c r="Q172" s="7"/>
      <c r="R172" s="7"/>
      <c r="S172" s="6"/>
      <c r="T172" s="8">
        <v>29000</v>
      </c>
      <c r="U172" s="50">
        <f>-29000</f>
        <v>-29000</v>
      </c>
    </row>
    <row r="173" spans="2:21" ht="12.75">
      <c r="B173" s="92"/>
      <c r="C173" s="9" t="s">
        <v>5</v>
      </c>
      <c r="D173" s="35">
        <f>+SUM(D157:D172)</f>
        <v>256500</v>
      </c>
      <c r="E173" s="35"/>
      <c r="F173" s="10">
        <f>+SUM(F157:F171)</f>
        <v>100000</v>
      </c>
      <c r="G173" s="10">
        <f>SUM(G157:G171)</f>
        <v>-5000</v>
      </c>
      <c r="H173" s="10">
        <f>SUM(H156:H171)</f>
        <v>340000</v>
      </c>
      <c r="I173" s="10">
        <f>SUM(I157:I169)</f>
        <v>5000</v>
      </c>
      <c r="J173" s="10">
        <f>+SUM(J157:J169)</f>
        <v>42000</v>
      </c>
      <c r="K173" s="10">
        <f>+SUM(K157:K168)</f>
        <v>540000</v>
      </c>
      <c r="L173" s="10">
        <f>+SUM(L157:L168)</f>
        <v>-39000</v>
      </c>
      <c r="M173" s="10">
        <f>+SUM(M157:M168)</f>
        <v>20000</v>
      </c>
      <c r="N173" s="9">
        <f>+SUM(N157:N168)</f>
        <v>200000</v>
      </c>
      <c r="O173" s="10">
        <f>+SUM(O157:O168)</f>
        <v>23000</v>
      </c>
      <c r="P173" s="10">
        <f>+SUM(P157:P171)</f>
        <v>20000</v>
      </c>
      <c r="Q173" s="10">
        <f>SUM(Q156:Q170)</f>
        <v>264000</v>
      </c>
      <c r="R173" s="10">
        <f>SUM(R157:R170)</f>
        <v>150000</v>
      </c>
      <c r="S173" s="9">
        <f>+SUM(S157:S168)</f>
        <v>100000</v>
      </c>
      <c r="T173" s="11">
        <f>+SUM(T157:T172)</f>
        <v>502500</v>
      </c>
      <c r="U173" s="51">
        <f>+SUM(U157:U172)</f>
        <v>0</v>
      </c>
    </row>
    <row r="175" spans="2:4" ht="12.75">
      <c r="B175" s="1" t="s">
        <v>0</v>
      </c>
      <c r="D175" s="1">
        <f>SUM(D173:M173)</f>
        <v>1259500</v>
      </c>
    </row>
    <row r="176" spans="2:4" ht="12.75">
      <c r="B176" s="1" t="s">
        <v>4</v>
      </c>
      <c r="D176" s="1">
        <f>SUM(N173:U173)</f>
        <v>1259500</v>
      </c>
    </row>
    <row r="179" spans="3:21" ht="12.75" customHeight="1">
      <c r="C179" s="89" t="s">
        <v>0</v>
      </c>
      <c r="D179" s="90"/>
      <c r="E179" s="90"/>
      <c r="F179" s="90"/>
      <c r="G179" s="90"/>
      <c r="H179" s="90"/>
      <c r="I179" s="90"/>
      <c r="J179" s="90"/>
      <c r="K179" s="90"/>
      <c r="L179" s="90"/>
      <c r="M179" s="91"/>
      <c r="N179" s="89" t="s">
        <v>60</v>
      </c>
      <c r="O179" s="90"/>
      <c r="P179" s="90"/>
      <c r="Q179" s="90"/>
      <c r="R179" s="91"/>
      <c r="S179" s="88" t="s">
        <v>61</v>
      </c>
      <c r="T179" s="88"/>
      <c r="U179" s="88"/>
    </row>
    <row r="180" spans="2:21" ht="38.25">
      <c r="B180" s="92" t="s">
        <v>88</v>
      </c>
      <c r="C180" s="2"/>
      <c r="D180" s="33" t="s">
        <v>2</v>
      </c>
      <c r="E180" s="33"/>
      <c r="F180" s="3" t="s">
        <v>26</v>
      </c>
      <c r="G180" s="3" t="s">
        <v>104</v>
      </c>
      <c r="H180" s="3" t="s">
        <v>7</v>
      </c>
      <c r="I180" s="3" t="s">
        <v>76</v>
      </c>
      <c r="J180" s="3" t="s">
        <v>75</v>
      </c>
      <c r="K180" s="3" t="s">
        <v>24</v>
      </c>
      <c r="L180" s="3" t="s">
        <v>37</v>
      </c>
      <c r="M180" s="3" t="s">
        <v>6</v>
      </c>
      <c r="N180" s="27" t="s">
        <v>8</v>
      </c>
      <c r="O180" s="28" t="s">
        <v>57</v>
      </c>
      <c r="P180" s="28" t="s">
        <v>79</v>
      </c>
      <c r="Q180" s="28" t="s">
        <v>9</v>
      </c>
      <c r="R180" s="28" t="s">
        <v>78</v>
      </c>
      <c r="S180" s="27" t="s">
        <v>3</v>
      </c>
      <c r="T180" s="29" t="s">
        <v>25</v>
      </c>
      <c r="U180" s="48" t="s">
        <v>23</v>
      </c>
    </row>
    <row r="181" spans="2:21" ht="12.75">
      <c r="B181" s="92"/>
      <c r="C181" s="6" t="s">
        <v>20</v>
      </c>
      <c r="D181" s="33">
        <f aca="true" t="shared" si="16" ref="D181:T181">D173</f>
        <v>256500</v>
      </c>
      <c r="E181" s="33"/>
      <c r="F181" s="3">
        <f t="shared" si="16"/>
        <v>100000</v>
      </c>
      <c r="G181" s="3">
        <f t="shared" si="16"/>
        <v>-5000</v>
      </c>
      <c r="H181" s="3">
        <f t="shared" si="16"/>
        <v>340000</v>
      </c>
      <c r="I181" s="3">
        <f t="shared" si="16"/>
        <v>5000</v>
      </c>
      <c r="J181" s="3">
        <f t="shared" si="16"/>
        <v>42000</v>
      </c>
      <c r="K181" s="3">
        <f t="shared" si="16"/>
        <v>540000</v>
      </c>
      <c r="L181" s="3">
        <f t="shared" si="16"/>
        <v>-39000</v>
      </c>
      <c r="M181" s="3">
        <f t="shared" si="16"/>
        <v>20000</v>
      </c>
      <c r="N181" s="2">
        <f t="shared" si="16"/>
        <v>200000</v>
      </c>
      <c r="O181" s="3">
        <f t="shared" si="16"/>
        <v>23000</v>
      </c>
      <c r="P181" s="3">
        <f t="shared" si="16"/>
        <v>20000</v>
      </c>
      <c r="Q181" s="3">
        <f t="shared" si="16"/>
        <v>264000</v>
      </c>
      <c r="R181" s="3">
        <f t="shared" si="16"/>
        <v>150000</v>
      </c>
      <c r="S181" s="2">
        <f t="shared" si="16"/>
        <v>100000</v>
      </c>
      <c r="T181" s="4">
        <f t="shared" si="16"/>
        <v>502500</v>
      </c>
      <c r="U181" s="49">
        <v>0</v>
      </c>
    </row>
    <row r="182" spans="2:21" ht="12.75">
      <c r="B182" s="92"/>
      <c r="C182" s="6">
        <v>1</v>
      </c>
      <c r="D182" s="34">
        <f>95000</f>
        <v>95000</v>
      </c>
      <c r="E182" s="34"/>
      <c r="F182" s="7">
        <f>-100000</f>
        <v>-100000</v>
      </c>
      <c r="G182" s="7">
        <v>5000</v>
      </c>
      <c r="H182" s="7"/>
      <c r="I182" s="7"/>
      <c r="J182" s="7"/>
      <c r="K182" s="7"/>
      <c r="L182" s="7"/>
      <c r="M182" s="7"/>
      <c r="N182" s="6"/>
      <c r="O182" s="7"/>
      <c r="P182" s="7"/>
      <c r="Q182" s="7"/>
      <c r="R182" s="7"/>
      <c r="S182" s="6"/>
      <c r="T182" s="8"/>
      <c r="U182" s="50"/>
    </row>
    <row r="183" spans="2:21" ht="12.75">
      <c r="B183" s="92"/>
      <c r="C183" s="6">
        <v>2</v>
      </c>
      <c r="D183" s="34">
        <f>-223000</f>
        <v>-223000</v>
      </c>
      <c r="E183" s="34"/>
      <c r="F183" s="7"/>
      <c r="G183" s="7"/>
      <c r="H183" s="7"/>
      <c r="I183" s="7"/>
      <c r="J183" s="7"/>
      <c r="K183" s="7"/>
      <c r="L183" s="7"/>
      <c r="M183" s="7"/>
      <c r="N183" s="6">
        <f>-200000</f>
        <v>-200000</v>
      </c>
      <c r="O183" s="7">
        <f>-23000</f>
        <v>-23000</v>
      </c>
      <c r="P183" s="7"/>
      <c r="Q183" s="7"/>
      <c r="R183" s="7"/>
      <c r="S183" s="6"/>
      <c r="T183" s="8"/>
      <c r="U183" s="50"/>
    </row>
    <row r="184" spans="2:21" ht="12.75">
      <c r="B184" s="92"/>
      <c r="C184" s="6" t="s">
        <v>35</v>
      </c>
      <c r="D184" s="34"/>
      <c r="E184" s="34"/>
      <c r="F184" s="7"/>
      <c r="G184" s="7"/>
      <c r="H184" s="7">
        <f>-340000</f>
        <v>-340000</v>
      </c>
      <c r="I184" s="7"/>
      <c r="J184" s="7"/>
      <c r="K184" s="7"/>
      <c r="L184" s="7"/>
      <c r="M184" s="7"/>
      <c r="N184" s="6"/>
      <c r="O184" s="7"/>
      <c r="P184" s="7"/>
      <c r="Q184" s="7"/>
      <c r="R184" s="7"/>
      <c r="S184" s="6"/>
      <c r="T184" s="8"/>
      <c r="U184" s="50">
        <f>-340000</f>
        <v>-340000</v>
      </c>
    </row>
    <row r="185" spans="2:21" ht="12.75">
      <c r="B185" s="92"/>
      <c r="C185" s="6" t="s">
        <v>36</v>
      </c>
      <c r="D185" s="34">
        <f>400000-150000</f>
        <v>250000</v>
      </c>
      <c r="E185" s="34"/>
      <c r="F185" s="7">
        <v>150000</v>
      </c>
      <c r="G185" s="7"/>
      <c r="H185" s="7"/>
      <c r="I185" s="7"/>
      <c r="J185" s="7"/>
      <c r="K185" s="7"/>
      <c r="L185" s="7"/>
      <c r="M185" s="7"/>
      <c r="N185" s="6"/>
      <c r="O185" s="7"/>
      <c r="P185" s="7"/>
      <c r="Q185" s="7"/>
      <c r="R185" s="7"/>
      <c r="S185" s="6"/>
      <c r="T185" s="8"/>
      <c r="U185" s="50">
        <v>400000</v>
      </c>
    </row>
    <row r="186" spans="2:21" ht="12.75">
      <c r="B186" s="92"/>
      <c r="C186" s="6">
        <v>4</v>
      </c>
      <c r="D186" s="34">
        <f>-350000+210000</f>
        <v>-140000</v>
      </c>
      <c r="E186" s="34"/>
      <c r="F186" s="7"/>
      <c r="G186" s="7"/>
      <c r="H186" s="7">
        <v>350000</v>
      </c>
      <c r="I186" s="7"/>
      <c r="J186" s="7"/>
      <c r="K186" s="7"/>
      <c r="L186" s="7"/>
      <c r="M186" s="7"/>
      <c r="N186" s="6">
        <v>210000</v>
      </c>
      <c r="O186" s="7"/>
      <c r="P186" s="7"/>
      <c r="Q186" s="7"/>
      <c r="R186" s="7"/>
      <c r="S186" s="6"/>
      <c r="T186" s="8"/>
      <c r="U186" s="50"/>
    </row>
    <row r="187" spans="2:21" ht="12.75">
      <c r="B187" s="92"/>
      <c r="C187" s="6">
        <v>5</v>
      </c>
      <c r="D187" s="34"/>
      <c r="E187" s="34"/>
      <c r="F187" s="7"/>
      <c r="G187" s="7"/>
      <c r="H187" s="7"/>
      <c r="I187" s="7"/>
      <c r="J187" s="7"/>
      <c r="K187" s="7"/>
      <c r="L187" s="7">
        <f>-K181/5/12</f>
        <v>-9000</v>
      </c>
      <c r="M187" s="7"/>
      <c r="N187" s="6"/>
      <c r="O187" s="7"/>
      <c r="P187" s="7"/>
      <c r="Q187" s="7"/>
      <c r="R187" s="7"/>
      <c r="S187" s="6"/>
      <c r="T187" s="8"/>
      <c r="U187" s="50">
        <f>-9000</f>
        <v>-9000</v>
      </c>
    </row>
    <row r="188" spans="2:21" ht="12.75">
      <c r="B188" s="92"/>
      <c r="C188" s="6">
        <v>6</v>
      </c>
      <c r="D188" s="34"/>
      <c r="E188" s="34"/>
      <c r="F188" s="7"/>
      <c r="G188" s="7"/>
      <c r="H188" s="7"/>
      <c r="I188" s="7"/>
      <c r="J188" s="7"/>
      <c r="K188" s="7"/>
      <c r="L188" s="7"/>
      <c r="M188" s="7"/>
      <c r="N188" s="6"/>
      <c r="O188" s="7">
        <v>15000</v>
      </c>
      <c r="P188" s="7"/>
      <c r="Q188" s="7"/>
      <c r="R188" s="7"/>
      <c r="S188" s="6"/>
      <c r="T188" s="8"/>
      <c r="U188" s="50">
        <f>-15000</f>
        <v>-15000</v>
      </c>
    </row>
    <row r="189" spans="2:21" ht="12.75">
      <c r="B189" s="92"/>
      <c r="C189" s="6">
        <v>7</v>
      </c>
      <c r="D189" s="34"/>
      <c r="E189" s="34"/>
      <c r="F189" s="7"/>
      <c r="G189" s="7"/>
      <c r="H189" s="7"/>
      <c r="I189" s="7"/>
      <c r="J189" s="7"/>
      <c r="K189" s="7"/>
      <c r="L189" s="7"/>
      <c r="M189" s="7"/>
      <c r="N189" s="6"/>
      <c r="O189" s="7">
        <v>8000</v>
      </c>
      <c r="P189" s="7"/>
      <c r="Q189" s="7"/>
      <c r="R189" s="7"/>
      <c r="S189" s="6"/>
      <c r="T189" s="8"/>
      <c r="U189" s="50">
        <f>-8000</f>
        <v>-8000</v>
      </c>
    </row>
    <row r="190" spans="2:21" ht="12.75">
      <c r="B190" s="92"/>
      <c r="C190" s="6">
        <v>8</v>
      </c>
      <c r="D190" s="34"/>
      <c r="E190" s="34"/>
      <c r="F190" s="7"/>
      <c r="G190" s="7"/>
      <c r="H190" s="7"/>
      <c r="I190" s="7">
        <f>-6000/12</f>
        <v>-500</v>
      </c>
      <c r="J190" s="7"/>
      <c r="K190" s="7"/>
      <c r="L190" s="7"/>
      <c r="M190" s="7"/>
      <c r="N190" s="6"/>
      <c r="O190" s="7"/>
      <c r="P190" s="7"/>
      <c r="Q190" s="7"/>
      <c r="R190" s="7"/>
      <c r="S190" s="6"/>
      <c r="T190" s="8"/>
      <c r="U190" s="50">
        <f>-500</f>
        <v>-500</v>
      </c>
    </row>
    <row r="191" spans="2:21" ht="12.75">
      <c r="B191" s="92"/>
      <c r="C191" s="6">
        <v>9</v>
      </c>
      <c r="D191" s="34"/>
      <c r="E191" s="34"/>
      <c r="F191" s="7"/>
      <c r="G191" s="7"/>
      <c r="H191" s="7"/>
      <c r="I191" s="7"/>
      <c r="J191" s="7">
        <v>2000</v>
      </c>
      <c r="K191" s="7"/>
      <c r="L191" s="7"/>
      <c r="M191" s="7"/>
      <c r="N191" s="6"/>
      <c r="O191" s="7"/>
      <c r="P191" s="7"/>
      <c r="Q191" s="7"/>
      <c r="R191" s="7"/>
      <c r="S191" s="6"/>
      <c r="T191" s="8"/>
      <c r="U191" s="50">
        <v>2000</v>
      </c>
    </row>
    <row r="192" spans="2:21" ht="12.75">
      <c r="B192" s="92"/>
      <c r="C192" s="6">
        <v>10</v>
      </c>
      <c r="D192" s="34">
        <f>-50000</f>
        <v>-50000</v>
      </c>
      <c r="E192" s="34"/>
      <c r="F192" s="7"/>
      <c r="G192" s="7"/>
      <c r="H192" s="7"/>
      <c r="I192" s="7"/>
      <c r="J192" s="7"/>
      <c r="K192" s="7"/>
      <c r="L192" s="7"/>
      <c r="M192" s="7"/>
      <c r="N192" s="6"/>
      <c r="O192" s="7"/>
      <c r="P192" s="7"/>
      <c r="Q192" s="7">
        <f>-50000</f>
        <v>-50000</v>
      </c>
      <c r="R192" s="7"/>
      <c r="S192" s="6"/>
      <c r="T192" s="8"/>
      <c r="U192" s="50"/>
    </row>
    <row r="193" spans="2:21" ht="12.75">
      <c r="B193" s="92"/>
      <c r="C193" s="6">
        <v>11</v>
      </c>
      <c r="D193" s="34">
        <v>9000</v>
      </c>
      <c r="E193" s="34"/>
      <c r="F193" s="7"/>
      <c r="G193" s="7">
        <f>-10000</f>
        <v>-10000</v>
      </c>
      <c r="H193" s="7"/>
      <c r="I193" s="7"/>
      <c r="J193" s="7"/>
      <c r="K193" s="7"/>
      <c r="L193" s="7"/>
      <c r="M193" s="7"/>
      <c r="N193" s="6"/>
      <c r="O193" s="7"/>
      <c r="P193" s="7"/>
      <c r="Q193" s="7"/>
      <c r="R193" s="7"/>
      <c r="S193" s="6"/>
      <c r="T193" s="8"/>
      <c r="U193" s="50">
        <f>-10000*10%</f>
        <v>-1000</v>
      </c>
    </row>
    <row r="194" spans="2:21" ht="12.75">
      <c r="B194" s="92"/>
      <c r="C194" s="6">
        <v>12</v>
      </c>
      <c r="D194" s="34"/>
      <c r="E194" s="34"/>
      <c r="F194" s="7"/>
      <c r="G194" s="7"/>
      <c r="H194" s="7"/>
      <c r="I194" s="7"/>
      <c r="J194" s="7"/>
      <c r="K194" s="7"/>
      <c r="L194" s="7"/>
      <c r="M194" s="7"/>
      <c r="N194" s="6"/>
      <c r="O194" s="7"/>
      <c r="P194" s="7"/>
      <c r="Q194" s="7">
        <f>8000</f>
        <v>8000</v>
      </c>
      <c r="R194" s="7"/>
      <c r="S194" s="6"/>
      <c r="T194" s="8"/>
      <c r="U194" s="50">
        <f>-8000</f>
        <v>-8000</v>
      </c>
    </row>
    <row r="195" spans="2:21" ht="12.75">
      <c r="B195" s="92"/>
      <c r="C195" s="6">
        <v>13</v>
      </c>
      <c r="D195" s="34">
        <f>-20000</f>
        <v>-20000</v>
      </c>
      <c r="E195" s="34"/>
      <c r="F195" s="7"/>
      <c r="G195" s="7"/>
      <c r="H195" s="7"/>
      <c r="I195" s="7"/>
      <c r="J195" s="7"/>
      <c r="K195" s="7"/>
      <c r="L195" s="7"/>
      <c r="M195" s="7"/>
      <c r="N195" s="6"/>
      <c r="O195" s="7"/>
      <c r="P195" s="7">
        <f>-20000</f>
        <v>-20000</v>
      </c>
      <c r="Q195" s="7"/>
      <c r="R195" s="7"/>
      <c r="S195" s="6"/>
      <c r="T195" s="8"/>
      <c r="U195" s="50"/>
    </row>
    <row r="196" spans="2:21" ht="12.75">
      <c r="B196" s="92"/>
      <c r="C196" s="6">
        <v>14</v>
      </c>
      <c r="D196" s="34"/>
      <c r="E196" s="34"/>
      <c r="F196" s="7"/>
      <c r="G196" s="7"/>
      <c r="H196" s="7"/>
      <c r="I196" s="7"/>
      <c r="J196" s="7"/>
      <c r="K196" s="7"/>
      <c r="L196" s="7"/>
      <c r="M196" s="7"/>
      <c r="N196" s="6"/>
      <c r="O196" s="7"/>
      <c r="P196" s="7">
        <v>1000</v>
      </c>
      <c r="Q196" s="7"/>
      <c r="R196" s="7"/>
      <c r="S196" s="6"/>
      <c r="T196" s="8">
        <f>-1000</f>
        <v>-1000</v>
      </c>
      <c r="U196" s="50"/>
    </row>
    <row r="197" spans="2:21" ht="12.75">
      <c r="B197" s="92"/>
      <c r="C197" s="6"/>
      <c r="D197" s="34"/>
      <c r="E197" s="34"/>
      <c r="F197" s="7"/>
      <c r="G197" s="7"/>
      <c r="H197" s="7"/>
      <c r="I197" s="7"/>
      <c r="J197" s="7"/>
      <c r="K197" s="7"/>
      <c r="L197" s="7"/>
      <c r="M197" s="7"/>
      <c r="N197" s="6"/>
      <c r="O197" s="7"/>
      <c r="P197" s="7"/>
      <c r="Q197" s="7"/>
      <c r="R197" s="7"/>
      <c r="S197" s="6"/>
      <c r="T197" s="8">
        <v>20500</v>
      </c>
      <c r="U197" s="50">
        <f>-20500</f>
        <v>-20500</v>
      </c>
    </row>
    <row r="198" spans="2:21" ht="12.75">
      <c r="B198" s="92"/>
      <c r="C198" s="9" t="s">
        <v>5</v>
      </c>
      <c r="D198" s="35">
        <f>+SUM(D181:D197)</f>
        <v>177500</v>
      </c>
      <c r="E198" s="35"/>
      <c r="F198" s="10">
        <f>+SUM(F181:F195)</f>
        <v>150000</v>
      </c>
      <c r="G198" s="10">
        <f>SUM(G181:G197)</f>
        <v>-10000</v>
      </c>
      <c r="H198" s="10">
        <f>SUM(H180:H195)</f>
        <v>350000</v>
      </c>
      <c r="I198" s="10">
        <f>SUM(I181:I193)</f>
        <v>4500</v>
      </c>
      <c r="J198" s="10">
        <f>+SUM(J181:J193)</f>
        <v>44000</v>
      </c>
      <c r="K198" s="10">
        <f>+SUM(K181:K192)</f>
        <v>540000</v>
      </c>
      <c r="L198" s="10">
        <f>+SUM(L181:L192)</f>
        <v>-48000</v>
      </c>
      <c r="M198" s="10">
        <f>+SUM(M181:M192)</f>
        <v>20000</v>
      </c>
      <c r="N198" s="9">
        <f>+SUM(N181:N192)</f>
        <v>210000</v>
      </c>
      <c r="O198" s="10">
        <f>+SUM(O181:O197)</f>
        <v>23000</v>
      </c>
      <c r="P198" s="10">
        <f>+SUM(P181:P197)</f>
        <v>1000</v>
      </c>
      <c r="Q198" s="10">
        <f>SUM(Q180:Q197)</f>
        <v>222000</v>
      </c>
      <c r="R198" s="10">
        <f>SUM(R181:R194)</f>
        <v>150000</v>
      </c>
      <c r="S198" s="9">
        <f>+SUM(S181:S192)</f>
        <v>100000</v>
      </c>
      <c r="T198" s="11">
        <f>+SUM(T181:T197)</f>
        <v>522000</v>
      </c>
      <c r="U198" s="51">
        <f>+SUM(U181:U197)</f>
        <v>0</v>
      </c>
    </row>
    <row r="201" spans="2:7" ht="12.75">
      <c r="B201" s="1" t="s">
        <v>0</v>
      </c>
      <c r="D201" s="1">
        <f>SUM(D198:M198)</f>
        <v>1228000</v>
      </c>
      <c r="G201" s="1">
        <f>D201-D202</f>
        <v>0</v>
      </c>
    </row>
    <row r="202" spans="2:4" ht="12.75">
      <c r="B202" s="1" t="s">
        <v>4</v>
      </c>
      <c r="D202" s="1">
        <f>SUM(N198:U198)</f>
        <v>1228000</v>
      </c>
    </row>
    <row r="205" spans="3:21" ht="12.75" customHeight="1">
      <c r="C205" s="89" t="s">
        <v>0</v>
      </c>
      <c r="D205" s="90"/>
      <c r="E205" s="90"/>
      <c r="F205" s="90"/>
      <c r="G205" s="90"/>
      <c r="H205" s="90"/>
      <c r="I205" s="90"/>
      <c r="J205" s="90"/>
      <c r="K205" s="90"/>
      <c r="L205" s="90"/>
      <c r="M205" s="91"/>
      <c r="N205" s="89" t="s">
        <v>60</v>
      </c>
      <c r="O205" s="90"/>
      <c r="P205" s="90"/>
      <c r="Q205" s="90"/>
      <c r="R205" s="91"/>
      <c r="S205" s="88" t="s">
        <v>61</v>
      </c>
      <c r="T205" s="88"/>
      <c r="U205" s="88"/>
    </row>
    <row r="206" spans="2:21" ht="38.25">
      <c r="B206" s="92" t="s">
        <v>90</v>
      </c>
      <c r="C206" s="2"/>
      <c r="D206" s="33" t="s">
        <v>2</v>
      </c>
      <c r="E206" s="33"/>
      <c r="F206" s="3" t="s">
        <v>26</v>
      </c>
      <c r="G206" s="3" t="s">
        <v>104</v>
      </c>
      <c r="H206" s="3" t="s">
        <v>7</v>
      </c>
      <c r="I206" s="3" t="s">
        <v>76</v>
      </c>
      <c r="J206" s="3" t="s">
        <v>75</v>
      </c>
      <c r="K206" s="3" t="s">
        <v>24</v>
      </c>
      <c r="L206" s="3" t="s">
        <v>37</v>
      </c>
      <c r="M206" s="3" t="s">
        <v>6</v>
      </c>
      <c r="N206" s="27" t="s">
        <v>8</v>
      </c>
      <c r="O206" s="28" t="s">
        <v>57</v>
      </c>
      <c r="P206" s="28" t="s">
        <v>79</v>
      </c>
      <c r="Q206" s="28" t="s">
        <v>9</v>
      </c>
      <c r="R206" s="28" t="s">
        <v>78</v>
      </c>
      <c r="S206" s="27" t="s">
        <v>3</v>
      </c>
      <c r="T206" s="29" t="s">
        <v>25</v>
      </c>
      <c r="U206" s="48" t="s">
        <v>23</v>
      </c>
    </row>
    <row r="207" spans="2:21" ht="12.75">
      <c r="B207" s="92"/>
      <c r="C207" s="6" t="s">
        <v>20</v>
      </c>
      <c r="D207" s="33">
        <f aca="true" t="shared" si="17" ref="D207:U207">D198</f>
        <v>177500</v>
      </c>
      <c r="E207" s="33"/>
      <c r="F207" s="3">
        <f t="shared" si="17"/>
        <v>150000</v>
      </c>
      <c r="G207" s="3">
        <f t="shared" si="17"/>
        <v>-10000</v>
      </c>
      <c r="H207" s="3">
        <f t="shared" si="17"/>
        <v>350000</v>
      </c>
      <c r="I207" s="3">
        <f t="shared" si="17"/>
        <v>4500</v>
      </c>
      <c r="J207" s="3">
        <f t="shared" si="17"/>
        <v>44000</v>
      </c>
      <c r="K207" s="3">
        <f t="shared" si="17"/>
        <v>540000</v>
      </c>
      <c r="L207" s="3">
        <f t="shared" si="17"/>
        <v>-48000</v>
      </c>
      <c r="M207" s="3">
        <f t="shared" si="17"/>
        <v>20000</v>
      </c>
      <c r="N207" s="2">
        <f t="shared" si="17"/>
        <v>210000</v>
      </c>
      <c r="O207" s="3">
        <f t="shared" si="17"/>
        <v>23000</v>
      </c>
      <c r="P207" s="3">
        <f t="shared" si="17"/>
        <v>1000</v>
      </c>
      <c r="Q207" s="3">
        <f t="shared" si="17"/>
        <v>222000</v>
      </c>
      <c r="R207" s="3">
        <f t="shared" si="17"/>
        <v>150000</v>
      </c>
      <c r="S207" s="2">
        <f t="shared" si="17"/>
        <v>100000</v>
      </c>
      <c r="T207" s="4">
        <f t="shared" si="17"/>
        <v>522000</v>
      </c>
      <c r="U207" s="49">
        <f t="shared" si="17"/>
        <v>0</v>
      </c>
    </row>
    <row r="208" spans="2:21" ht="12.75">
      <c r="B208" s="92"/>
      <c r="C208" s="6">
        <v>1</v>
      </c>
      <c r="D208" s="34">
        <f>-F208-G208</f>
        <v>140000</v>
      </c>
      <c r="E208" s="34"/>
      <c r="F208" s="7">
        <f>-150000</f>
        <v>-150000</v>
      </c>
      <c r="G208" s="7">
        <f>10000</f>
        <v>10000</v>
      </c>
      <c r="H208" s="7"/>
      <c r="I208" s="7"/>
      <c r="J208" s="7"/>
      <c r="K208" s="7"/>
      <c r="L208" s="7"/>
      <c r="M208" s="7"/>
      <c r="N208" s="6"/>
      <c r="O208" s="7"/>
      <c r="P208" s="7"/>
      <c r="Q208" s="7"/>
      <c r="R208" s="7"/>
      <c r="S208" s="6"/>
      <c r="T208" s="8"/>
      <c r="U208" s="50"/>
    </row>
    <row r="209" spans="2:21" ht="12.75">
      <c r="B209" s="92"/>
      <c r="C209" s="6">
        <v>2</v>
      </c>
      <c r="D209" s="34">
        <f>N209+O209</f>
        <v>-251000</v>
      </c>
      <c r="E209" s="34"/>
      <c r="F209" s="7"/>
      <c r="G209" s="7"/>
      <c r="H209" s="7"/>
      <c r="I209" s="7"/>
      <c r="J209" s="7"/>
      <c r="K209" s="7"/>
      <c r="L209" s="7"/>
      <c r="M209" s="7"/>
      <c r="N209" s="6">
        <f>-210000</f>
        <v>-210000</v>
      </c>
      <c r="O209" s="7">
        <f>-41000</f>
        <v>-41000</v>
      </c>
      <c r="P209" s="7"/>
      <c r="Q209" s="7"/>
      <c r="R209" s="7"/>
      <c r="S209" s="6"/>
      <c r="T209" s="8"/>
      <c r="U209" s="50"/>
    </row>
    <row r="210" spans="2:21" ht="12.75">
      <c r="B210" s="92"/>
      <c r="C210" s="6" t="s">
        <v>35</v>
      </c>
      <c r="D210" s="34"/>
      <c r="E210" s="34"/>
      <c r="F210" s="7"/>
      <c r="G210" s="7"/>
      <c r="H210" s="7">
        <f>-350000</f>
        <v>-350000</v>
      </c>
      <c r="I210" s="7"/>
      <c r="J210" s="7"/>
      <c r="K210" s="7"/>
      <c r="L210" s="7"/>
      <c r="M210" s="7"/>
      <c r="N210" s="6"/>
      <c r="O210" s="7"/>
      <c r="P210" s="7"/>
      <c r="Q210" s="7"/>
      <c r="R210" s="7"/>
      <c r="S210" s="6"/>
      <c r="T210" s="8"/>
      <c r="U210" s="50">
        <f>-350000</f>
        <v>-350000</v>
      </c>
    </row>
    <row r="211" spans="2:21" ht="12.75">
      <c r="B211" s="92"/>
      <c r="C211" s="6" t="s">
        <v>36</v>
      </c>
      <c r="D211" s="34">
        <f>405000-F211</f>
        <v>275000</v>
      </c>
      <c r="E211" s="34"/>
      <c r="F211" s="7">
        <v>130000</v>
      </c>
      <c r="G211" s="7"/>
      <c r="H211" s="7"/>
      <c r="I211" s="7"/>
      <c r="J211" s="7"/>
      <c r="K211" s="7"/>
      <c r="L211" s="7"/>
      <c r="M211" s="7"/>
      <c r="N211" s="6"/>
      <c r="O211" s="7"/>
      <c r="P211" s="7"/>
      <c r="Q211" s="7"/>
      <c r="R211" s="7"/>
      <c r="S211" s="6"/>
      <c r="T211" s="8"/>
      <c r="U211" s="50">
        <v>405000</v>
      </c>
    </row>
    <row r="212" spans="2:21" ht="12.75">
      <c r="B212" s="92"/>
      <c r="C212" s="6">
        <v>4</v>
      </c>
      <c r="D212" s="34">
        <f>-H212+N212</f>
        <v>-160000</v>
      </c>
      <c r="E212" s="34"/>
      <c r="F212" s="7"/>
      <c r="G212" s="7"/>
      <c r="H212" s="7">
        <v>360000</v>
      </c>
      <c r="I212" s="7"/>
      <c r="J212" s="7"/>
      <c r="K212" s="7"/>
      <c r="L212" s="7"/>
      <c r="M212" s="7"/>
      <c r="N212" s="6">
        <v>200000</v>
      </c>
      <c r="O212" s="7"/>
      <c r="P212" s="7"/>
      <c r="Q212" s="7"/>
      <c r="R212" s="7"/>
      <c r="S212" s="6"/>
      <c r="T212" s="8"/>
      <c r="U212" s="50"/>
    </row>
    <row r="213" spans="2:21" ht="12.75">
      <c r="B213" s="92"/>
      <c r="C213" s="6">
        <v>5</v>
      </c>
      <c r="D213" s="34"/>
      <c r="E213" s="34"/>
      <c r="F213" s="7"/>
      <c r="G213" s="7"/>
      <c r="H213" s="7"/>
      <c r="I213" s="7"/>
      <c r="J213" s="7"/>
      <c r="K213" s="7"/>
      <c r="L213" s="7">
        <f>-K207/5/12</f>
        <v>-9000</v>
      </c>
      <c r="M213" s="7"/>
      <c r="N213" s="6"/>
      <c r="O213" s="7"/>
      <c r="P213" s="7"/>
      <c r="Q213" s="7"/>
      <c r="R213" s="7"/>
      <c r="S213" s="6"/>
      <c r="T213" s="8"/>
      <c r="U213" s="50">
        <f>-9000</f>
        <v>-9000</v>
      </c>
    </row>
    <row r="214" spans="2:21" ht="12.75">
      <c r="B214" s="92"/>
      <c r="C214" s="6">
        <v>6</v>
      </c>
      <c r="D214" s="34"/>
      <c r="E214" s="34"/>
      <c r="F214" s="7"/>
      <c r="G214" s="7"/>
      <c r="H214" s="7"/>
      <c r="I214" s="7"/>
      <c r="J214" s="7"/>
      <c r="K214" s="7"/>
      <c r="L214" s="7"/>
      <c r="M214" s="7"/>
      <c r="N214" s="6"/>
      <c r="O214" s="7">
        <f>15000</f>
        <v>15000</v>
      </c>
      <c r="P214" s="7"/>
      <c r="Q214" s="7"/>
      <c r="R214" s="7"/>
      <c r="S214" s="6"/>
      <c r="T214" s="8"/>
      <c r="U214" s="50">
        <f>-15000</f>
        <v>-15000</v>
      </c>
    </row>
    <row r="215" spans="2:21" ht="12.75">
      <c r="B215" s="92"/>
      <c r="C215" s="6">
        <v>7</v>
      </c>
      <c r="D215" s="34"/>
      <c r="E215" s="34"/>
      <c r="F215" s="7"/>
      <c r="G215" s="7"/>
      <c r="H215" s="7"/>
      <c r="I215" s="7"/>
      <c r="J215" s="7"/>
      <c r="K215" s="7"/>
      <c r="L215" s="7"/>
      <c r="M215" s="7"/>
      <c r="N215" s="6"/>
      <c r="O215" s="7">
        <v>10000</v>
      </c>
      <c r="P215" s="7"/>
      <c r="Q215" s="7"/>
      <c r="R215" s="7"/>
      <c r="S215" s="6"/>
      <c r="T215" s="8"/>
      <c r="U215" s="50">
        <f>-10000</f>
        <v>-10000</v>
      </c>
    </row>
    <row r="216" spans="2:21" ht="12.75">
      <c r="B216" s="92"/>
      <c r="C216" s="6">
        <v>8</v>
      </c>
      <c r="D216" s="34"/>
      <c r="E216" s="34"/>
      <c r="F216" s="7"/>
      <c r="G216" s="7"/>
      <c r="H216" s="7"/>
      <c r="I216" s="7">
        <f>-6000/12</f>
        <v>-500</v>
      </c>
      <c r="J216" s="7"/>
      <c r="K216" s="7"/>
      <c r="L216" s="7"/>
      <c r="M216" s="7"/>
      <c r="N216" s="6"/>
      <c r="O216" s="7"/>
      <c r="P216" s="7"/>
      <c r="Q216" s="7"/>
      <c r="R216" s="7"/>
      <c r="S216" s="6"/>
      <c r="T216" s="8"/>
      <c r="U216" s="50">
        <f>-500</f>
        <v>-500</v>
      </c>
    </row>
    <row r="217" spans="2:21" ht="12.75">
      <c r="B217" s="92"/>
      <c r="C217" s="6">
        <v>9</v>
      </c>
      <c r="D217" s="34"/>
      <c r="E217" s="34"/>
      <c r="F217" s="7"/>
      <c r="G217" s="7"/>
      <c r="H217" s="7"/>
      <c r="I217" s="7"/>
      <c r="J217" s="7">
        <v>2000</v>
      </c>
      <c r="K217" s="7"/>
      <c r="L217" s="7"/>
      <c r="M217" s="7"/>
      <c r="N217" s="6"/>
      <c r="O217" s="7"/>
      <c r="P217" s="7"/>
      <c r="Q217" s="7"/>
      <c r="R217" s="7"/>
      <c r="S217" s="6"/>
      <c r="T217" s="8"/>
      <c r="U217" s="50">
        <v>2000</v>
      </c>
    </row>
    <row r="218" spans="2:21" ht="12.75">
      <c r="B218" s="92"/>
      <c r="C218" s="6">
        <v>10</v>
      </c>
      <c r="D218" s="34">
        <f>-30000</f>
        <v>-30000</v>
      </c>
      <c r="E218" s="34"/>
      <c r="F218" s="7"/>
      <c r="G218" s="7"/>
      <c r="H218" s="7"/>
      <c r="I218" s="7"/>
      <c r="J218" s="7"/>
      <c r="K218" s="7"/>
      <c r="L218" s="7"/>
      <c r="M218" s="7"/>
      <c r="N218" s="6"/>
      <c r="O218" s="7"/>
      <c r="P218" s="7"/>
      <c r="Q218" s="7">
        <f>-30000</f>
        <v>-30000</v>
      </c>
      <c r="R218" s="7"/>
      <c r="S218" s="6"/>
      <c r="T218" s="8"/>
      <c r="U218" s="50"/>
    </row>
    <row r="219" spans="2:21" ht="12.75">
      <c r="B219" s="92"/>
      <c r="C219" s="6">
        <v>11</v>
      </c>
      <c r="D219" s="34">
        <f>8000-800</f>
        <v>7200</v>
      </c>
      <c r="E219" s="34"/>
      <c r="F219" s="7"/>
      <c r="G219" s="7">
        <f>-8000</f>
        <v>-8000</v>
      </c>
      <c r="H219" s="7"/>
      <c r="I219" s="7"/>
      <c r="J219" s="7"/>
      <c r="K219" s="7"/>
      <c r="L219" s="7"/>
      <c r="M219" s="7"/>
      <c r="N219" s="6"/>
      <c r="O219" s="7"/>
      <c r="P219" s="7"/>
      <c r="Q219" s="7"/>
      <c r="R219" s="7"/>
      <c r="S219" s="6"/>
      <c r="T219" s="8"/>
      <c r="U219" s="50">
        <f>G219*10%</f>
        <v>-800</v>
      </c>
    </row>
    <row r="220" spans="2:21" ht="12.75">
      <c r="B220" s="92"/>
      <c r="C220" s="6">
        <v>12</v>
      </c>
      <c r="D220" s="34"/>
      <c r="E220" s="34"/>
      <c r="F220" s="7"/>
      <c r="G220" s="7"/>
      <c r="H220" s="7"/>
      <c r="I220" s="7"/>
      <c r="J220" s="7"/>
      <c r="K220" s="7"/>
      <c r="L220" s="7"/>
      <c r="M220" s="7"/>
      <c r="N220" s="6"/>
      <c r="O220" s="7"/>
      <c r="P220" s="7"/>
      <c r="Q220" s="7">
        <v>8000</v>
      </c>
      <c r="R220" s="7"/>
      <c r="S220" s="6"/>
      <c r="T220" s="8"/>
      <c r="U220" s="50">
        <f>-8000</f>
        <v>-8000</v>
      </c>
    </row>
    <row r="221" spans="2:21" ht="12.75">
      <c r="B221" s="92"/>
      <c r="C221" s="6">
        <v>13</v>
      </c>
      <c r="D221" s="34">
        <f>-1000</f>
        <v>-1000</v>
      </c>
      <c r="E221" s="34"/>
      <c r="F221" s="7"/>
      <c r="G221" s="7"/>
      <c r="H221" s="7"/>
      <c r="I221" s="7"/>
      <c r="J221" s="7"/>
      <c r="K221" s="7"/>
      <c r="L221" s="7"/>
      <c r="M221" s="7"/>
      <c r="N221" s="6"/>
      <c r="O221" s="7"/>
      <c r="P221" s="7">
        <f>-1000</f>
        <v>-1000</v>
      </c>
      <c r="Q221" s="7"/>
      <c r="R221" s="7"/>
      <c r="S221" s="6"/>
      <c r="T221" s="8"/>
      <c r="U221" s="50"/>
    </row>
    <row r="222" spans="2:21" ht="12.75">
      <c r="B222" s="92"/>
      <c r="C222" s="6">
        <v>14</v>
      </c>
      <c r="D222" s="34">
        <v>50000</v>
      </c>
      <c r="E222" s="34"/>
      <c r="F222" s="7"/>
      <c r="G222" s="7"/>
      <c r="H222" s="7"/>
      <c r="I222" s="7"/>
      <c r="J222" s="7"/>
      <c r="K222" s="7"/>
      <c r="L222" s="7"/>
      <c r="M222" s="7">
        <v>50000</v>
      </c>
      <c r="N222" s="6"/>
      <c r="O222" s="7"/>
      <c r="P222" s="7"/>
      <c r="Q222" s="7"/>
      <c r="R222" s="7"/>
      <c r="S222" s="6">
        <v>100000</v>
      </c>
      <c r="T222" s="8"/>
      <c r="U222" s="50"/>
    </row>
    <row r="223" spans="2:21" ht="12.75">
      <c r="B223" s="92"/>
      <c r="C223" s="6">
        <v>15</v>
      </c>
      <c r="D223" s="34"/>
      <c r="E223" s="34"/>
      <c r="F223" s="7"/>
      <c r="G223" s="7"/>
      <c r="H223" s="7"/>
      <c r="I223" s="7"/>
      <c r="J223" s="7"/>
      <c r="K223" s="7"/>
      <c r="L223" s="7"/>
      <c r="M223" s="7"/>
      <c r="N223" s="6"/>
      <c r="O223" s="7"/>
      <c r="P223" s="7">
        <v>10000</v>
      </c>
      <c r="Q223" s="7"/>
      <c r="R223" s="7"/>
      <c r="S223" s="6"/>
      <c r="T223" s="8">
        <f>-10000</f>
        <v>-10000</v>
      </c>
      <c r="U223" s="50"/>
    </row>
    <row r="224" spans="2:21" ht="12.75">
      <c r="B224" s="92"/>
      <c r="C224" s="6"/>
      <c r="D224" s="34"/>
      <c r="E224" s="34"/>
      <c r="F224" s="7"/>
      <c r="G224" s="7"/>
      <c r="H224" s="7"/>
      <c r="I224" s="7"/>
      <c r="J224" s="7"/>
      <c r="K224" s="7"/>
      <c r="L224" s="7"/>
      <c r="M224" s="7"/>
      <c r="N224" s="6"/>
      <c r="O224" s="7"/>
      <c r="P224" s="7"/>
      <c r="Q224" s="7"/>
      <c r="R224" s="7"/>
      <c r="S224" s="6"/>
      <c r="T224" s="8">
        <v>13700</v>
      </c>
      <c r="U224" s="50">
        <f>-13700</f>
        <v>-13700</v>
      </c>
    </row>
    <row r="225" spans="2:21" ht="12.75">
      <c r="B225" s="92"/>
      <c r="C225" s="9" t="s">
        <v>5</v>
      </c>
      <c r="D225" s="35">
        <f>+SUM(D207:D224)</f>
        <v>207700</v>
      </c>
      <c r="E225" s="35"/>
      <c r="F225" s="10">
        <f>+SUM(F207:F221)</f>
        <v>130000</v>
      </c>
      <c r="G225" s="10">
        <f>SUM(G207:G224)</f>
        <v>-8000</v>
      </c>
      <c r="H225" s="10">
        <f>SUM(H206:H221)</f>
        <v>360000</v>
      </c>
      <c r="I225" s="10">
        <f>SUM(I207:I219)</f>
        <v>4000</v>
      </c>
      <c r="J225" s="10">
        <f>+SUM(J207:J219)</f>
        <v>46000</v>
      </c>
      <c r="K225" s="10">
        <f>+SUM(K207:K218)</f>
        <v>540000</v>
      </c>
      <c r="L225" s="10">
        <f>+SUM(L207:L218)</f>
        <v>-57000</v>
      </c>
      <c r="M225" s="10">
        <f>+SUM(M207:M223)</f>
        <v>70000</v>
      </c>
      <c r="N225" s="9">
        <f>+SUM(N207:N218)</f>
        <v>200000</v>
      </c>
      <c r="O225" s="10">
        <f>+SUM(O207:O224)</f>
        <v>7000</v>
      </c>
      <c r="P225" s="10">
        <f>+SUM(P207:P224)</f>
        <v>10000</v>
      </c>
      <c r="Q225" s="10">
        <f>SUM(Q206:Q224)</f>
        <v>200000</v>
      </c>
      <c r="R225" s="10">
        <f>SUM(R207:R220)</f>
        <v>150000</v>
      </c>
      <c r="S225" s="9">
        <f>+SUM(S207:S222)</f>
        <v>200000</v>
      </c>
      <c r="T225" s="11">
        <f>+SUM(T207:T224)</f>
        <v>525700</v>
      </c>
      <c r="U225" s="51">
        <f>+SUM(U207:U224)</f>
        <v>0</v>
      </c>
    </row>
    <row r="229" spans="2:4" ht="12.75">
      <c r="B229" s="1" t="s">
        <v>0</v>
      </c>
      <c r="D229" s="1">
        <f>SUM(D225:M225)</f>
        <v>1292700</v>
      </c>
    </row>
    <row r="230" spans="2:4" ht="12.75">
      <c r="B230" s="1" t="s">
        <v>4</v>
      </c>
      <c r="D230" s="1">
        <f>SUM(N225:U225)</f>
        <v>1292700</v>
      </c>
    </row>
    <row r="233" spans="3:21" ht="12.75" customHeight="1">
      <c r="C233" s="89" t="s">
        <v>0</v>
      </c>
      <c r="D233" s="90"/>
      <c r="E233" s="90"/>
      <c r="F233" s="90"/>
      <c r="G233" s="90"/>
      <c r="H233" s="90"/>
      <c r="I233" s="90"/>
      <c r="J233" s="90"/>
      <c r="K233" s="90"/>
      <c r="L233" s="90"/>
      <c r="M233" s="91"/>
      <c r="N233" s="89" t="s">
        <v>60</v>
      </c>
      <c r="O233" s="90"/>
      <c r="P233" s="90"/>
      <c r="Q233" s="90"/>
      <c r="R233" s="91"/>
      <c r="S233" s="88" t="s">
        <v>61</v>
      </c>
      <c r="T233" s="88"/>
      <c r="U233" s="88"/>
    </row>
    <row r="234" spans="2:21" ht="38.25">
      <c r="B234" s="92" t="s">
        <v>93</v>
      </c>
      <c r="C234" s="2"/>
      <c r="D234" s="33" t="s">
        <v>2</v>
      </c>
      <c r="E234" s="33"/>
      <c r="F234" s="3" t="s">
        <v>26</v>
      </c>
      <c r="G234" s="3" t="s">
        <v>104</v>
      </c>
      <c r="H234" s="3" t="s">
        <v>7</v>
      </c>
      <c r="I234" s="3" t="s">
        <v>76</v>
      </c>
      <c r="J234" s="3" t="s">
        <v>75</v>
      </c>
      <c r="K234" s="3" t="s">
        <v>24</v>
      </c>
      <c r="L234" s="3" t="s">
        <v>37</v>
      </c>
      <c r="M234" s="3" t="s">
        <v>6</v>
      </c>
      <c r="N234" s="27" t="s">
        <v>8</v>
      </c>
      <c r="O234" s="28" t="s">
        <v>57</v>
      </c>
      <c r="P234" s="28" t="s">
        <v>79</v>
      </c>
      <c r="Q234" s="28" t="s">
        <v>9</v>
      </c>
      <c r="R234" s="28" t="s">
        <v>78</v>
      </c>
      <c r="S234" s="27" t="s">
        <v>3</v>
      </c>
      <c r="T234" s="29" t="s">
        <v>25</v>
      </c>
      <c r="U234" s="48" t="s">
        <v>23</v>
      </c>
    </row>
    <row r="235" spans="2:21" ht="12.75">
      <c r="B235" s="92"/>
      <c r="C235" s="6" t="s">
        <v>20</v>
      </c>
      <c r="D235" s="33">
        <f>D225</f>
        <v>207700</v>
      </c>
      <c r="E235" s="33"/>
      <c r="F235" s="3">
        <f>F225</f>
        <v>130000</v>
      </c>
      <c r="G235" s="3">
        <f>G225</f>
        <v>-8000</v>
      </c>
      <c r="H235" s="3">
        <f aca="true" t="shared" si="18" ref="H235:U235">H225</f>
        <v>360000</v>
      </c>
      <c r="I235" s="3">
        <f t="shared" si="18"/>
        <v>4000</v>
      </c>
      <c r="J235" s="3">
        <f t="shared" si="18"/>
        <v>46000</v>
      </c>
      <c r="K235" s="3">
        <f t="shared" si="18"/>
        <v>540000</v>
      </c>
      <c r="L235" s="3">
        <f t="shared" si="18"/>
        <v>-57000</v>
      </c>
      <c r="M235" s="3">
        <f t="shared" si="18"/>
        <v>70000</v>
      </c>
      <c r="N235" s="2">
        <f t="shared" si="18"/>
        <v>200000</v>
      </c>
      <c r="O235" s="3">
        <f t="shared" si="18"/>
        <v>7000</v>
      </c>
      <c r="P235" s="3">
        <f t="shared" si="18"/>
        <v>10000</v>
      </c>
      <c r="Q235" s="3">
        <f t="shared" si="18"/>
        <v>200000</v>
      </c>
      <c r="R235" s="3">
        <f t="shared" si="18"/>
        <v>150000</v>
      </c>
      <c r="S235" s="2">
        <f t="shared" si="18"/>
        <v>200000</v>
      </c>
      <c r="T235" s="4">
        <f t="shared" si="18"/>
        <v>525700</v>
      </c>
      <c r="U235" s="49">
        <f t="shared" si="18"/>
        <v>0</v>
      </c>
    </row>
    <row r="236" spans="2:21" ht="12.75">
      <c r="B236" s="92"/>
      <c r="C236" s="6">
        <v>1</v>
      </c>
      <c r="D236" s="34">
        <f>-F236-G236</f>
        <v>122000</v>
      </c>
      <c r="E236" s="34"/>
      <c r="F236" s="7">
        <f>-130000</f>
        <v>-130000</v>
      </c>
      <c r="G236" s="7">
        <v>8000</v>
      </c>
      <c r="H236" s="7"/>
      <c r="I236" s="7"/>
      <c r="J236" s="7"/>
      <c r="K236" s="7"/>
      <c r="L236" s="7"/>
      <c r="M236" s="7"/>
      <c r="N236" s="6"/>
      <c r="O236" s="7"/>
      <c r="P236" s="7"/>
      <c r="Q236" s="7"/>
      <c r="R236" s="7"/>
      <c r="S236" s="6"/>
      <c r="T236" s="8"/>
      <c r="U236" s="50"/>
    </row>
    <row r="237" spans="2:21" ht="12.75">
      <c r="B237" s="92"/>
      <c r="C237" s="6">
        <v>2</v>
      </c>
      <c r="D237" s="34">
        <f>N237+O237</f>
        <v>-225000</v>
      </c>
      <c r="E237" s="34"/>
      <c r="F237" s="7"/>
      <c r="G237" s="7"/>
      <c r="H237" s="7"/>
      <c r="I237" s="7"/>
      <c r="J237" s="7"/>
      <c r="K237" s="7"/>
      <c r="L237" s="7"/>
      <c r="M237" s="7"/>
      <c r="N237" s="6">
        <f>-200000</f>
        <v>-200000</v>
      </c>
      <c r="O237" s="7">
        <f>-25000</f>
        <v>-25000</v>
      </c>
      <c r="P237" s="7"/>
      <c r="Q237" s="7"/>
      <c r="R237" s="7"/>
      <c r="S237" s="6"/>
      <c r="T237" s="8"/>
      <c r="U237" s="50"/>
    </row>
    <row r="238" spans="2:21" ht="12.75">
      <c r="B238" s="92"/>
      <c r="C238" s="6" t="s">
        <v>35</v>
      </c>
      <c r="D238" s="34"/>
      <c r="E238" s="34"/>
      <c r="F238" s="7"/>
      <c r="G238" s="7"/>
      <c r="H238" s="7">
        <f>-H235</f>
        <v>-360000</v>
      </c>
      <c r="I238" s="7"/>
      <c r="J238" s="7"/>
      <c r="K238" s="7"/>
      <c r="L238" s="7"/>
      <c r="M238" s="7"/>
      <c r="N238" s="6"/>
      <c r="O238" s="7"/>
      <c r="P238" s="7"/>
      <c r="Q238" s="7"/>
      <c r="R238" s="7"/>
      <c r="S238" s="6"/>
      <c r="T238" s="8"/>
      <c r="U238" s="50">
        <f>-360000</f>
        <v>-360000</v>
      </c>
    </row>
    <row r="239" spans="2:21" ht="12.75">
      <c r="B239" s="92"/>
      <c r="C239" s="6" t="s">
        <v>36</v>
      </c>
      <c r="D239" s="34">
        <f>420000-F239</f>
        <v>270000</v>
      </c>
      <c r="E239" s="34"/>
      <c r="F239" s="7">
        <v>150000</v>
      </c>
      <c r="G239" s="7"/>
      <c r="H239" s="7"/>
      <c r="I239" s="7"/>
      <c r="J239" s="7"/>
      <c r="K239" s="7"/>
      <c r="L239" s="7"/>
      <c r="M239" s="7"/>
      <c r="N239" s="6"/>
      <c r="O239" s="7"/>
      <c r="P239" s="7"/>
      <c r="Q239" s="7"/>
      <c r="R239" s="7"/>
      <c r="S239" s="6"/>
      <c r="T239" s="8"/>
      <c r="U239" s="50">
        <v>420000</v>
      </c>
    </row>
    <row r="240" spans="2:21" ht="12.75">
      <c r="B240" s="92"/>
      <c r="C240" s="6">
        <v>4</v>
      </c>
      <c r="D240" s="34">
        <f>-H240+N240</f>
        <v>-200000</v>
      </c>
      <c r="E240" s="34"/>
      <c r="F240" s="7"/>
      <c r="G240" s="7"/>
      <c r="H240" s="7">
        <v>380000</v>
      </c>
      <c r="I240" s="7"/>
      <c r="J240" s="7"/>
      <c r="K240" s="7"/>
      <c r="L240" s="7"/>
      <c r="M240" s="7"/>
      <c r="N240" s="6">
        <v>180000</v>
      </c>
      <c r="O240" s="7"/>
      <c r="P240" s="7"/>
      <c r="Q240" s="7"/>
      <c r="R240" s="7"/>
      <c r="S240" s="6"/>
      <c r="T240" s="8"/>
      <c r="U240" s="50"/>
    </row>
    <row r="241" spans="2:21" ht="12.75">
      <c r="B241" s="92"/>
      <c r="C241" s="6">
        <v>5</v>
      </c>
      <c r="D241" s="34"/>
      <c r="E241" s="34"/>
      <c r="F241" s="7"/>
      <c r="G241" s="7"/>
      <c r="H241" s="7">
        <v>195000</v>
      </c>
      <c r="I241" s="7"/>
      <c r="J241" s="7"/>
      <c r="K241" s="7"/>
      <c r="L241" s="7"/>
      <c r="M241" s="7"/>
      <c r="N241" s="6">
        <v>195000</v>
      </c>
      <c r="O241" s="7"/>
      <c r="P241" s="7"/>
      <c r="Q241" s="7"/>
      <c r="R241" s="7"/>
      <c r="S241" s="6"/>
      <c r="T241" s="8"/>
      <c r="U241" s="50"/>
    </row>
    <row r="242" spans="2:21" ht="12.75">
      <c r="B242" s="92"/>
      <c r="C242" s="6" t="s">
        <v>103</v>
      </c>
      <c r="D242" s="34"/>
      <c r="E242" s="34"/>
      <c r="F242" s="7"/>
      <c r="G242" s="7"/>
      <c r="H242" s="7">
        <f>-419000</f>
        <v>-419000</v>
      </c>
      <c r="I242" s="7"/>
      <c r="J242" s="7"/>
      <c r="K242" s="7"/>
      <c r="L242" s="7"/>
      <c r="M242" s="7"/>
      <c r="N242" s="6"/>
      <c r="O242" s="7"/>
      <c r="P242" s="7"/>
      <c r="Q242" s="7"/>
      <c r="R242" s="7"/>
      <c r="S242" s="6"/>
      <c r="T242" s="8"/>
      <c r="U242" s="50">
        <v>-419000</v>
      </c>
    </row>
    <row r="243" spans="2:21" ht="12.75">
      <c r="B243" s="92"/>
      <c r="C243" s="6" t="s">
        <v>102</v>
      </c>
      <c r="D243" s="34">
        <v>390000</v>
      </c>
      <c r="E243" s="34"/>
      <c r="F243" s="7">
        <v>100000</v>
      </c>
      <c r="G243" s="7"/>
      <c r="H243" s="7"/>
      <c r="I243" s="7"/>
      <c r="J243" s="7"/>
      <c r="K243" s="7"/>
      <c r="L243" s="7"/>
      <c r="M243" s="7"/>
      <c r="N243" s="6"/>
      <c r="O243" s="7"/>
      <c r="P243" s="7"/>
      <c r="Q243" s="7"/>
      <c r="R243" s="7"/>
      <c r="S243" s="6"/>
      <c r="T243" s="8"/>
      <c r="U243" s="50">
        <v>490000</v>
      </c>
    </row>
    <row r="244" spans="2:21" ht="12.75">
      <c r="B244" s="92"/>
      <c r="C244" s="6">
        <v>7</v>
      </c>
      <c r="D244" s="34"/>
      <c r="E244" s="34"/>
      <c r="F244" s="7"/>
      <c r="G244" s="7"/>
      <c r="H244" s="7"/>
      <c r="I244" s="7"/>
      <c r="J244" s="7"/>
      <c r="K244" s="7"/>
      <c r="L244" s="7">
        <f>-K235/5/12</f>
        <v>-9000</v>
      </c>
      <c r="M244" s="7"/>
      <c r="N244" s="6"/>
      <c r="O244" s="7"/>
      <c r="P244" s="7"/>
      <c r="Q244" s="7"/>
      <c r="R244" s="7"/>
      <c r="S244" s="6"/>
      <c r="T244" s="8"/>
      <c r="U244" s="50">
        <f>-9000</f>
        <v>-9000</v>
      </c>
    </row>
    <row r="245" spans="2:21" ht="12.75">
      <c r="B245" s="92"/>
      <c r="C245" s="6">
        <v>8</v>
      </c>
      <c r="D245" s="34"/>
      <c r="E245" s="34"/>
      <c r="F245" s="7"/>
      <c r="G245" s="7"/>
      <c r="H245" s="7"/>
      <c r="I245" s="7"/>
      <c r="J245" s="7"/>
      <c r="K245" s="7"/>
      <c r="L245" s="7"/>
      <c r="M245" s="7"/>
      <c r="N245" s="6"/>
      <c r="O245" s="7">
        <f>18000</f>
        <v>18000</v>
      </c>
      <c r="P245" s="7"/>
      <c r="Q245" s="7"/>
      <c r="R245" s="7"/>
      <c r="S245" s="6"/>
      <c r="T245" s="8"/>
      <c r="U245" s="50">
        <f>-18000</f>
        <v>-18000</v>
      </c>
    </row>
    <row r="246" spans="2:21" ht="12.75">
      <c r="B246" s="92"/>
      <c r="C246" s="6">
        <v>9</v>
      </c>
      <c r="D246" s="34"/>
      <c r="E246" s="34"/>
      <c r="F246" s="7"/>
      <c r="G246" s="7"/>
      <c r="H246" s="7"/>
      <c r="I246" s="7"/>
      <c r="J246" s="7"/>
      <c r="K246" s="7"/>
      <c r="L246" s="7"/>
      <c r="M246" s="7"/>
      <c r="N246" s="6"/>
      <c r="O246" s="7">
        <f>10000</f>
        <v>10000</v>
      </c>
      <c r="P246" s="7"/>
      <c r="Q246" s="7"/>
      <c r="R246" s="7"/>
      <c r="S246" s="6"/>
      <c r="T246" s="8"/>
      <c r="U246" s="50">
        <f>-10000</f>
        <v>-10000</v>
      </c>
    </row>
    <row r="247" spans="2:21" ht="12.75">
      <c r="B247" s="92"/>
      <c r="C247" s="6">
        <v>10</v>
      </c>
      <c r="D247" s="34"/>
      <c r="E247" s="34"/>
      <c r="F247" s="7"/>
      <c r="G247" s="7"/>
      <c r="H247" s="7"/>
      <c r="I247" s="7">
        <f>-6000/12</f>
        <v>-500</v>
      </c>
      <c r="J247" s="7"/>
      <c r="K247" s="7"/>
      <c r="L247" s="7"/>
      <c r="M247" s="7"/>
      <c r="N247" s="6"/>
      <c r="O247" s="7"/>
      <c r="P247" s="7"/>
      <c r="Q247" s="7"/>
      <c r="R247" s="7"/>
      <c r="S247" s="6"/>
      <c r="T247" s="8"/>
      <c r="U247" s="50">
        <f>-500</f>
        <v>-500</v>
      </c>
    </row>
    <row r="248" spans="2:21" ht="12.75">
      <c r="B248" s="92"/>
      <c r="C248" s="6">
        <v>11</v>
      </c>
      <c r="D248" s="34"/>
      <c r="E248" s="34"/>
      <c r="F248" s="7"/>
      <c r="G248" s="7"/>
      <c r="H248" s="7"/>
      <c r="I248" s="7"/>
      <c r="J248" s="7">
        <v>2000</v>
      </c>
      <c r="K248" s="7"/>
      <c r="L248" s="7"/>
      <c r="M248" s="7"/>
      <c r="N248" s="6"/>
      <c r="O248" s="7"/>
      <c r="P248" s="7"/>
      <c r="Q248" s="7"/>
      <c r="R248" s="7"/>
      <c r="S248" s="6"/>
      <c r="T248" s="8"/>
      <c r="U248" s="50">
        <v>2000</v>
      </c>
    </row>
    <row r="249" spans="2:21" ht="12.75">
      <c r="B249" s="92"/>
      <c r="C249" s="6">
        <v>12</v>
      </c>
      <c r="D249" s="34">
        <f>-50000</f>
        <v>-50000</v>
      </c>
      <c r="E249" s="34"/>
      <c r="F249" s="7"/>
      <c r="G249" s="7"/>
      <c r="H249" s="7"/>
      <c r="I249" s="7"/>
      <c r="J249" s="7"/>
      <c r="K249" s="7"/>
      <c r="L249" s="7"/>
      <c r="M249" s="7"/>
      <c r="N249" s="6"/>
      <c r="O249" s="7"/>
      <c r="P249" s="7"/>
      <c r="Q249" s="7">
        <f>-50000</f>
        <v>-50000</v>
      </c>
      <c r="R249" s="7"/>
      <c r="S249" s="6"/>
      <c r="T249" s="8"/>
      <c r="U249" s="50"/>
    </row>
    <row r="250" spans="2:21" ht="12.75">
      <c r="B250" s="92"/>
      <c r="C250" s="6">
        <v>13</v>
      </c>
      <c r="D250" s="34">
        <f>4500</f>
        <v>4500</v>
      </c>
      <c r="E250" s="34"/>
      <c r="F250" s="7"/>
      <c r="G250" s="7">
        <f>-5000</f>
        <v>-5000</v>
      </c>
      <c r="H250" s="7"/>
      <c r="I250" s="7"/>
      <c r="J250" s="7"/>
      <c r="K250" s="7"/>
      <c r="L250" s="7"/>
      <c r="M250" s="7"/>
      <c r="N250" s="6"/>
      <c r="O250" s="7"/>
      <c r="P250" s="7"/>
      <c r="Q250" s="7"/>
      <c r="R250" s="7"/>
      <c r="S250" s="6"/>
      <c r="T250" s="8"/>
      <c r="U250" s="50">
        <f>G250*10%</f>
        <v>-500</v>
      </c>
    </row>
    <row r="251" spans="2:21" ht="12.75">
      <c r="B251" s="92"/>
      <c r="C251" s="6">
        <v>14</v>
      </c>
      <c r="D251" s="34"/>
      <c r="E251" s="34"/>
      <c r="F251" s="7"/>
      <c r="G251" s="7"/>
      <c r="H251" s="7"/>
      <c r="I251" s="7"/>
      <c r="J251" s="7"/>
      <c r="K251" s="7"/>
      <c r="L251" s="7"/>
      <c r="M251" s="7"/>
      <c r="N251" s="6"/>
      <c r="O251" s="7"/>
      <c r="P251" s="7"/>
      <c r="Q251" s="7">
        <v>8000</v>
      </c>
      <c r="R251" s="7"/>
      <c r="S251" s="6"/>
      <c r="T251" s="8"/>
      <c r="U251" s="50">
        <f>-8000</f>
        <v>-8000</v>
      </c>
    </row>
    <row r="252" spans="2:21" ht="12.75">
      <c r="B252" s="92"/>
      <c r="C252" s="6">
        <v>15</v>
      </c>
      <c r="D252" s="34">
        <v>-10000</v>
      </c>
      <c r="E252" s="34"/>
      <c r="F252" s="7"/>
      <c r="G252" s="7"/>
      <c r="H252" s="7"/>
      <c r="I252" s="7"/>
      <c r="J252" s="7"/>
      <c r="K252" s="7"/>
      <c r="L252" s="7"/>
      <c r="M252" s="7"/>
      <c r="N252" s="6"/>
      <c r="O252" s="7"/>
      <c r="P252" s="7">
        <f>-10000</f>
        <v>-10000</v>
      </c>
      <c r="Q252" s="7"/>
      <c r="R252" s="7"/>
      <c r="S252" s="6"/>
      <c r="T252" s="8"/>
      <c r="U252" s="50"/>
    </row>
    <row r="253" spans="2:21" ht="12.75">
      <c r="B253" s="92"/>
      <c r="C253" s="6">
        <v>16</v>
      </c>
      <c r="D253" s="34">
        <f>-50000</f>
        <v>-50000</v>
      </c>
      <c r="E253" s="34"/>
      <c r="F253" s="7"/>
      <c r="G253" s="7"/>
      <c r="H253" s="7"/>
      <c r="I253" s="7"/>
      <c r="J253" s="7"/>
      <c r="K253" s="7"/>
      <c r="L253" s="7"/>
      <c r="M253" s="7"/>
      <c r="N253" s="6"/>
      <c r="O253" s="7"/>
      <c r="P253" s="7"/>
      <c r="Q253" s="7"/>
      <c r="R253" s="7"/>
      <c r="S253" s="6"/>
      <c r="T253" s="8">
        <f>-50000</f>
        <v>-50000</v>
      </c>
      <c r="U253" s="50"/>
    </row>
    <row r="254" spans="2:21" ht="12.75">
      <c r="B254" s="92"/>
      <c r="C254" s="6"/>
      <c r="D254" s="34"/>
      <c r="E254" s="34"/>
      <c r="F254" s="7"/>
      <c r="G254" s="7"/>
      <c r="H254" s="7"/>
      <c r="I254" s="7"/>
      <c r="J254" s="7"/>
      <c r="K254" s="7"/>
      <c r="L254" s="7"/>
      <c r="M254" s="7"/>
      <c r="N254" s="6"/>
      <c r="O254" s="7"/>
      <c r="P254" s="7"/>
      <c r="Q254" s="7"/>
      <c r="R254" s="7"/>
      <c r="S254" s="6"/>
      <c r="T254" s="8">
        <v>87000</v>
      </c>
      <c r="U254" s="50">
        <f>-87000</f>
        <v>-87000</v>
      </c>
    </row>
    <row r="255" spans="2:21" ht="12.75">
      <c r="B255" s="92"/>
      <c r="C255" s="9" t="s">
        <v>5</v>
      </c>
      <c r="D255" s="35">
        <f>+SUM(D235:D254)</f>
        <v>459200</v>
      </c>
      <c r="E255" s="35"/>
      <c r="F255" s="10">
        <f>+SUM(F235:F254)</f>
        <v>250000</v>
      </c>
      <c r="G255" s="10">
        <f>SUM(G235:G254)</f>
        <v>-5000</v>
      </c>
      <c r="H255" s="10">
        <f>SUM(H235:H254)</f>
        <v>156000</v>
      </c>
      <c r="I255" s="10">
        <f>SUM(I235:I254)</f>
        <v>3500</v>
      </c>
      <c r="J255" s="10">
        <f>+SUM(J235:J254)</f>
        <v>48000</v>
      </c>
      <c r="K255" s="10">
        <f>+SUM(K235:K254)</f>
        <v>540000</v>
      </c>
      <c r="L255" s="10">
        <f>+SUM(L235:L254)</f>
        <v>-66000</v>
      </c>
      <c r="M255" s="10">
        <f>+SUM(M235:M253)</f>
        <v>70000</v>
      </c>
      <c r="N255" s="9">
        <f>+SUM(N235:N254)</f>
        <v>375000</v>
      </c>
      <c r="O255" s="10">
        <f>+SUM(O235:O254)</f>
        <v>10000</v>
      </c>
      <c r="P255" s="10">
        <f>+SUM(P235:P254)</f>
        <v>0</v>
      </c>
      <c r="Q255" s="10">
        <f>SUM(Q234:Q254)</f>
        <v>158000</v>
      </c>
      <c r="R255" s="10">
        <f>SUM(R235:R251)</f>
        <v>150000</v>
      </c>
      <c r="S255" s="9">
        <f>+SUM(S235:S252)</f>
        <v>200000</v>
      </c>
      <c r="T255" s="11">
        <f>+SUM(T235:T254)</f>
        <v>562700</v>
      </c>
      <c r="U255" s="51">
        <f>+SUM(U235:U254)</f>
        <v>0</v>
      </c>
    </row>
    <row r="258" spans="2:4" ht="12.75">
      <c r="B258" s="1" t="s">
        <v>0</v>
      </c>
      <c r="D258" s="1">
        <f>SUM(D255:M255)</f>
        <v>1455700</v>
      </c>
    </row>
    <row r="259" spans="2:4" ht="12.75">
      <c r="B259" s="1" t="s">
        <v>4</v>
      </c>
      <c r="D259" s="1">
        <f>SUM(N255:U255)</f>
        <v>1455700</v>
      </c>
    </row>
  </sheetData>
  <sheetProtection/>
  <mergeCells count="42">
    <mergeCell ref="C2:K2"/>
    <mergeCell ref="B3:B8"/>
    <mergeCell ref="L2:Q2"/>
    <mergeCell ref="C14:K14"/>
    <mergeCell ref="L14:Q14"/>
    <mergeCell ref="C108:K108"/>
    <mergeCell ref="L108:N108"/>
    <mergeCell ref="O108:Q108"/>
    <mergeCell ref="C87:K87"/>
    <mergeCell ref="L87:N87"/>
    <mergeCell ref="C48:K48"/>
    <mergeCell ref="L48:Q48"/>
    <mergeCell ref="B49:B61"/>
    <mergeCell ref="C67:K67"/>
    <mergeCell ref="B15:B25"/>
    <mergeCell ref="C30:K30"/>
    <mergeCell ref="L30:Q30"/>
    <mergeCell ref="B31:B42"/>
    <mergeCell ref="Q131:R131"/>
    <mergeCell ref="M131:P131"/>
    <mergeCell ref="C131:L131"/>
    <mergeCell ref="B132:B148"/>
    <mergeCell ref="L67:N67"/>
    <mergeCell ref="O67:Q67"/>
    <mergeCell ref="B109:B124"/>
    <mergeCell ref="O87:Q87"/>
    <mergeCell ref="B206:B225"/>
    <mergeCell ref="B234:B255"/>
    <mergeCell ref="N233:R233"/>
    <mergeCell ref="C233:M233"/>
    <mergeCell ref="B180:B198"/>
    <mergeCell ref="B156:B173"/>
    <mergeCell ref="C205:M205"/>
    <mergeCell ref="N205:R205"/>
    <mergeCell ref="S205:U205"/>
    <mergeCell ref="S233:U233"/>
    <mergeCell ref="N155:R155"/>
    <mergeCell ref="S155:U155"/>
    <mergeCell ref="C155:M155"/>
    <mergeCell ref="C179:M179"/>
    <mergeCell ref="N179:R179"/>
    <mergeCell ref="S179:U179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7"/>
  <sheetViews>
    <sheetView zoomScalePageLayoutView="0" workbookViewId="0" topLeftCell="A1">
      <selection activeCell="F13" sqref="F13"/>
    </sheetView>
  </sheetViews>
  <sheetFormatPr defaultColWidth="9.140625" defaultRowHeight="12.75" outlineLevelRow="1"/>
  <cols>
    <col min="1" max="1" width="2.421875" style="1" customWidth="1"/>
    <col min="2" max="2" width="23.8515625" style="1" bestFit="1" customWidth="1"/>
    <col min="3" max="11" width="10.7109375" style="1" bestFit="1" customWidth="1"/>
    <col min="12" max="13" width="10.7109375" style="1" customWidth="1"/>
    <col min="14" max="14" width="10.7109375" style="1" bestFit="1" customWidth="1"/>
    <col min="15" max="16384" width="9.140625" style="1" customWidth="1"/>
  </cols>
  <sheetData>
    <row r="2" spans="2:14" ht="12.75">
      <c r="B2" s="96" t="s">
        <v>10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4" spans="2:14" ht="12.75">
      <c r="B4" s="13" t="s">
        <v>11</v>
      </c>
      <c r="C4" s="14">
        <v>39478</v>
      </c>
      <c r="D4" s="14">
        <f>+C4+28</f>
        <v>39506</v>
      </c>
      <c r="E4" s="14">
        <f>+D4+32</f>
        <v>39538</v>
      </c>
      <c r="F4" s="14">
        <f>+E4+30</f>
        <v>39568</v>
      </c>
      <c r="G4" s="14">
        <f>+F4+31</f>
        <v>39599</v>
      </c>
      <c r="H4" s="14">
        <v>39629</v>
      </c>
      <c r="I4" s="14">
        <v>39660</v>
      </c>
      <c r="J4" s="14">
        <v>39691</v>
      </c>
      <c r="K4" s="14">
        <v>39721</v>
      </c>
      <c r="L4" s="14">
        <v>39752</v>
      </c>
      <c r="M4" s="14">
        <v>39782</v>
      </c>
      <c r="N4" s="15">
        <v>39813</v>
      </c>
    </row>
    <row r="5" spans="2:14" ht="12.75">
      <c r="B5" s="16" t="s">
        <v>12</v>
      </c>
      <c r="C5" s="17">
        <f>+Lançamentos!D8</f>
        <v>210000</v>
      </c>
      <c r="D5" s="17">
        <f>+Lançamentos!D25</f>
        <v>37000</v>
      </c>
      <c r="E5" s="17">
        <f>+Lançamentos!D42</f>
        <v>45000</v>
      </c>
      <c r="F5" s="17">
        <f>+Lançamentos!D61</f>
        <v>3000</v>
      </c>
      <c r="G5" s="17">
        <f>+Lançamentos!D81</f>
        <v>36000</v>
      </c>
      <c r="H5" s="17">
        <f>+Lançamentos!D102</f>
        <v>37000</v>
      </c>
      <c r="I5" s="17">
        <f>+Lançamentos!D124</f>
        <v>12000</v>
      </c>
      <c r="J5" s="17">
        <f>Lançamentos!D148</f>
        <v>17000</v>
      </c>
      <c r="K5" s="17">
        <f>Lançamentos!D173</f>
        <v>256500</v>
      </c>
      <c r="L5" s="17">
        <f>Lançamentos!D198</f>
        <v>177500</v>
      </c>
      <c r="M5" s="17">
        <f>Lançamentos!D225</f>
        <v>207700</v>
      </c>
      <c r="N5" s="18">
        <f>Lançamentos!D255</f>
        <v>459200</v>
      </c>
    </row>
    <row r="6" spans="2:14" ht="12.75">
      <c r="B6" s="16" t="s">
        <v>27</v>
      </c>
      <c r="C6" s="17">
        <v>0</v>
      </c>
      <c r="D6" s="17">
        <f>+Lançamentos!F25</f>
        <v>10000</v>
      </c>
      <c r="E6" s="17">
        <f>+Lançamentos!F42</f>
        <v>20000</v>
      </c>
      <c r="F6" s="17">
        <f>+Lançamentos!F61</f>
        <v>50000</v>
      </c>
      <c r="G6" s="17">
        <f>+Lançamentos!F81</f>
        <v>50000</v>
      </c>
      <c r="H6" s="17">
        <f>+Lançamentos!F102</f>
        <v>100000</v>
      </c>
      <c r="I6" s="17">
        <f>+Lançamentos!F124</f>
        <v>80000</v>
      </c>
      <c r="J6" s="17">
        <f>Lançamentos!F148</f>
        <v>50000</v>
      </c>
      <c r="K6" s="17">
        <f>Lançamentos!F173</f>
        <v>100000</v>
      </c>
      <c r="L6" s="17">
        <f>Lançamentos!F198</f>
        <v>150000</v>
      </c>
      <c r="M6" s="17">
        <f>Lançamentos!F225</f>
        <v>130000</v>
      </c>
      <c r="N6" s="18">
        <f>Lançamentos!F255</f>
        <v>250000</v>
      </c>
    </row>
    <row r="7" spans="2:14" ht="12.75">
      <c r="B7" s="16" t="s">
        <v>105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f>Lançamentos!G173</f>
        <v>-5000</v>
      </c>
      <c r="L7" s="17">
        <f>Lançamentos!G198</f>
        <v>-10000</v>
      </c>
      <c r="M7" s="17">
        <f>Lançamentos!G225</f>
        <v>-8000</v>
      </c>
      <c r="N7" s="18">
        <f>Lançamentos!G255</f>
        <v>-5000</v>
      </c>
    </row>
    <row r="8" spans="2:14" ht="12.75">
      <c r="B8" s="16" t="s">
        <v>7</v>
      </c>
      <c r="C8" s="17">
        <f>+Lançamentos!G8</f>
        <v>50000</v>
      </c>
      <c r="D8" s="17">
        <f>+Lançamentos!G25</f>
        <v>90000</v>
      </c>
      <c r="E8" s="17">
        <f>+Lançamentos!G42</f>
        <v>100000</v>
      </c>
      <c r="F8" s="17">
        <f>+Lançamentos!G61</f>
        <v>150000</v>
      </c>
      <c r="G8" s="17">
        <f>+Lançamentos!G81</f>
        <v>200000</v>
      </c>
      <c r="H8" s="17">
        <f>+Lançamentos!G102</f>
        <v>300000</v>
      </c>
      <c r="I8" s="17">
        <f>+Lançamentos!G124</f>
        <v>330000</v>
      </c>
      <c r="J8" s="17">
        <f>Lançamentos!G148</f>
        <v>320000</v>
      </c>
      <c r="K8" s="17">
        <f>Lançamentos!H173</f>
        <v>340000</v>
      </c>
      <c r="L8" s="17">
        <f>Lançamentos!H198</f>
        <v>350000</v>
      </c>
      <c r="M8" s="17">
        <f>Lançamentos!H225</f>
        <v>360000</v>
      </c>
      <c r="N8" s="18">
        <f>Lançamentos!H255</f>
        <v>156000</v>
      </c>
    </row>
    <row r="9" spans="2:14" ht="12.75">
      <c r="B9" s="16" t="s">
        <v>70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f>+Lançamentos!H124</f>
        <v>6000</v>
      </c>
      <c r="J9" s="17">
        <f>Lançamentos!H148</f>
        <v>5500</v>
      </c>
      <c r="K9" s="17">
        <f>Lançamentos!I173</f>
        <v>5000</v>
      </c>
      <c r="L9" s="17">
        <f>Lançamentos!I198</f>
        <v>4500</v>
      </c>
      <c r="M9" s="17">
        <f>Lançamentos!I225</f>
        <v>4000</v>
      </c>
      <c r="N9" s="18">
        <f>Lançamentos!I255</f>
        <v>3500</v>
      </c>
    </row>
    <row r="10" spans="2:14" ht="12.75">
      <c r="B10" s="16" t="s">
        <v>80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f>Lançamentos!I148</f>
        <v>40000</v>
      </c>
      <c r="K10" s="17">
        <f>Lançamentos!J173</f>
        <v>42000</v>
      </c>
      <c r="L10" s="17">
        <f>Lançamentos!J198</f>
        <v>44000</v>
      </c>
      <c r="M10" s="17">
        <f>Lançamentos!J225</f>
        <v>46000</v>
      </c>
      <c r="N10" s="18">
        <f>Lançamentos!J255</f>
        <v>48000</v>
      </c>
    </row>
    <row r="11" spans="2:14" ht="12.75">
      <c r="B11" s="16" t="s">
        <v>24</v>
      </c>
      <c r="C11" s="17">
        <v>0</v>
      </c>
      <c r="D11" s="17">
        <f>+Lançamentos!I25</f>
        <v>180000</v>
      </c>
      <c r="E11" s="17">
        <f>+Lançamentos!I42</f>
        <v>180000</v>
      </c>
      <c r="F11" s="17">
        <f>+Lançamentos!I61</f>
        <v>180000</v>
      </c>
      <c r="G11" s="17">
        <f>+Lançamentos!I81</f>
        <v>180000</v>
      </c>
      <c r="H11" s="17">
        <f>+Lançamentos!I102</f>
        <v>540000</v>
      </c>
      <c r="I11" s="17">
        <f>+Lançamentos!I124</f>
        <v>540000</v>
      </c>
      <c r="J11" s="17">
        <f>Lançamentos!J148</f>
        <v>540000</v>
      </c>
      <c r="K11" s="17">
        <f>Lançamentos!K173</f>
        <v>540000</v>
      </c>
      <c r="L11" s="17">
        <f>Lançamentos!K198</f>
        <v>540000</v>
      </c>
      <c r="M11" s="17">
        <f>Lançamentos!K225</f>
        <v>540000</v>
      </c>
      <c r="N11" s="18">
        <f>Lançamentos!K255</f>
        <v>540000</v>
      </c>
    </row>
    <row r="12" spans="2:14" ht="12.75">
      <c r="B12" s="16" t="s">
        <v>38</v>
      </c>
      <c r="C12" s="17">
        <v>0</v>
      </c>
      <c r="D12" s="17">
        <v>0</v>
      </c>
      <c r="E12" s="17">
        <f>+Lançamentos!J42</f>
        <v>-3000</v>
      </c>
      <c r="F12" s="17">
        <f>+Lançamentos!J61</f>
        <v>-6000</v>
      </c>
      <c r="G12" s="17">
        <f>+Lançamentos!J81</f>
        <v>-9000</v>
      </c>
      <c r="H12" s="17">
        <f>+Lançamentos!J102</f>
        <v>-12000</v>
      </c>
      <c r="I12" s="17">
        <f>+Lançamentos!J124</f>
        <v>-21000</v>
      </c>
      <c r="J12" s="17">
        <f>Lançamentos!K148</f>
        <v>-30000</v>
      </c>
      <c r="K12" s="17">
        <f>Lançamentos!L173</f>
        <v>-39000</v>
      </c>
      <c r="L12" s="17">
        <f>Lançamentos!L198</f>
        <v>-48000</v>
      </c>
      <c r="M12" s="17">
        <f>Lançamentos!L225</f>
        <v>-57000</v>
      </c>
      <c r="N12" s="18">
        <f>Lançamentos!L255</f>
        <v>-66000</v>
      </c>
    </row>
    <row r="13" spans="2:14" ht="12.75">
      <c r="B13" s="16" t="s">
        <v>6</v>
      </c>
      <c r="C13" s="17">
        <f>+Lançamentos!K8</f>
        <v>20000</v>
      </c>
      <c r="D13" s="17">
        <f>+Lançamentos!K25</f>
        <v>20000</v>
      </c>
      <c r="E13" s="17">
        <f>+Lançamentos!K42</f>
        <v>20000</v>
      </c>
      <c r="F13" s="17">
        <f>+Lançamentos!K61</f>
        <v>20000</v>
      </c>
      <c r="G13" s="17">
        <f>+Lançamentos!K81</f>
        <v>20000</v>
      </c>
      <c r="H13" s="17">
        <f>+Lançamentos!K102</f>
        <v>20000</v>
      </c>
      <c r="I13" s="17">
        <f>+Lançamentos!K124</f>
        <v>20000</v>
      </c>
      <c r="J13" s="17">
        <f>Lançamentos!L148</f>
        <v>20000</v>
      </c>
      <c r="K13" s="17">
        <f>Lançamentos!M173</f>
        <v>20000</v>
      </c>
      <c r="L13" s="17">
        <f>Lançamentos!M198</f>
        <v>20000</v>
      </c>
      <c r="M13" s="17">
        <f>Lançamentos!M225</f>
        <v>70000</v>
      </c>
      <c r="N13" s="18">
        <f>Lançamentos!M255</f>
        <v>70000</v>
      </c>
    </row>
    <row r="14" spans="1:14" s="5" customFormat="1" ht="12.75">
      <c r="A14" s="1"/>
      <c r="B14" s="19" t="s">
        <v>13</v>
      </c>
      <c r="C14" s="20">
        <f aca="true" t="shared" si="0" ref="C14:I14">+SUM(C5:C13)</f>
        <v>280000</v>
      </c>
      <c r="D14" s="20">
        <f t="shared" si="0"/>
        <v>337000</v>
      </c>
      <c r="E14" s="20">
        <f t="shared" si="0"/>
        <v>362000</v>
      </c>
      <c r="F14" s="20">
        <f t="shared" si="0"/>
        <v>397000</v>
      </c>
      <c r="G14" s="20">
        <f t="shared" si="0"/>
        <v>477000</v>
      </c>
      <c r="H14" s="20">
        <f t="shared" si="0"/>
        <v>985000</v>
      </c>
      <c r="I14" s="20">
        <f t="shared" si="0"/>
        <v>967000</v>
      </c>
      <c r="J14" s="20">
        <f>SUM(J5:J13)</f>
        <v>962500</v>
      </c>
      <c r="K14" s="20">
        <f>+SUM(K5:K13)</f>
        <v>1259500</v>
      </c>
      <c r="L14" s="20">
        <f>SUM(L5:L13)</f>
        <v>1228000</v>
      </c>
      <c r="M14" s="20">
        <f>SUM(M5:M13)</f>
        <v>1292700</v>
      </c>
      <c r="N14" s="21">
        <f>+SUM(N5:N13)</f>
        <v>1455700</v>
      </c>
    </row>
    <row r="15" ht="12.75">
      <c r="B15" s="12"/>
    </row>
    <row r="16" spans="2:14" ht="12.75">
      <c r="B16" s="13" t="s">
        <v>14</v>
      </c>
      <c r="C16" s="14">
        <f aca="true" t="shared" si="1" ref="C16:I16">+C4</f>
        <v>39478</v>
      </c>
      <c r="D16" s="14">
        <f t="shared" si="1"/>
        <v>39506</v>
      </c>
      <c r="E16" s="14">
        <f t="shared" si="1"/>
        <v>39538</v>
      </c>
      <c r="F16" s="14">
        <f t="shared" si="1"/>
        <v>39568</v>
      </c>
      <c r="G16" s="14">
        <f t="shared" si="1"/>
        <v>39599</v>
      </c>
      <c r="H16" s="14">
        <f t="shared" si="1"/>
        <v>39629</v>
      </c>
      <c r="I16" s="14">
        <f t="shared" si="1"/>
        <v>39660</v>
      </c>
      <c r="J16" s="14">
        <v>39691</v>
      </c>
      <c r="K16" s="14">
        <v>39721</v>
      </c>
      <c r="L16" s="14">
        <v>39752</v>
      </c>
      <c r="M16" s="14">
        <v>39782</v>
      </c>
      <c r="N16" s="15">
        <v>39813</v>
      </c>
    </row>
    <row r="17" spans="2:14" ht="12.75">
      <c r="B17" s="16" t="s">
        <v>8</v>
      </c>
      <c r="C17" s="17">
        <f>+Lançamentos!L8</f>
        <v>30000</v>
      </c>
      <c r="D17" s="17">
        <f>+Lançamentos!L25</f>
        <v>70000</v>
      </c>
      <c r="E17" s="17">
        <f>+Lançamentos!L42</f>
        <v>90000</v>
      </c>
      <c r="F17" s="17">
        <f>+Lançamentos!L61</f>
        <v>50000</v>
      </c>
      <c r="G17" s="17">
        <f>+Lançamentos!L81</f>
        <v>150000</v>
      </c>
      <c r="H17" s="17">
        <f>+Lançamentos!L102</f>
        <v>200000</v>
      </c>
      <c r="I17" s="17">
        <f>+Lançamentos!L124</f>
        <v>150000</v>
      </c>
      <c r="J17" s="17">
        <f>Lançamentos!M148</f>
        <v>100000</v>
      </c>
      <c r="K17" s="17">
        <f>Lançamentos!N173</f>
        <v>200000</v>
      </c>
      <c r="L17" s="17">
        <f>Lançamentos!N198</f>
        <v>210000</v>
      </c>
      <c r="M17" s="17">
        <f>Lançamentos!N225</f>
        <v>200000</v>
      </c>
      <c r="N17" s="18">
        <f>Lançamentos!N255</f>
        <v>375000</v>
      </c>
    </row>
    <row r="18" spans="2:14" ht="12.75">
      <c r="B18" s="16" t="s">
        <v>57</v>
      </c>
      <c r="C18" s="17">
        <v>0</v>
      </c>
      <c r="D18" s="17">
        <v>0</v>
      </c>
      <c r="E18" s="17">
        <v>0</v>
      </c>
      <c r="F18" s="17">
        <f>+Lançamentos!M61</f>
        <v>15000</v>
      </c>
      <c r="G18" s="17">
        <f>+Lançamentos!M81</f>
        <v>15000</v>
      </c>
      <c r="H18" s="17">
        <f>+Lançamentos!M102</f>
        <v>15000</v>
      </c>
      <c r="I18" s="17">
        <f>+Lançamentos!M124</f>
        <v>15000</v>
      </c>
      <c r="J18" s="17">
        <f>Lançamentos!N148</f>
        <v>15000</v>
      </c>
      <c r="K18" s="17">
        <f>Lançamentos!O173</f>
        <v>23000</v>
      </c>
      <c r="L18" s="17">
        <f>Lançamentos!O198</f>
        <v>23000</v>
      </c>
      <c r="M18" s="17">
        <f>Lançamentos!O225</f>
        <v>7000</v>
      </c>
      <c r="N18" s="18">
        <f>Lançamentos!O255</f>
        <v>10000</v>
      </c>
    </row>
    <row r="19" spans="2:14" ht="12.75">
      <c r="B19" s="16" t="s">
        <v>81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f>Lançamentos!O148</f>
        <v>5000</v>
      </c>
      <c r="K19" s="17">
        <f>Lançamentos!P173</f>
        <v>20000</v>
      </c>
      <c r="L19" s="17">
        <f>Lançamentos!P198</f>
        <v>1000</v>
      </c>
      <c r="M19" s="17">
        <f>Lançamentos!P225</f>
        <v>10000</v>
      </c>
      <c r="N19" s="18">
        <f>Lançamentos!P255</f>
        <v>0</v>
      </c>
    </row>
    <row r="20" spans="2:14" ht="12.75">
      <c r="B20" s="16" t="s">
        <v>9</v>
      </c>
      <c r="C20" s="17">
        <f>+Lançamentos!N8</f>
        <v>150000</v>
      </c>
      <c r="D20" s="17">
        <f>+Lançamentos!N25</f>
        <v>150000</v>
      </c>
      <c r="E20" s="17">
        <f>+Lançamentos!N42</f>
        <v>100000</v>
      </c>
      <c r="F20" s="17">
        <f>+Lançamentos!N61</f>
        <v>100000</v>
      </c>
      <c r="G20" s="17">
        <f>+Lançamentos!N81</f>
        <v>0</v>
      </c>
      <c r="H20" s="17">
        <f>+Lançamentos!N102</f>
        <v>400000</v>
      </c>
      <c r="I20" s="17">
        <f>+Lançamentos!N124</f>
        <v>300000</v>
      </c>
      <c r="J20" s="17">
        <f>Lançamentos!P148</f>
        <v>254000</v>
      </c>
      <c r="K20" s="17">
        <f>Lançamentos!Q173</f>
        <v>264000</v>
      </c>
      <c r="L20" s="17">
        <f>Lançamentos!Q198</f>
        <v>222000</v>
      </c>
      <c r="M20" s="17">
        <f>Lançamentos!Q225</f>
        <v>200000</v>
      </c>
      <c r="N20" s="18">
        <f>Lançamentos!Q255</f>
        <v>158000</v>
      </c>
    </row>
    <row r="21" spans="2:14" ht="12.75">
      <c r="B21" s="16" t="s">
        <v>85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f>Lançamentos!R173</f>
        <v>150000</v>
      </c>
      <c r="L21" s="17">
        <f>Lançamentos!R198</f>
        <v>150000</v>
      </c>
      <c r="M21" s="17">
        <f>Lançamentos!R225</f>
        <v>150000</v>
      </c>
      <c r="N21" s="18">
        <f>Lançamentos!R255</f>
        <v>150000</v>
      </c>
    </row>
    <row r="22" spans="2:14" ht="12.75">
      <c r="B22" s="16" t="s">
        <v>15</v>
      </c>
      <c r="C22" s="17">
        <f>+Lançamentos!O8</f>
        <v>100000</v>
      </c>
      <c r="D22" s="17">
        <f>+Lançamentos!O25</f>
        <v>100000</v>
      </c>
      <c r="E22" s="17">
        <f>+Lançamentos!O42</f>
        <v>100000</v>
      </c>
      <c r="F22" s="17">
        <f>+Lançamentos!O61</f>
        <v>100000</v>
      </c>
      <c r="G22" s="17">
        <f>+Lançamentos!O81</f>
        <v>100000</v>
      </c>
      <c r="H22" s="17">
        <f>+Lançamentos!O102</f>
        <v>100000</v>
      </c>
      <c r="I22" s="17">
        <f>+Lançamentos!O124</f>
        <v>100000</v>
      </c>
      <c r="J22" s="17">
        <f>Lançamentos!Q148</f>
        <v>100000</v>
      </c>
      <c r="K22" s="17">
        <f>Lançamentos!S173</f>
        <v>100000</v>
      </c>
      <c r="L22" s="17">
        <f>Lançamentos!S198</f>
        <v>100000</v>
      </c>
      <c r="M22" s="17">
        <f>Lançamentos!S225</f>
        <v>200000</v>
      </c>
      <c r="N22" s="18">
        <f>Lançamentos!S255</f>
        <v>200000</v>
      </c>
    </row>
    <row r="23" spans="2:14" ht="12.75">
      <c r="B23" s="16" t="s">
        <v>25</v>
      </c>
      <c r="C23" s="17">
        <v>0</v>
      </c>
      <c r="D23" s="17">
        <f>+Lançamentos!P25</f>
        <v>17000</v>
      </c>
      <c r="E23" s="17">
        <f>+Lançamentos!P42</f>
        <v>72000</v>
      </c>
      <c r="F23" s="17">
        <f>+Lançamentos!P61</f>
        <v>132000</v>
      </c>
      <c r="G23" s="17">
        <f>+Lançamentos!P81</f>
        <v>212000</v>
      </c>
      <c r="H23" s="17">
        <f>+Lançamentos!P102</f>
        <v>270000</v>
      </c>
      <c r="I23" s="17">
        <f>+Lançamentos!P124</f>
        <v>402000</v>
      </c>
      <c r="J23" s="17">
        <f>Lançamentos!R148</f>
        <v>488500</v>
      </c>
      <c r="K23" s="17">
        <f>Lançamentos!T173</f>
        <v>502500</v>
      </c>
      <c r="L23" s="17">
        <f>Lançamentos!T198</f>
        <v>522000</v>
      </c>
      <c r="M23" s="17">
        <f>Lançamentos!T225</f>
        <v>525700</v>
      </c>
      <c r="N23" s="18">
        <f>Lançamentos!T255</f>
        <v>562700</v>
      </c>
    </row>
    <row r="24" spans="2:14" ht="12.75">
      <c r="B24" s="19" t="s">
        <v>73</v>
      </c>
      <c r="C24" s="20">
        <f aca="true" t="shared" si="2" ref="C24:I24">+SUM(C17:C23)</f>
        <v>280000</v>
      </c>
      <c r="D24" s="20">
        <f t="shared" si="2"/>
        <v>337000</v>
      </c>
      <c r="E24" s="20">
        <f t="shared" si="2"/>
        <v>362000</v>
      </c>
      <c r="F24" s="20">
        <f t="shared" si="2"/>
        <v>397000</v>
      </c>
      <c r="G24" s="20">
        <f t="shared" si="2"/>
        <v>477000</v>
      </c>
      <c r="H24" s="20">
        <f t="shared" si="2"/>
        <v>985000</v>
      </c>
      <c r="I24" s="20">
        <f t="shared" si="2"/>
        <v>967000</v>
      </c>
      <c r="J24" s="20">
        <f>SUM(J17:J23)</f>
        <v>962500</v>
      </c>
      <c r="K24" s="20">
        <f>+SUM(K17:K23)</f>
        <v>1259500</v>
      </c>
      <c r="L24" s="20">
        <f>SUM(L17:L23)</f>
        <v>1228000</v>
      </c>
      <c r="M24" s="20">
        <f>SUM(M17:M23)</f>
        <v>1292700</v>
      </c>
      <c r="N24" s="21">
        <f>+SUM(N17:N23)</f>
        <v>1455700</v>
      </c>
    </row>
    <row r="26" spans="2:14" ht="12.75">
      <c r="B26" s="13" t="s">
        <v>16</v>
      </c>
      <c r="C26" s="23" t="s">
        <v>62</v>
      </c>
      <c r="D26" s="23" t="s">
        <v>17</v>
      </c>
      <c r="E26" s="23" t="s">
        <v>39</v>
      </c>
      <c r="F26" s="23" t="s">
        <v>58</v>
      </c>
      <c r="G26" s="23" t="s">
        <v>66</v>
      </c>
      <c r="H26" s="23" t="s">
        <v>65</v>
      </c>
      <c r="I26" s="23" t="s">
        <v>71</v>
      </c>
      <c r="J26" s="23" t="s">
        <v>82</v>
      </c>
      <c r="K26" s="23" t="s">
        <v>86</v>
      </c>
      <c r="L26" s="23" t="s">
        <v>89</v>
      </c>
      <c r="M26" s="23" t="s">
        <v>91</v>
      </c>
      <c r="N26" s="53" t="s">
        <v>94</v>
      </c>
    </row>
    <row r="27" spans="1:14" s="5" customFormat="1" ht="12.75">
      <c r="A27" s="1"/>
      <c r="B27" s="24" t="s">
        <v>28</v>
      </c>
      <c r="C27" s="25">
        <v>0</v>
      </c>
      <c r="D27" s="25">
        <f>+Lançamentos!Q17</f>
        <v>60000</v>
      </c>
      <c r="E27" s="25">
        <f>+Lançamentos!Q34</f>
        <v>150000</v>
      </c>
      <c r="F27" s="25">
        <f>+Lançamentos!Q52</f>
        <v>180000</v>
      </c>
      <c r="G27" s="25">
        <f>+Lançamentos!Q71</f>
        <v>250000</v>
      </c>
      <c r="H27" s="25">
        <f>+Lançamentos!Q91</f>
        <v>300000</v>
      </c>
      <c r="I27" s="25">
        <f>+Lançamentos!Q113</f>
        <v>470000</v>
      </c>
      <c r="J27" s="25">
        <f>Lançamentos!S137</f>
        <v>450000</v>
      </c>
      <c r="K27" s="25">
        <f>Lançamentos!U161</f>
        <v>390000</v>
      </c>
      <c r="L27" s="25">
        <f>Lançamentos!U185</f>
        <v>400000</v>
      </c>
      <c r="M27" s="25">
        <f>Lançamentos!U211</f>
        <v>405000</v>
      </c>
      <c r="N27" s="26">
        <f>Lançamentos!U239+Lançamentos!U243</f>
        <v>910000</v>
      </c>
    </row>
    <row r="28" spans="2:14" ht="12.75">
      <c r="B28" s="16" t="s">
        <v>29</v>
      </c>
      <c r="C28" s="17">
        <f>+Lançamentos!N14</f>
        <v>0</v>
      </c>
      <c r="D28" s="17">
        <f>+Lançamentos!Q18</f>
        <v>-40000</v>
      </c>
      <c r="E28" s="17">
        <f>+Lançamentos!Q35</f>
        <v>-90000</v>
      </c>
      <c r="F28" s="17">
        <f>+Lançamentos!Q53</f>
        <v>-100000</v>
      </c>
      <c r="G28" s="17">
        <f>+Lançamentos!Q72</f>
        <v>-150000</v>
      </c>
      <c r="H28" s="17">
        <f>+Lançamentos!Q92</f>
        <v>-200000</v>
      </c>
      <c r="I28" s="17">
        <f>+Lançamentos!Q114</f>
        <v>-300000</v>
      </c>
      <c r="J28" s="17">
        <f>Lançamentos!S136</f>
        <v>-330000</v>
      </c>
      <c r="K28" s="17">
        <f>Lançamentos!U160</f>
        <v>-320000</v>
      </c>
      <c r="L28" s="17">
        <f>Lançamentos!U184</f>
        <v>-340000</v>
      </c>
      <c r="M28" s="17">
        <f>Lançamentos!U210</f>
        <v>-350000</v>
      </c>
      <c r="N28" s="18">
        <f>Lançamentos!U242+Lançamentos!U238</f>
        <v>-779000</v>
      </c>
    </row>
    <row r="29" spans="1:14" s="5" customFormat="1" ht="12.75">
      <c r="A29" s="1"/>
      <c r="B29" s="24" t="s">
        <v>30</v>
      </c>
      <c r="C29" s="25">
        <f aca="true" t="shared" si="3" ref="C29:N29">+SUM(C27:C28)</f>
        <v>0</v>
      </c>
      <c r="D29" s="25">
        <f t="shared" si="3"/>
        <v>20000</v>
      </c>
      <c r="E29" s="25">
        <f t="shared" si="3"/>
        <v>60000</v>
      </c>
      <c r="F29" s="25">
        <f t="shared" si="3"/>
        <v>80000</v>
      </c>
      <c r="G29" s="25">
        <f t="shared" si="3"/>
        <v>100000</v>
      </c>
      <c r="H29" s="25">
        <f t="shared" si="3"/>
        <v>100000</v>
      </c>
      <c r="I29" s="25">
        <f t="shared" si="3"/>
        <v>170000</v>
      </c>
      <c r="J29" s="25">
        <f>J27+J28</f>
        <v>120000</v>
      </c>
      <c r="K29" s="25">
        <f t="shared" si="3"/>
        <v>70000</v>
      </c>
      <c r="L29" s="25">
        <f>L27+L28</f>
        <v>60000</v>
      </c>
      <c r="M29" s="25">
        <f>M27+M28</f>
        <v>55000</v>
      </c>
      <c r="N29" s="26">
        <f t="shared" si="3"/>
        <v>131000</v>
      </c>
    </row>
    <row r="30" spans="2:14" ht="12.75">
      <c r="B30" s="16" t="s">
        <v>31</v>
      </c>
      <c r="C30" s="17">
        <v>0</v>
      </c>
      <c r="D30" s="17">
        <v>0</v>
      </c>
      <c r="E30" s="17"/>
      <c r="F30" s="17">
        <f>+Lançamentos!Q58</f>
        <v>-10000</v>
      </c>
      <c r="G30" s="17">
        <f>+Lançamentos!Q78</f>
        <v>-10000</v>
      </c>
      <c r="H30" s="17">
        <f>+Lançamentos!Q96</f>
        <v>-10000</v>
      </c>
      <c r="I30" s="17">
        <f>+Lançamentos!Q117</f>
        <v>-10000</v>
      </c>
      <c r="J30" s="17">
        <f>Lançamentos!S140</f>
        <v>-10000</v>
      </c>
      <c r="K30" s="17">
        <f>Lançamentos!U164</f>
        <v>-15000</v>
      </c>
      <c r="L30" s="17">
        <f>Lançamentos!U188</f>
        <v>-15000</v>
      </c>
      <c r="M30" s="17">
        <f>Lançamentos!U214</f>
        <v>-15000</v>
      </c>
      <c r="N30" s="18">
        <f>Lançamentos!U245</f>
        <v>-18000</v>
      </c>
    </row>
    <row r="31" spans="2:14" ht="12.75">
      <c r="B31" s="16" t="s">
        <v>32</v>
      </c>
      <c r="C31" s="17">
        <v>0</v>
      </c>
      <c r="D31" s="17">
        <v>0</v>
      </c>
      <c r="E31" s="17"/>
      <c r="F31" s="17">
        <f>+Lançamentos!Q59</f>
        <v>-5000</v>
      </c>
      <c r="G31" s="17">
        <f>+Lançamentos!Q79</f>
        <v>-5000</v>
      </c>
      <c r="H31" s="17">
        <f>+Lançamentos!Q97</f>
        <v>-5000</v>
      </c>
      <c r="I31" s="17">
        <f>+Lançamentos!Q118</f>
        <v>-5000</v>
      </c>
      <c r="J31" s="17">
        <f>Lançamentos!S141</f>
        <v>-5000</v>
      </c>
      <c r="K31" s="17">
        <f>Lançamentos!U165</f>
        <v>-8000</v>
      </c>
      <c r="L31" s="17">
        <f>Lançamentos!U189</f>
        <v>-8000</v>
      </c>
      <c r="M31" s="17">
        <f>Lançamentos!U215</f>
        <v>-10000</v>
      </c>
      <c r="N31" s="18">
        <f>Lançamentos!U246</f>
        <v>-10000</v>
      </c>
    </row>
    <row r="32" spans="2:14" ht="12.75">
      <c r="B32" s="16" t="s">
        <v>40</v>
      </c>
      <c r="C32" s="17">
        <v>0</v>
      </c>
      <c r="D32" s="17">
        <v>0</v>
      </c>
      <c r="E32" s="17">
        <f>+Lançamentos!Q40</f>
        <v>-3000</v>
      </c>
      <c r="F32" s="17">
        <f>+Lançamentos!Q57</f>
        <v>-3000</v>
      </c>
      <c r="G32" s="17">
        <f>+Lançamentos!Q77</f>
        <v>-3000</v>
      </c>
      <c r="H32" s="17">
        <f>+Lançamentos!Q95</f>
        <v>-3000</v>
      </c>
      <c r="I32" s="17">
        <f>+Lançamentos!Q116</f>
        <v>-9000</v>
      </c>
      <c r="J32" s="17">
        <f>Lançamentos!S139</f>
        <v>-9000</v>
      </c>
      <c r="K32" s="17">
        <f>Lançamentos!U163</f>
        <v>-9000</v>
      </c>
      <c r="L32" s="17">
        <f>Lançamentos!U187</f>
        <v>-9000</v>
      </c>
      <c r="M32" s="17">
        <f>Lançamentos!U213</f>
        <v>-9000</v>
      </c>
      <c r="N32" s="18">
        <f>Lançamentos!U244</f>
        <v>-9000</v>
      </c>
    </row>
    <row r="33" spans="2:14" ht="12.75">
      <c r="B33" s="16" t="s">
        <v>83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f>Lançamentos!S143</f>
        <v>-500</v>
      </c>
      <c r="K33" s="17">
        <f>Lançamentos!U166</f>
        <v>-500</v>
      </c>
      <c r="L33" s="17">
        <f>Lançamentos!U190</f>
        <v>-500</v>
      </c>
      <c r="M33" s="17">
        <f>Lançamentos!U216</f>
        <v>-500</v>
      </c>
      <c r="N33" s="18">
        <f>Lançamentos!U250</f>
        <v>-500</v>
      </c>
    </row>
    <row r="34" spans="2:14" ht="12.75">
      <c r="B34" s="16" t="s">
        <v>33</v>
      </c>
      <c r="C34" s="17">
        <v>0</v>
      </c>
      <c r="D34" s="17">
        <f>+Lançamentos!Q22</f>
        <v>-3000</v>
      </c>
      <c r="E34" s="17">
        <f>+Lançamentos!Q37</f>
        <v>-2000</v>
      </c>
      <c r="F34" s="17">
        <f>+Lançamentos!Q55</f>
        <v>-2000</v>
      </c>
      <c r="G34" s="17">
        <f>+Lançamentos!Q74</f>
        <v>-2000</v>
      </c>
      <c r="H34" s="17">
        <v>0</v>
      </c>
      <c r="I34" s="17">
        <f>+Lançamentos!Q119</f>
        <v>-4000</v>
      </c>
      <c r="J34" s="17">
        <f>Lançamentos!S142</f>
        <v>-4000</v>
      </c>
      <c r="K34" s="17">
        <f>Lançamentos!U170+Lançamentos!U169</f>
        <v>-10500</v>
      </c>
      <c r="L34" s="17">
        <f>Lançamentos!U194+Lançamentos!U193</f>
        <v>-9000</v>
      </c>
      <c r="M34" s="17">
        <f>Lançamentos!U220+Lançamentos!U219</f>
        <v>-8800</v>
      </c>
      <c r="N34" s="18">
        <f>Lançamentos!U251+Lançamentos!U250</f>
        <v>-8500</v>
      </c>
    </row>
    <row r="35" spans="2:14" ht="12.75">
      <c r="B35" s="16" t="s">
        <v>87</v>
      </c>
      <c r="C35" s="17">
        <f>+Lançamentos!O14</f>
        <v>0</v>
      </c>
      <c r="D35" s="17"/>
      <c r="E35" s="17"/>
      <c r="F35" s="17"/>
      <c r="G35" s="17"/>
      <c r="H35" s="17"/>
      <c r="I35" s="17"/>
      <c r="J35" s="17"/>
      <c r="K35" s="17">
        <f>Lançamentos!U167</f>
        <v>2000</v>
      </c>
      <c r="L35" s="17">
        <f>Lançamentos!U191</f>
        <v>2000</v>
      </c>
      <c r="M35" s="17">
        <f>Lançamentos!U217</f>
        <v>2000</v>
      </c>
      <c r="N35" s="18">
        <f>Lançamentos!U248</f>
        <v>2000</v>
      </c>
    </row>
    <row r="36" spans="2:14" ht="12.75">
      <c r="B36" s="19" t="s">
        <v>42</v>
      </c>
      <c r="C36" s="20">
        <f>+SUM(C27:C35)</f>
        <v>0</v>
      </c>
      <c r="D36" s="20">
        <f aca="true" t="shared" si="4" ref="D36:I36">+SUM(D29:D35)</f>
        <v>17000</v>
      </c>
      <c r="E36" s="20">
        <f t="shared" si="4"/>
        <v>55000</v>
      </c>
      <c r="F36" s="20">
        <f t="shared" si="4"/>
        <v>60000</v>
      </c>
      <c r="G36" s="20">
        <f t="shared" si="4"/>
        <v>80000</v>
      </c>
      <c r="H36" s="20">
        <f t="shared" si="4"/>
        <v>82000</v>
      </c>
      <c r="I36" s="20">
        <f t="shared" si="4"/>
        <v>142000</v>
      </c>
      <c r="J36" s="20">
        <f>SUM(J29:J34)</f>
        <v>91500</v>
      </c>
      <c r="K36" s="20">
        <f>K29+SUM(K30:K35)</f>
        <v>29000</v>
      </c>
      <c r="L36" s="20">
        <f>SUM(L29:L35)</f>
        <v>20500</v>
      </c>
      <c r="M36" s="20">
        <f>SUM(M29:M35)</f>
        <v>13700</v>
      </c>
      <c r="N36" s="21">
        <f>+SUM(N29:N35)</f>
        <v>87000</v>
      </c>
    </row>
    <row r="38" spans="2:14" ht="12.75">
      <c r="B38" s="13" t="s">
        <v>41</v>
      </c>
      <c r="C38" s="22" t="str">
        <f aca="true" t="shared" si="5" ref="C38:J38">+C26</f>
        <v>JAN 08</v>
      </c>
      <c r="D38" s="22" t="str">
        <f t="shared" si="5"/>
        <v>FEV 08</v>
      </c>
      <c r="E38" s="22" t="str">
        <f t="shared" si="5"/>
        <v>MAR 08</v>
      </c>
      <c r="F38" s="22" t="str">
        <f t="shared" si="5"/>
        <v>ABR 08</v>
      </c>
      <c r="G38" s="22" t="str">
        <f t="shared" si="5"/>
        <v>MAI 08</v>
      </c>
      <c r="H38" s="22" t="str">
        <f t="shared" si="5"/>
        <v>JUN 08</v>
      </c>
      <c r="I38" s="22" t="str">
        <f t="shared" si="5"/>
        <v>JUL 08</v>
      </c>
      <c r="J38" s="22" t="str">
        <f t="shared" si="5"/>
        <v>AGO 08</v>
      </c>
      <c r="K38" s="22" t="str">
        <f>+K26</f>
        <v>SET 08</v>
      </c>
      <c r="L38" s="22" t="str">
        <f>+L26</f>
        <v>OUT 08</v>
      </c>
      <c r="M38" s="22" t="str">
        <f>+M26</f>
        <v>NOV 08</v>
      </c>
      <c r="N38" s="53" t="s">
        <v>94</v>
      </c>
    </row>
    <row r="39" spans="2:15" ht="12.75">
      <c r="B39" s="39" t="s">
        <v>43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38"/>
      <c r="O39" s="5"/>
    </row>
    <row r="40" spans="2:14" ht="12.75" outlineLevel="1">
      <c r="B40" s="16" t="s">
        <v>54</v>
      </c>
      <c r="C40" s="17"/>
      <c r="D40" s="17">
        <f>+Lançamentos!D17</f>
        <v>50000</v>
      </c>
      <c r="E40" s="17">
        <f>10000+130000</f>
        <v>140000</v>
      </c>
      <c r="F40" s="17">
        <f>20000+130000</f>
        <v>150000</v>
      </c>
      <c r="G40" s="17">
        <f>200000+50000</f>
        <v>250000</v>
      </c>
      <c r="H40" s="17">
        <f>+Lançamentos!D90+Lançamentos!D91</f>
        <v>250000</v>
      </c>
      <c r="I40" s="17">
        <f>+Lançamentos!D111+Lançamentos!D113</f>
        <v>490000</v>
      </c>
      <c r="J40" s="17">
        <f>Lançamentos!D137+Lançamentos!D134</f>
        <v>480000</v>
      </c>
      <c r="K40" s="17">
        <f>Lançamentos!D161+Lançamentos!D158+Lançamentos!D169</f>
        <v>344500</v>
      </c>
      <c r="L40" s="17">
        <f>Lançamentos!D182+Lançamentos!D185+Lançamentos!D193</f>
        <v>354000</v>
      </c>
      <c r="M40" s="17">
        <f>Lançamentos!D208+Lançamentos!D211+Lançamentos!D219</f>
        <v>422200</v>
      </c>
      <c r="N40" s="18">
        <f>Lançamentos!D236+Lançamentos!D239+Lançamentos!D243+Lançamentos!D250</f>
        <v>786500</v>
      </c>
    </row>
    <row r="41" spans="2:14" ht="12.75" outlineLevel="1">
      <c r="B41" s="16" t="s">
        <v>50</v>
      </c>
      <c r="C41" s="17">
        <f>+Lançamentos!D6</f>
        <v>-20000</v>
      </c>
      <c r="D41" s="17">
        <f>+Lançamentos!D19+Lançamentos!D20</f>
        <v>-40000</v>
      </c>
      <c r="E41" s="17">
        <f>-70000-10000</f>
        <v>-80000</v>
      </c>
      <c r="F41" s="17">
        <f>-90000-100000</f>
        <v>-190000</v>
      </c>
      <c r="G41" s="17">
        <f>-50000-50000</f>
        <v>-100000</v>
      </c>
      <c r="H41" s="17">
        <f>-150000+Lançamentos!D94</f>
        <v>-250000</v>
      </c>
      <c r="I41" s="17">
        <f>-200000+Lançamentos!D115</f>
        <v>-380000</v>
      </c>
      <c r="J41" s="17">
        <f>Lançamentos!M135+Lançamentos!D138</f>
        <v>-370000</v>
      </c>
      <c r="K41" s="17">
        <f>Lançamentos!D162</f>
        <v>-140000</v>
      </c>
      <c r="L41" s="17">
        <f>Lançamentos!D186+Lançamentos!N183</f>
        <v>-340000</v>
      </c>
      <c r="M41" s="17">
        <f>Lançamentos!D212+Lançamentos!N209</f>
        <v>-370000</v>
      </c>
      <c r="N41" s="18">
        <f>Lançamentos!N237+Lançamentos!D240</f>
        <v>-400000</v>
      </c>
    </row>
    <row r="42" spans="2:14" ht="12.75" outlineLevel="1">
      <c r="B42" s="16" t="s">
        <v>63</v>
      </c>
      <c r="C42" s="17"/>
      <c r="D42" s="17"/>
      <c r="E42" s="17"/>
      <c r="F42" s="17"/>
      <c r="G42" s="17">
        <f>+Lançamentos!M73</f>
        <v>-15000</v>
      </c>
      <c r="H42" s="17">
        <v>-15000</v>
      </c>
      <c r="I42" s="17">
        <f>-15000+Lançamentos!D120</f>
        <v>-21000</v>
      </c>
      <c r="J42" s="17">
        <f>Lançamentos!N135</f>
        <v>-15000</v>
      </c>
      <c r="K42" s="17">
        <f>Lançamentos!D159</f>
        <v>-115000</v>
      </c>
      <c r="L42" s="17">
        <f>Lançamentos!O183</f>
        <v>-23000</v>
      </c>
      <c r="M42" s="17">
        <f>Lançamentos!O209</f>
        <v>-41000</v>
      </c>
      <c r="N42" s="18">
        <f>Lançamentos!O237</f>
        <v>-25000</v>
      </c>
    </row>
    <row r="43" spans="2:14" ht="12.75" outlineLevel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/>
    </row>
    <row r="44" spans="2:15" ht="12.75">
      <c r="B44" s="19" t="s">
        <v>46</v>
      </c>
      <c r="C44" s="20">
        <f aca="true" t="shared" si="6" ref="C44:K44">+SUM(C39:C43)</f>
        <v>-20000</v>
      </c>
      <c r="D44" s="20">
        <f t="shared" si="6"/>
        <v>10000</v>
      </c>
      <c r="E44" s="20">
        <f t="shared" si="6"/>
        <v>60000</v>
      </c>
      <c r="F44" s="20">
        <f t="shared" si="6"/>
        <v>-40000</v>
      </c>
      <c r="G44" s="20">
        <f t="shared" si="6"/>
        <v>135000</v>
      </c>
      <c r="H44" s="20">
        <f t="shared" si="6"/>
        <v>-15000</v>
      </c>
      <c r="I44" s="20">
        <f t="shared" si="6"/>
        <v>89000</v>
      </c>
      <c r="J44" s="20">
        <f>SUM(J40:J42)</f>
        <v>95000</v>
      </c>
      <c r="K44" s="20">
        <f t="shared" si="6"/>
        <v>89500</v>
      </c>
      <c r="L44" s="20">
        <f>SUM(L40:L42)</f>
        <v>-9000</v>
      </c>
      <c r="M44" s="20">
        <f>SUM(M40:M42)</f>
        <v>11200</v>
      </c>
      <c r="N44" s="21">
        <f>SUM(N40:N42)</f>
        <v>361500</v>
      </c>
      <c r="O44" s="5"/>
    </row>
    <row r="45" spans="2:15" ht="12.75">
      <c r="B45" s="39" t="s">
        <v>44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38"/>
      <c r="O45" s="5"/>
    </row>
    <row r="46" spans="2:15" ht="12.75" outlineLevel="1">
      <c r="B46" s="16" t="s">
        <v>49</v>
      </c>
      <c r="C46" s="17">
        <f>+Lançamentos!D5</f>
        <v>-20000</v>
      </c>
      <c r="D46" s="17">
        <f>+Lançamentos!D21</f>
        <v>-180000</v>
      </c>
      <c r="E46" s="25"/>
      <c r="F46" s="25"/>
      <c r="G46" s="25"/>
      <c r="H46" s="17">
        <f>+Lançamentos!D99</f>
        <v>-360000</v>
      </c>
      <c r="I46" s="25"/>
      <c r="J46" s="25"/>
      <c r="K46" s="25"/>
      <c r="L46" s="25"/>
      <c r="M46" s="25"/>
      <c r="N46" s="26"/>
      <c r="O46" s="5"/>
    </row>
    <row r="47" spans="2:15" ht="12.75" outlineLevel="1"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6"/>
      <c r="O47" s="5"/>
    </row>
    <row r="48" spans="2:15" ht="12.75" outlineLevel="1"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/>
      <c r="O48" s="5"/>
    </row>
    <row r="49" spans="2:15" ht="12.75" outlineLevel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6"/>
      <c r="O49" s="5"/>
    </row>
    <row r="50" spans="2:15" ht="12.75">
      <c r="B50" s="19" t="s">
        <v>46</v>
      </c>
      <c r="C50" s="20">
        <f aca="true" t="shared" si="7" ref="C50:K50">+SUM(C46:C49)</f>
        <v>-20000</v>
      </c>
      <c r="D50" s="20">
        <f t="shared" si="7"/>
        <v>-180000</v>
      </c>
      <c r="E50" s="20">
        <f t="shared" si="7"/>
        <v>0</v>
      </c>
      <c r="F50" s="20">
        <f t="shared" si="7"/>
        <v>0</v>
      </c>
      <c r="G50" s="20">
        <f t="shared" si="7"/>
        <v>0</v>
      </c>
      <c r="H50" s="20">
        <f t="shared" si="7"/>
        <v>-360000</v>
      </c>
      <c r="I50" s="20">
        <f>SUM(I45:I49)</f>
        <v>0</v>
      </c>
      <c r="J50" s="20">
        <f>SUM(J45:J49)</f>
        <v>0</v>
      </c>
      <c r="K50" s="20">
        <f t="shared" si="7"/>
        <v>0</v>
      </c>
      <c r="L50" s="20">
        <v>0</v>
      </c>
      <c r="M50" s="20">
        <v>0</v>
      </c>
      <c r="N50" s="21">
        <v>0</v>
      </c>
      <c r="O50" s="5"/>
    </row>
    <row r="51" spans="2:15" ht="12.75">
      <c r="B51" s="40" t="s">
        <v>45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6"/>
      <c r="O51" s="5"/>
    </row>
    <row r="52" spans="2:14" ht="12.75" outlineLevel="1">
      <c r="B52" s="16" t="s">
        <v>48</v>
      </c>
      <c r="C52" s="17">
        <f>+Lançamentos!D4</f>
        <v>100000</v>
      </c>
      <c r="D52" s="17"/>
      <c r="E52" s="17"/>
      <c r="F52" s="17"/>
      <c r="G52" s="17"/>
      <c r="H52" s="17"/>
      <c r="I52" s="17"/>
      <c r="J52" s="17"/>
      <c r="K52" s="17"/>
      <c r="L52" s="17"/>
      <c r="M52" s="17">
        <f>Lançamentos!D222</f>
        <v>50000</v>
      </c>
      <c r="N52" s="18"/>
    </row>
    <row r="53" spans="2:14" ht="12.75" outlineLevel="1">
      <c r="B53" s="16" t="s">
        <v>84</v>
      </c>
      <c r="C53" s="17"/>
      <c r="D53" s="17"/>
      <c r="E53" s="17"/>
      <c r="F53" s="17"/>
      <c r="G53" s="17"/>
      <c r="H53" s="17"/>
      <c r="I53" s="17"/>
      <c r="J53" s="17">
        <f>Lançamentos!D145</f>
        <v>-40000</v>
      </c>
      <c r="N53" s="18"/>
    </row>
    <row r="54" spans="2:14" ht="12.75" outlineLevel="1">
      <c r="B54" s="16" t="s">
        <v>51</v>
      </c>
      <c r="C54" s="17">
        <f>+Lançamentos!D7</f>
        <v>150000</v>
      </c>
      <c r="D54" s="17"/>
      <c r="E54" s="17">
        <v>-50000</v>
      </c>
      <c r="F54" s="17"/>
      <c r="G54" s="17">
        <v>-100000</v>
      </c>
      <c r="H54" s="17">
        <f>+Lançamentos!D98</f>
        <v>400000</v>
      </c>
      <c r="I54" s="17">
        <f>+Lançamentos!D121</f>
        <v>-100000</v>
      </c>
      <c r="J54" s="17">
        <f>Lançamentos!D144</f>
        <v>-50000</v>
      </c>
      <c r="K54" s="1">
        <f>Lançamentos!D168</f>
        <v>150000</v>
      </c>
      <c r="L54" s="1">
        <f>Lançamentos!D192</f>
        <v>-50000</v>
      </c>
      <c r="M54" s="1">
        <f>Lançamentos!Q218</f>
        <v>-30000</v>
      </c>
      <c r="N54" s="18">
        <f>Lançamentos!D249</f>
        <v>-50000</v>
      </c>
    </row>
    <row r="55" spans="2:14" ht="12.75" outlineLevel="1">
      <c r="B55" s="16" t="s">
        <v>55</v>
      </c>
      <c r="C55" s="17"/>
      <c r="D55" s="17">
        <f>+Lançamentos!Q22</f>
        <v>-3000</v>
      </c>
      <c r="E55" s="17">
        <v>-2000</v>
      </c>
      <c r="F55" s="17">
        <v>-2000</v>
      </c>
      <c r="G55" s="17">
        <v>-2000</v>
      </c>
      <c r="H55" s="17"/>
      <c r="I55" s="17">
        <f>+Lançamentos!D119</f>
        <v>-4000</v>
      </c>
      <c r="J55" s="17"/>
      <c r="K55" s="17"/>
      <c r="L55" s="17"/>
      <c r="M55" s="17"/>
      <c r="N55" s="18"/>
    </row>
    <row r="56" spans="2:14" ht="12.75" outlineLevel="1">
      <c r="B56" s="16" t="s">
        <v>67</v>
      </c>
      <c r="C56" s="17"/>
      <c r="D56" s="17"/>
      <c r="E56" s="17"/>
      <c r="F56" s="17"/>
      <c r="G56" s="17"/>
      <c r="H56" s="17">
        <f>+Lançamentos!D100</f>
        <v>-24000</v>
      </c>
      <c r="I56" s="17">
        <f>+Lançamentos!D122</f>
        <v>-10000</v>
      </c>
      <c r="J56" s="17"/>
      <c r="K56" s="17"/>
      <c r="L56" s="17">
        <f>Lançamentos!D195</f>
        <v>-20000</v>
      </c>
      <c r="M56" s="17">
        <f>Lançamentos!D221</f>
        <v>-1000</v>
      </c>
      <c r="N56" s="18">
        <f>Lançamentos!D253+Lançamentos!D252</f>
        <v>-60000</v>
      </c>
    </row>
    <row r="57" spans="2:14" ht="12.75" outlineLevel="1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8"/>
    </row>
    <row r="58" spans="2:15" ht="12.75">
      <c r="B58" s="19" t="s">
        <v>46</v>
      </c>
      <c r="C58" s="20">
        <f aca="true" t="shared" si="8" ref="C58:K58">+SUM(C52:C57)</f>
        <v>250000</v>
      </c>
      <c r="D58" s="20">
        <f t="shared" si="8"/>
        <v>-3000</v>
      </c>
      <c r="E58" s="20">
        <f t="shared" si="8"/>
        <v>-52000</v>
      </c>
      <c r="F58" s="20">
        <f t="shared" si="8"/>
        <v>-2000</v>
      </c>
      <c r="G58" s="20">
        <f t="shared" si="8"/>
        <v>-102000</v>
      </c>
      <c r="H58" s="20">
        <f t="shared" si="8"/>
        <v>376000</v>
      </c>
      <c r="I58" s="20">
        <f t="shared" si="8"/>
        <v>-114000</v>
      </c>
      <c r="J58" s="20">
        <f>SUM(J52:J56)</f>
        <v>-90000</v>
      </c>
      <c r="K58" s="20">
        <f t="shared" si="8"/>
        <v>150000</v>
      </c>
      <c r="L58" s="20">
        <f>SUM(L52:L57)</f>
        <v>-70000</v>
      </c>
      <c r="M58" s="20">
        <f>SUM(M52:M56)</f>
        <v>19000</v>
      </c>
      <c r="N58" s="21">
        <f>SUM(N52:N57)</f>
        <v>-110000</v>
      </c>
      <c r="O58" s="5"/>
    </row>
    <row r="60" spans="1:14" s="5" customFormat="1" ht="12.75">
      <c r="A60" s="1"/>
      <c r="B60" s="41" t="s">
        <v>47</v>
      </c>
      <c r="C60" s="42">
        <f aca="true" t="shared" si="9" ref="C60:I60">+C44+C50+C58</f>
        <v>210000</v>
      </c>
      <c r="D60" s="42">
        <f t="shared" si="9"/>
        <v>-173000</v>
      </c>
      <c r="E60" s="42">
        <f t="shared" si="9"/>
        <v>8000</v>
      </c>
      <c r="F60" s="42">
        <f t="shared" si="9"/>
        <v>-42000</v>
      </c>
      <c r="G60" s="42">
        <f t="shared" si="9"/>
        <v>33000</v>
      </c>
      <c r="H60" s="42">
        <f t="shared" si="9"/>
        <v>1000</v>
      </c>
      <c r="I60" s="42">
        <f t="shared" si="9"/>
        <v>-25000</v>
      </c>
      <c r="J60" s="42">
        <f>J44+J58</f>
        <v>5000</v>
      </c>
      <c r="K60" s="42">
        <f>+K44+K50+K58</f>
        <v>239500</v>
      </c>
      <c r="L60" s="42">
        <f>L44+L58</f>
        <v>-79000</v>
      </c>
      <c r="M60" s="42">
        <f>M44+M58</f>
        <v>30200</v>
      </c>
      <c r="N60" s="43">
        <f>N44+N50+N58</f>
        <v>251500</v>
      </c>
    </row>
    <row r="62" spans="2:14" ht="12.75">
      <c r="B62" s="44" t="s">
        <v>52</v>
      </c>
      <c r="C62" s="45">
        <v>0</v>
      </c>
      <c r="D62" s="45">
        <f aca="true" t="shared" si="10" ref="D62:I62">+C63</f>
        <v>210000</v>
      </c>
      <c r="E62" s="45">
        <f t="shared" si="10"/>
        <v>37000</v>
      </c>
      <c r="F62" s="45">
        <f t="shared" si="10"/>
        <v>45000</v>
      </c>
      <c r="G62" s="45">
        <f t="shared" si="10"/>
        <v>3000</v>
      </c>
      <c r="H62" s="45">
        <f t="shared" si="10"/>
        <v>36000</v>
      </c>
      <c r="I62" s="45">
        <f t="shared" si="10"/>
        <v>37000</v>
      </c>
      <c r="J62" s="45">
        <v>12000</v>
      </c>
      <c r="K62" s="45">
        <v>17000</v>
      </c>
      <c r="L62" s="45">
        <f>K63</f>
        <v>256500</v>
      </c>
      <c r="M62" s="45">
        <f>L63</f>
        <v>177500</v>
      </c>
      <c r="N62" s="46">
        <f>M63</f>
        <v>207700</v>
      </c>
    </row>
    <row r="63" spans="2:14" ht="12.75">
      <c r="B63" s="47" t="s">
        <v>53</v>
      </c>
      <c r="C63" s="36">
        <f>+C5</f>
        <v>210000</v>
      </c>
      <c r="D63" s="36">
        <f>+D5</f>
        <v>37000</v>
      </c>
      <c r="E63" s="36">
        <f aca="true" t="shared" si="11" ref="E63:J63">+E62+E60</f>
        <v>45000</v>
      </c>
      <c r="F63" s="36">
        <f t="shared" si="11"/>
        <v>3000</v>
      </c>
      <c r="G63" s="36">
        <f t="shared" si="11"/>
        <v>36000</v>
      </c>
      <c r="H63" s="36">
        <f t="shared" si="11"/>
        <v>37000</v>
      </c>
      <c r="I63" s="36">
        <f t="shared" si="11"/>
        <v>12000</v>
      </c>
      <c r="J63" s="36">
        <f t="shared" si="11"/>
        <v>17000</v>
      </c>
      <c r="K63" s="36">
        <f>K60+K62</f>
        <v>256500</v>
      </c>
      <c r="L63" s="36">
        <f>L62+L60</f>
        <v>177500</v>
      </c>
      <c r="M63" s="36">
        <f>M62+M60</f>
        <v>207700</v>
      </c>
      <c r="N63" s="37">
        <f>N62+N60</f>
        <v>459200</v>
      </c>
    </row>
    <row r="65" spans="3:14" ht="12.75">
      <c r="C65" s="1">
        <f>+C62+C60-C63</f>
        <v>0</v>
      </c>
      <c r="D65" s="1">
        <f aca="true" t="shared" si="12" ref="D65:N65">+D62+D60-D63</f>
        <v>0</v>
      </c>
      <c r="E65" s="1">
        <f t="shared" si="12"/>
        <v>0</v>
      </c>
      <c r="F65" s="1">
        <f t="shared" si="12"/>
        <v>0</v>
      </c>
      <c r="G65" s="1">
        <f t="shared" si="12"/>
        <v>0</v>
      </c>
      <c r="H65" s="1">
        <f t="shared" si="12"/>
        <v>0</v>
      </c>
      <c r="I65" s="1">
        <f t="shared" si="12"/>
        <v>0</v>
      </c>
      <c r="K65" s="1">
        <f t="shared" si="12"/>
        <v>0</v>
      </c>
      <c r="N65" s="1">
        <f t="shared" si="12"/>
        <v>0</v>
      </c>
    </row>
    <row r="67" spans="2:9" ht="12.75">
      <c r="B67" s="1" t="s">
        <v>72</v>
      </c>
      <c r="C67" s="1">
        <f>+SUM(C17:C20)</f>
        <v>180000</v>
      </c>
      <c r="D67" s="1">
        <f aca="true" t="shared" si="13" ref="D67:I67">+SUM(D17:D20)</f>
        <v>220000</v>
      </c>
      <c r="E67" s="1">
        <f t="shared" si="13"/>
        <v>190000</v>
      </c>
      <c r="F67" s="1">
        <f t="shared" si="13"/>
        <v>165000</v>
      </c>
      <c r="G67" s="1">
        <f t="shared" si="13"/>
        <v>165000</v>
      </c>
      <c r="H67" s="1">
        <f t="shared" si="13"/>
        <v>615000</v>
      </c>
      <c r="I67" s="1">
        <f t="shared" si="13"/>
        <v>465000</v>
      </c>
    </row>
  </sheetData>
  <sheetProtection/>
  <mergeCells count="1">
    <mergeCell ref="B2:N2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6.00390625" style="0" bestFit="1" customWidth="1"/>
    <col min="2" max="2" width="11.421875" style="0" bestFit="1" customWidth="1"/>
    <col min="3" max="3" width="10.57421875" style="0" bestFit="1" customWidth="1"/>
    <col min="4" max="4" width="14.28125" style="0" bestFit="1" customWidth="1"/>
    <col min="5" max="5" width="11.421875" style="0" bestFit="1" customWidth="1"/>
    <col min="6" max="6" width="10.57421875" style="0" bestFit="1" customWidth="1"/>
    <col min="7" max="7" width="14.28125" style="0" bestFit="1" customWidth="1"/>
    <col min="8" max="8" width="11.421875" style="0" bestFit="1" customWidth="1"/>
    <col min="9" max="9" width="11.421875" style="0" customWidth="1"/>
    <col min="10" max="10" width="14.28125" style="0" bestFit="1" customWidth="1"/>
  </cols>
  <sheetData>
    <row r="1" spans="1:10" ht="15.75" thickBot="1">
      <c r="A1" s="97" t="s">
        <v>95</v>
      </c>
      <c r="B1" s="99" t="s">
        <v>96</v>
      </c>
      <c r="C1" s="100"/>
      <c r="D1" s="101"/>
      <c r="E1" s="99" t="s">
        <v>97</v>
      </c>
      <c r="F1" s="100"/>
      <c r="G1" s="101"/>
      <c r="H1" s="102" t="s">
        <v>98</v>
      </c>
      <c r="I1" s="103"/>
      <c r="J1" s="101"/>
    </row>
    <row r="2" spans="1:10" ht="15.75" thickBot="1">
      <c r="A2" s="98"/>
      <c r="B2" s="54" t="s">
        <v>99</v>
      </c>
      <c r="C2" s="54" t="s">
        <v>101</v>
      </c>
      <c r="D2" s="54" t="s">
        <v>100</v>
      </c>
      <c r="E2" s="54" t="s">
        <v>99</v>
      </c>
      <c r="F2" s="54" t="s">
        <v>101</v>
      </c>
      <c r="G2" s="54" t="s">
        <v>100</v>
      </c>
      <c r="H2" s="55" t="s">
        <v>99</v>
      </c>
      <c r="I2" s="54" t="s">
        <v>101</v>
      </c>
      <c r="J2" s="54" t="s">
        <v>100</v>
      </c>
    </row>
    <row r="3" spans="1:10" ht="13.5" thickBot="1">
      <c r="A3" s="79">
        <v>4</v>
      </c>
      <c r="B3" s="62">
        <v>1000</v>
      </c>
      <c r="C3" s="74">
        <f>D3/B3</f>
        <v>380</v>
      </c>
      <c r="D3" s="63">
        <v>380000</v>
      </c>
      <c r="E3" s="62"/>
      <c r="F3" s="73"/>
      <c r="G3" s="81"/>
      <c r="H3" s="84">
        <f>B3</f>
        <v>1000</v>
      </c>
      <c r="I3" s="85">
        <f>C3</f>
        <v>380</v>
      </c>
      <c r="J3" s="57">
        <f>D3</f>
        <v>380000</v>
      </c>
    </row>
    <row r="4" spans="1:10" ht="13.5" thickBot="1">
      <c r="A4" s="79">
        <v>5</v>
      </c>
      <c r="B4" s="58">
        <v>500</v>
      </c>
      <c r="C4" s="72">
        <f>D4/B4</f>
        <v>390</v>
      </c>
      <c r="D4" s="59">
        <v>195000</v>
      </c>
      <c r="E4" s="58"/>
      <c r="F4" s="60"/>
      <c r="G4" s="61"/>
      <c r="H4" s="84">
        <f>H3+B4</f>
        <v>1500</v>
      </c>
      <c r="I4" s="86"/>
      <c r="J4" s="57">
        <f>J3+D4</f>
        <v>575000</v>
      </c>
    </row>
    <row r="5" spans="1:10" ht="12.75">
      <c r="A5" s="79">
        <v>6</v>
      </c>
      <c r="B5" s="58"/>
      <c r="C5" s="72"/>
      <c r="D5" s="61"/>
      <c r="E5" s="58">
        <f>1000</f>
        <v>1000</v>
      </c>
      <c r="F5" s="64">
        <f>C3</f>
        <v>380</v>
      </c>
      <c r="G5" s="59">
        <f>E5*F5</f>
        <v>380000</v>
      </c>
      <c r="H5" s="82"/>
      <c r="I5" s="83"/>
      <c r="J5" s="56"/>
    </row>
    <row r="6" spans="1:10" ht="12.75">
      <c r="A6" s="65"/>
      <c r="B6" s="58"/>
      <c r="C6" s="60"/>
      <c r="D6" s="61"/>
      <c r="E6" s="58">
        <v>100</v>
      </c>
      <c r="F6" s="64">
        <f>C4</f>
        <v>390</v>
      </c>
      <c r="G6" s="59">
        <f>F6*E6</f>
        <v>39000</v>
      </c>
      <c r="H6" s="68">
        <f>B4-E6</f>
        <v>400</v>
      </c>
      <c r="I6" s="87">
        <f>F6</f>
        <v>390</v>
      </c>
      <c r="J6" s="59">
        <f>I6*H6</f>
        <v>156000</v>
      </c>
    </row>
    <row r="7" spans="1:10" ht="15">
      <c r="A7" s="65"/>
      <c r="B7" s="58"/>
      <c r="C7" s="60"/>
      <c r="D7" s="61"/>
      <c r="E7" s="58"/>
      <c r="F7" s="60"/>
      <c r="G7" s="61"/>
      <c r="H7" s="80"/>
      <c r="I7" s="77"/>
      <c r="J7" s="75"/>
    </row>
    <row r="8" spans="1:10" ht="12.75">
      <c r="A8" s="65"/>
      <c r="B8" s="58"/>
      <c r="C8" s="60"/>
      <c r="D8" s="61"/>
      <c r="E8" s="58"/>
      <c r="F8" s="60"/>
      <c r="G8" s="61"/>
      <c r="H8" s="68"/>
      <c r="I8" s="76"/>
      <c r="J8" s="61"/>
    </row>
    <row r="9" spans="1:10" ht="13.5" thickBot="1">
      <c r="A9" s="69"/>
      <c r="B9" s="66"/>
      <c r="C9" s="70"/>
      <c r="D9" s="67"/>
      <c r="E9" s="66"/>
      <c r="F9" s="70"/>
      <c r="G9" s="67"/>
      <c r="H9" s="71"/>
      <c r="I9" s="78"/>
      <c r="J9" s="67"/>
    </row>
  </sheetData>
  <sheetProtection/>
  <mergeCells count="4">
    <mergeCell ref="A1:A2"/>
    <mergeCell ref="B1:D1"/>
    <mergeCell ref="E1:G1"/>
    <mergeCell ref="H1:J1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3.7109375" style="0" bestFit="1" customWidth="1"/>
  </cols>
  <sheetData>
    <row r="1" ht="12.75">
      <c r="A1" s="52" t="s">
        <v>92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rbonizio</dc:creator>
  <cp:keywords/>
  <dc:description/>
  <cp:lastModifiedBy>user</cp:lastModifiedBy>
  <dcterms:created xsi:type="dcterms:W3CDTF">2010-08-10T20:25:37Z</dcterms:created>
  <dcterms:modified xsi:type="dcterms:W3CDTF">2014-03-25T15:26:28Z</dcterms:modified>
  <cp:category/>
  <cp:version/>
  <cp:contentType/>
  <cp:contentStatus/>
</cp:coreProperties>
</file>