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8130" firstSheet="1" activeTab="2"/>
  </bookViews>
  <sheets>
    <sheet name="Exemplo lucro x caixa" sheetId="1" r:id="rId1"/>
    <sheet name="Exercício inicial - lançamentos" sheetId="4" r:id="rId2"/>
    <sheet name="Exercício inicial - Demonstr" sheetId="5" r:id="rId3"/>
    <sheet name="PEPS, UEPS e Média" sheetId="6" r:id="rId4"/>
    <sheet name="Plan2" sheetId="2" r:id="rId5"/>
    <sheet name="Plan3" sheetId="3" r:id="rId6"/>
  </sheets>
  <calcPr calcId="145621"/>
</workbook>
</file>

<file path=xl/calcChain.xml><?xml version="1.0" encoding="utf-8"?>
<calcChain xmlns="http://schemas.openxmlformats.org/spreadsheetml/2006/main">
  <c r="H103" i="5" l="1"/>
  <c r="H104" i="5" s="1"/>
  <c r="H105" i="5" s="1"/>
  <c r="H89" i="5"/>
  <c r="H94" i="5"/>
  <c r="H95" i="5"/>
  <c r="H90" i="5"/>
  <c r="H63" i="5"/>
  <c r="H57" i="5"/>
  <c r="H51" i="5"/>
  <c r="H76" i="5" s="1"/>
  <c r="H71" i="5"/>
  <c r="H72" i="5"/>
  <c r="H73" i="5"/>
  <c r="H69" i="5"/>
  <c r="H68" i="5"/>
  <c r="H62" i="5"/>
  <c r="H56" i="5"/>
  <c r="H48" i="5"/>
  <c r="H43" i="5"/>
  <c r="H40" i="5"/>
  <c r="H38" i="5"/>
  <c r="H35" i="5"/>
  <c r="H30" i="5"/>
  <c r="H24" i="5"/>
  <c r="H12" i="5"/>
  <c r="H101" i="5" l="1"/>
  <c r="G92" i="5"/>
  <c r="G58" i="5"/>
  <c r="G53" i="5"/>
  <c r="G54" i="5"/>
  <c r="G66" i="5"/>
  <c r="G52" i="5"/>
  <c r="G39" i="5"/>
  <c r="G47" i="5"/>
  <c r="G37" i="5"/>
  <c r="G33" i="5"/>
  <c r="G36" i="5"/>
  <c r="G79" i="5" s="1"/>
  <c r="G98" i="5" s="1"/>
  <c r="G100" i="5" s="1"/>
  <c r="G34" i="5"/>
  <c r="G78" i="5" s="1"/>
  <c r="G32" i="5"/>
  <c r="G31" i="5"/>
  <c r="G29" i="5"/>
  <c r="G28" i="5"/>
  <c r="G21" i="5"/>
  <c r="G20" i="5"/>
  <c r="G19" i="5"/>
  <c r="G18" i="5"/>
  <c r="G17" i="5"/>
  <c r="G87" i="5" s="1"/>
  <c r="G16" i="5"/>
  <c r="G86" i="5" s="1"/>
  <c r="G15" i="5"/>
  <c r="G14" i="5"/>
  <c r="G10" i="5"/>
  <c r="G9" i="5"/>
  <c r="G7" i="5"/>
  <c r="G83" i="5" s="1"/>
  <c r="G6" i="5"/>
  <c r="G5" i="5"/>
  <c r="G4" i="5"/>
  <c r="S91" i="4"/>
  <c r="O91" i="4" s="1"/>
  <c r="O93" i="4" s="1"/>
  <c r="S90" i="4"/>
  <c r="M90" i="4" s="1"/>
  <c r="M93" i="4" s="1"/>
  <c r="F93" i="4"/>
  <c r="L93" i="4"/>
  <c r="G13" i="5"/>
  <c r="G80" i="5" l="1"/>
  <c r="G91" i="5" s="1"/>
  <c r="F32" i="6"/>
  <c r="F31" i="6"/>
  <c r="F33" i="6" s="1"/>
  <c r="F26" i="6"/>
  <c r="F25" i="6"/>
  <c r="F27" i="6" s="1"/>
  <c r="F21" i="6"/>
  <c r="F20" i="6"/>
  <c r="F19" i="6"/>
  <c r="E33" i="6"/>
  <c r="E32" i="6"/>
  <c r="E31" i="6"/>
  <c r="L42" i="6"/>
  <c r="M42" i="6" s="1"/>
  <c r="K42" i="6"/>
  <c r="K43" i="6" s="1"/>
  <c r="L39" i="6"/>
  <c r="L41" i="6" s="1"/>
  <c r="L44" i="6" s="1"/>
  <c r="K39" i="6"/>
  <c r="M39" i="6" s="1"/>
  <c r="M45" i="6"/>
  <c r="M40" i="6"/>
  <c r="E25" i="6"/>
  <c r="E24" i="6"/>
  <c r="E30" i="6" s="1"/>
  <c r="D24" i="6"/>
  <c r="D30" i="6" s="1"/>
  <c r="E19" i="6"/>
  <c r="M28" i="6"/>
  <c r="M27" i="6"/>
  <c r="L26" i="6"/>
  <c r="K26" i="6"/>
  <c r="M24" i="6"/>
  <c r="L23" i="6"/>
  <c r="L25" i="6" s="1"/>
  <c r="K23" i="6"/>
  <c r="K25" i="6" s="1"/>
  <c r="I23" i="6"/>
  <c r="I39" i="6" s="1"/>
  <c r="M29" i="6"/>
  <c r="M10" i="6"/>
  <c r="I17" i="6"/>
  <c r="I33" i="6" s="1"/>
  <c r="M38" i="6"/>
  <c r="M37" i="6"/>
  <c r="M36" i="6"/>
  <c r="M35" i="6"/>
  <c r="M34" i="6"/>
  <c r="M22" i="6"/>
  <c r="L21" i="6"/>
  <c r="M21" i="6" s="1"/>
  <c r="L20" i="6"/>
  <c r="M20" i="6" s="1"/>
  <c r="M18" i="6"/>
  <c r="L6" i="6"/>
  <c r="K6" i="6"/>
  <c r="M5" i="6"/>
  <c r="F11" i="6"/>
  <c r="D34" i="6"/>
  <c r="D32" i="6"/>
  <c r="D28" i="6"/>
  <c r="D26" i="6"/>
  <c r="D31" i="6"/>
  <c r="D25" i="6"/>
  <c r="D27" i="6" s="1"/>
  <c r="D19" i="6"/>
  <c r="D6" i="6"/>
  <c r="F5" i="6"/>
  <c r="F4" i="6"/>
  <c r="K41" i="6" l="1"/>
  <c r="L43" i="6"/>
  <c r="M43" i="6" s="1"/>
  <c r="E26" i="6"/>
  <c r="E27" i="6" s="1"/>
  <c r="M26" i="6"/>
  <c r="M25" i="6"/>
  <c r="M23" i="6"/>
  <c r="F6" i="6"/>
  <c r="G6" i="6" s="1"/>
  <c r="M6" i="6"/>
  <c r="L7" i="6" s="1"/>
  <c r="M19" i="6"/>
  <c r="K8" i="6"/>
  <c r="K9" i="6" s="1"/>
  <c r="D33" i="6"/>
  <c r="F90" i="5"/>
  <c r="F95" i="5" s="1"/>
  <c r="F67" i="5"/>
  <c r="F65" i="5"/>
  <c r="F66" i="5"/>
  <c r="F53" i="5"/>
  <c r="F58" i="5"/>
  <c r="F57" i="5"/>
  <c r="F63" i="5" s="1"/>
  <c r="F54" i="5"/>
  <c r="F52" i="5"/>
  <c r="F47" i="5"/>
  <c r="F36" i="5"/>
  <c r="F79" i="5" s="1"/>
  <c r="F98" i="5" s="1"/>
  <c r="F34" i="5"/>
  <c r="F78" i="5" s="1"/>
  <c r="F32" i="5"/>
  <c r="F31" i="5"/>
  <c r="F29" i="5"/>
  <c r="F28" i="5"/>
  <c r="F13" i="5"/>
  <c r="H93" i="4"/>
  <c r="G93" i="4"/>
  <c r="S92" i="4"/>
  <c r="R92" i="4" s="1"/>
  <c r="K44" i="6" l="1"/>
  <c r="M44" i="6" s="1"/>
  <c r="M41" i="6"/>
  <c r="D20" i="6"/>
  <c r="D21" i="6" s="1"/>
  <c r="D22" i="6"/>
  <c r="K13" i="6"/>
  <c r="M13" i="6" s="1"/>
  <c r="E22" i="6" s="1"/>
  <c r="K11" i="6"/>
  <c r="M7" i="6"/>
  <c r="L8" i="6"/>
  <c r="L9" i="6" s="1"/>
  <c r="M9" i="6" s="1"/>
  <c r="M11" i="6" s="1"/>
  <c r="L11" i="6" s="1"/>
  <c r="L12" i="6" s="1"/>
  <c r="M12" i="6" s="1"/>
  <c r="E20" i="6" s="1"/>
  <c r="E21" i="6" s="1"/>
  <c r="C54" i="4"/>
  <c r="D48" i="4"/>
  <c r="O63" i="4"/>
  <c r="N63" i="4" s="1"/>
  <c r="B49" i="4"/>
  <c r="B51" i="4" s="1"/>
  <c r="B55" i="4" s="1"/>
  <c r="B56" i="4" s="1"/>
  <c r="B58" i="4" s="1"/>
  <c r="B60" i="4" s="1"/>
  <c r="B61" i="4" s="1"/>
  <c r="B62" i="4" s="1"/>
  <c r="I69" i="4"/>
  <c r="G64" i="4"/>
  <c r="F9" i="5" s="1"/>
  <c r="F64" i="4"/>
  <c r="F8" i="5" s="1"/>
  <c r="M8" i="6" l="1"/>
  <c r="D79" i="5"/>
  <c r="D78" i="5"/>
  <c r="C79" i="5"/>
  <c r="C98" i="5" s="1"/>
  <c r="C78" i="5"/>
  <c r="G94" i="5"/>
  <c r="F94" i="5"/>
  <c r="E90" i="5"/>
  <c r="E95" i="5" s="1"/>
  <c r="D90" i="5"/>
  <c r="D95" i="5" s="1"/>
  <c r="C90" i="5"/>
  <c r="C95" i="5" s="1"/>
  <c r="E65" i="5"/>
  <c r="E58" i="5"/>
  <c r="E53" i="5"/>
  <c r="E66" i="5"/>
  <c r="E57" i="5"/>
  <c r="E63" i="5" s="1"/>
  <c r="E43" i="5" s="1"/>
  <c r="D57" i="5"/>
  <c r="D63" i="5" s="1"/>
  <c r="D43" i="5" s="1"/>
  <c r="C57" i="5"/>
  <c r="C63" i="5" s="1"/>
  <c r="C43" i="5" s="1"/>
  <c r="E54" i="5"/>
  <c r="E52" i="5"/>
  <c r="E36" i="5"/>
  <c r="E34" i="5"/>
  <c r="E78" i="5" s="1"/>
  <c r="E32" i="5"/>
  <c r="E31" i="5"/>
  <c r="E29" i="5"/>
  <c r="E28" i="5"/>
  <c r="E13" i="5"/>
  <c r="D13" i="5"/>
  <c r="C13" i="5"/>
  <c r="K30" i="4"/>
  <c r="D23" i="4"/>
  <c r="D37" i="4" s="1"/>
  <c r="D47" i="4" s="1"/>
  <c r="D64" i="4" s="1"/>
  <c r="G37" i="4"/>
  <c r="E9" i="5" s="1"/>
  <c r="F37" i="4"/>
  <c r="E8" i="5" s="1"/>
  <c r="F5" i="5" l="1"/>
  <c r="G81" i="5" s="1"/>
  <c r="D74" i="4"/>
  <c r="D93" i="4" s="1"/>
  <c r="E5" i="5"/>
  <c r="E79" i="5"/>
  <c r="E98" i="5" s="1"/>
  <c r="E27" i="5"/>
  <c r="G30" i="5"/>
  <c r="G35" i="5" s="1"/>
  <c r="F30" i="5"/>
  <c r="F35" i="5" s="1"/>
  <c r="E30" i="5"/>
  <c r="D30" i="5"/>
  <c r="C30" i="5"/>
  <c r="D27" i="5"/>
  <c r="C27" i="5"/>
  <c r="D65" i="5"/>
  <c r="D68" i="5" s="1"/>
  <c r="D58" i="5"/>
  <c r="D62" i="5" s="1"/>
  <c r="G72" i="5"/>
  <c r="G68" i="5"/>
  <c r="F68" i="5"/>
  <c r="E68" i="5"/>
  <c r="C68" i="5"/>
  <c r="G62" i="5"/>
  <c r="F62" i="5"/>
  <c r="E62" i="5"/>
  <c r="C62" i="5"/>
  <c r="G12" i="5"/>
  <c r="G24" i="5"/>
  <c r="G56" i="5"/>
  <c r="F56" i="5"/>
  <c r="E56" i="5"/>
  <c r="D56" i="5"/>
  <c r="C56" i="5"/>
  <c r="C20" i="5"/>
  <c r="C18" i="5"/>
  <c r="C96" i="5" s="1"/>
  <c r="C15" i="5"/>
  <c r="C14" i="5"/>
  <c r="C8" i="5"/>
  <c r="C6" i="5"/>
  <c r="C4" i="5"/>
  <c r="J13" i="4"/>
  <c r="O13" i="4"/>
  <c r="O23" i="4" s="1"/>
  <c r="O36" i="4" s="1"/>
  <c r="N36" i="4" s="1"/>
  <c r="N13" i="4"/>
  <c r="N23" i="4" s="1"/>
  <c r="M13" i="4"/>
  <c r="M23" i="4" s="1"/>
  <c r="M37" i="4" s="1"/>
  <c r="M47" i="4" s="1"/>
  <c r="M64" i="4" s="1"/>
  <c r="Q74" i="4" s="1"/>
  <c r="Q93" i="4" s="1"/>
  <c r="L13" i="4"/>
  <c r="K13" i="4"/>
  <c r="I13" i="4"/>
  <c r="H13" i="4"/>
  <c r="H23" i="4" s="1"/>
  <c r="H37" i="4" s="1"/>
  <c r="G13" i="4"/>
  <c r="F13" i="4"/>
  <c r="E13" i="4"/>
  <c r="C13" i="4"/>
  <c r="C23" i="4" s="1"/>
  <c r="C37" i="4" s="1"/>
  <c r="G38" i="5" l="1"/>
  <c r="G40" i="5" s="1"/>
  <c r="G77" i="5" s="1"/>
  <c r="F38" i="5"/>
  <c r="F40" i="5" s="1"/>
  <c r="F77" i="5" s="1"/>
  <c r="E81" i="5"/>
  <c r="F81" i="5"/>
  <c r="H47" i="4"/>
  <c r="H64" i="4" s="1"/>
  <c r="E10" i="5"/>
  <c r="C47" i="4"/>
  <c r="C64" i="4" s="1"/>
  <c r="E4" i="5"/>
  <c r="C97" i="5"/>
  <c r="C100" i="5" s="1"/>
  <c r="C45" i="5"/>
  <c r="D35" i="5"/>
  <c r="C35" i="5"/>
  <c r="E35" i="5"/>
  <c r="C82" i="5"/>
  <c r="C72" i="5"/>
  <c r="C73" i="5" s="1"/>
  <c r="D8" i="5"/>
  <c r="C91" i="5"/>
  <c r="C94" i="5" s="1"/>
  <c r="N37" i="4"/>
  <c r="D18" i="5"/>
  <c r="K23" i="4"/>
  <c r="K37" i="4" s="1"/>
  <c r="D6" i="5"/>
  <c r="E23" i="4"/>
  <c r="E37" i="4" s="1"/>
  <c r="D14" i="5"/>
  <c r="I23" i="4"/>
  <c r="I37" i="4" s="1"/>
  <c r="D20" i="5"/>
  <c r="L23" i="4"/>
  <c r="L37" i="4" s="1"/>
  <c r="D15" i="5"/>
  <c r="J23" i="4"/>
  <c r="J37" i="4" s="1"/>
  <c r="O37" i="4"/>
  <c r="O47" i="4" s="1"/>
  <c r="O64" i="4" s="1"/>
  <c r="S74" i="4" s="1"/>
  <c r="S93" i="4" s="1"/>
  <c r="C12" i="5"/>
  <c r="D4" i="5"/>
  <c r="D69" i="5"/>
  <c r="F69" i="5"/>
  <c r="E69" i="5"/>
  <c r="G69" i="5"/>
  <c r="C69" i="5"/>
  <c r="C24" i="5"/>
  <c r="E17" i="4"/>
  <c r="E16" i="4"/>
  <c r="E17" i="1"/>
  <c r="D17" i="1"/>
  <c r="C17" i="1"/>
  <c r="E24" i="1"/>
  <c r="D24" i="1"/>
  <c r="C24" i="1"/>
  <c r="E27" i="1"/>
  <c r="D27" i="1"/>
  <c r="E23" i="1"/>
  <c r="D23" i="1"/>
  <c r="C23" i="1"/>
  <c r="E22" i="1"/>
  <c r="D22" i="1"/>
  <c r="C22" i="1"/>
  <c r="E15" i="1"/>
  <c r="E14" i="1"/>
  <c r="E16" i="1" s="1"/>
  <c r="D15" i="1"/>
  <c r="D14" i="1"/>
  <c r="D16" i="1" s="1"/>
  <c r="D18" i="1" s="1"/>
  <c r="C15" i="1"/>
  <c r="C14" i="1"/>
  <c r="E8" i="1"/>
  <c r="D8" i="1"/>
  <c r="E7" i="1"/>
  <c r="E9" i="1" s="1"/>
  <c r="D7" i="1"/>
  <c r="D9" i="1" s="1"/>
  <c r="C8" i="1"/>
  <c r="C9" i="1" s="1"/>
  <c r="C11" i="1" s="1"/>
  <c r="D10" i="1" s="1"/>
  <c r="D11" i="1" s="1"/>
  <c r="E10" i="1" s="1"/>
  <c r="E11" i="1" s="1"/>
  <c r="F46" i="5" l="1"/>
  <c r="G46" i="5"/>
  <c r="C38" i="5"/>
  <c r="C40" i="5" s="1"/>
  <c r="C46" i="5" s="1"/>
  <c r="C48" i="5" s="1"/>
  <c r="D44" i="5" s="1"/>
  <c r="E38" i="5"/>
  <c r="E40" i="5" s="1"/>
  <c r="E77" i="5" s="1"/>
  <c r="D38" i="5"/>
  <c r="D40" i="5" s="1"/>
  <c r="D46" i="5" s="1"/>
  <c r="D71" i="5"/>
  <c r="F10" i="5"/>
  <c r="I74" i="4"/>
  <c r="I93" i="4" s="1"/>
  <c r="F4" i="5"/>
  <c r="C74" i="4"/>
  <c r="C93" i="4" s="1"/>
  <c r="D24" i="5"/>
  <c r="E72" i="5"/>
  <c r="F71" i="5" s="1"/>
  <c r="J47" i="4"/>
  <c r="J64" i="4" s="1"/>
  <c r="E15" i="5"/>
  <c r="E85" i="5" s="1"/>
  <c r="L47" i="4"/>
  <c r="L64" i="4" s="1"/>
  <c r="E20" i="5"/>
  <c r="E41" i="4"/>
  <c r="I47" i="4"/>
  <c r="I64" i="4" s="1"/>
  <c r="E14" i="5"/>
  <c r="E84" i="5" s="1"/>
  <c r="E40" i="4"/>
  <c r="E47" i="4"/>
  <c r="E64" i="4" s="1"/>
  <c r="E6" i="5"/>
  <c r="K47" i="4"/>
  <c r="K64" i="4" s="1"/>
  <c r="E18" i="5"/>
  <c r="N47" i="4"/>
  <c r="N64" i="4" s="1"/>
  <c r="E22" i="5"/>
  <c r="C77" i="5"/>
  <c r="C89" i="5" s="1"/>
  <c r="C101" i="5" s="1"/>
  <c r="C104" i="5" s="1"/>
  <c r="C105" i="5" s="1"/>
  <c r="D45" i="5"/>
  <c r="E45" i="5"/>
  <c r="D77" i="5"/>
  <c r="D85" i="5"/>
  <c r="D97" i="5"/>
  <c r="E97" i="5"/>
  <c r="D84" i="5"/>
  <c r="D96" i="5"/>
  <c r="D91" i="5"/>
  <c r="D94" i="5" s="1"/>
  <c r="E91" i="5"/>
  <c r="E94" i="5" s="1"/>
  <c r="D72" i="5"/>
  <c r="E71" i="5" s="1"/>
  <c r="D82" i="5"/>
  <c r="E82" i="5"/>
  <c r="D12" i="5"/>
  <c r="E18" i="1"/>
  <c r="D25" i="1"/>
  <c r="C25" i="1"/>
  <c r="E25" i="1"/>
  <c r="C16" i="1"/>
  <c r="C18" i="1" s="1"/>
  <c r="C28" i="1" s="1"/>
  <c r="D100" i="5" l="1"/>
  <c r="E46" i="5"/>
  <c r="E73" i="5"/>
  <c r="E89" i="5"/>
  <c r="D73" i="5"/>
  <c r="D103" i="5"/>
  <c r="F22" i="5"/>
  <c r="R74" i="4"/>
  <c r="R93" i="4" s="1"/>
  <c r="N74" i="4"/>
  <c r="N93" i="4" s="1"/>
  <c r="F18" i="5"/>
  <c r="F96" i="5" s="1"/>
  <c r="E67" i="4"/>
  <c r="F6" i="5"/>
  <c r="G82" i="5" s="1"/>
  <c r="E74" i="4"/>
  <c r="E93" i="4" s="1"/>
  <c r="E96" i="4" s="1"/>
  <c r="F20" i="5"/>
  <c r="P74" i="4"/>
  <c r="P93" i="4" s="1"/>
  <c r="F14" i="5"/>
  <c r="G84" i="5" s="1"/>
  <c r="J74" i="4"/>
  <c r="J93" i="4" s="1"/>
  <c r="E96" i="5"/>
  <c r="E100" i="5" s="1"/>
  <c r="E12" i="5"/>
  <c r="F82" i="5"/>
  <c r="F15" i="5"/>
  <c r="K74" i="4"/>
  <c r="K93" i="4" s="1"/>
  <c r="F72" i="5"/>
  <c r="G71" i="5" s="1"/>
  <c r="G73" i="5" s="1"/>
  <c r="E24" i="5"/>
  <c r="E68" i="4"/>
  <c r="D48" i="5"/>
  <c r="E44" i="5" s="1"/>
  <c r="E48" i="5" s="1"/>
  <c r="F44" i="5" s="1"/>
  <c r="D89" i="5"/>
  <c r="D101" i="5" s="1"/>
  <c r="C29" i="1"/>
  <c r="D28" i="1"/>
  <c r="E101" i="5" l="1"/>
  <c r="D104" i="5"/>
  <c r="E103" i="5" s="1"/>
  <c r="F12" i="5"/>
  <c r="F85" i="5"/>
  <c r="G85" i="5"/>
  <c r="G89" i="5" s="1"/>
  <c r="F45" i="5"/>
  <c r="F48" i="5" s="1"/>
  <c r="G44" i="5"/>
  <c r="G48" i="5" s="1"/>
  <c r="F97" i="5"/>
  <c r="F100" i="5" s="1"/>
  <c r="E97" i="4"/>
  <c r="F84" i="5"/>
  <c r="F73" i="5"/>
  <c r="F24" i="5"/>
  <c r="D29" i="1"/>
  <c r="E28" i="1"/>
  <c r="E29" i="1" s="1"/>
  <c r="F89" i="5" l="1"/>
  <c r="F101" i="5" s="1"/>
  <c r="F104" i="5" s="1"/>
  <c r="G103" i="5" s="1"/>
  <c r="E104" i="5"/>
  <c r="F103" i="5" s="1"/>
  <c r="G101" i="5"/>
  <c r="D105" i="5"/>
  <c r="E105" i="5"/>
  <c r="G104" i="5" l="1"/>
  <c r="G105" i="5" s="1"/>
  <c r="F105" i="5"/>
</calcChain>
</file>

<file path=xl/comments1.xml><?xml version="1.0" encoding="utf-8"?>
<comments xmlns="http://schemas.openxmlformats.org/spreadsheetml/2006/main">
  <authors>
    <author>Roni Cleber Bonizio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A vista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5 vezes sem entrada</t>
        </r>
      </text>
    </comment>
    <comment ref="B6" authorId="0">
      <text>
        <r>
          <rPr>
            <b/>
            <sz val="8"/>
            <color indexed="81"/>
            <rFont val="Tahoma"/>
            <family val="2"/>
          </rPr>
          <t xml:space="preserve">Fluxos
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Fluxos</t>
        </r>
      </text>
    </comment>
    <comment ref="B20" authorId="0">
      <text>
        <r>
          <rPr>
            <b/>
            <i/>
            <sz val="8"/>
            <color indexed="81"/>
            <rFont val="Tahoma"/>
            <family val="2"/>
          </rPr>
          <t>Saldos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 xml:space="preserve">Provisão para Crédito de Liquidação Duvidosa
</t>
        </r>
      </text>
    </comment>
  </commentList>
</comments>
</file>

<file path=xl/comments2.xml><?xml version="1.0" encoding="utf-8"?>
<comments xmlns="http://schemas.openxmlformats.org/spreadsheetml/2006/main">
  <authors>
    <author>Roni Cleber Bonizio</author>
  </authors>
  <commentList>
    <comment ref="J33" authorId="0">
      <text>
        <r>
          <rPr>
            <b/>
            <sz val="8"/>
            <color indexed="81"/>
            <rFont val="Tahoma"/>
            <charset val="1"/>
          </rPr>
          <t>Referente a compra do caminhão</t>
        </r>
      </text>
    </comment>
    <comment ref="J52" authorId="0">
      <text>
        <r>
          <rPr>
            <b/>
            <sz val="8"/>
            <color indexed="81"/>
            <rFont val="Tahoma"/>
            <family val="2"/>
          </rPr>
          <t>Pagamento da última parcela da compra do veículo</t>
        </r>
      </text>
    </comment>
  </commentList>
</comments>
</file>

<file path=xl/sharedStrings.xml><?xml version="1.0" encoding="utf-8"?>
<sst xmlns="http://schemas.openxmlformats.org/spreadsheetml/2006/main" count="317" uniqueCount="143">
  <si>
    <t>DADOS</t>
  </si>
  <si>
    <t>MÊS 1</t>
  </si>
  <si>
    <t>MÊS 2</t>
  </si>
  <si>
    <t>MÊS 3</t>
  </si>
  <si>
    <t>Compra livros</t>
  </si>
  <si>
    <t>FLUXO DE CAIXA</t>
  </si>
  <si>
    <t>Entradas de caixa</t>
  </si>
  <si>
    <t>(-) Saídas de caixa</t>
  </si>
  <si>
    <t>(=) FLUXO DE CAIXA</t>
  </si>
  <si>
    <t>Saldo inicial de caixa</t>
  </si>
  <si>
    <t>Saldo final de caixa</t>
  </si>
  <si>
    <t>RESULTADO</t>
  </si>
  <si>
    <t>FLUXO FINANCEIRO</t>
  </si>
  <si>
    <t>Receita de venda</t>
  </si>
  <si>
    <t>(-) CMV</t>
  </si>
  <si>
    <t>(=) LUCRO BRUTO</t>
  </si>
  <si>
    <t>(=) LUCRO OPERACIONAL</t>
  </si>
  <si>
    <t>FLUXO ECONÔMICO</t>
  </si>
  <si>
    <t>BALANÇOS PATRIMONIAIS - ÚLTIMO DIA DO MÊS</t>
  </si>
  <si>
    <t>ATIVO</t>
  </si>
  <si>
    <t>P+PL</t>
  </si>
  <si>
    <t>Disponibilidades</t>
  </si>
  <si>
    <r>
      <t xml:space="preserve">Venda </t>
    </r>
    <r>
      <rPr>
        <b/>
        <u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os livros</t>
    </r>
  </si>
  <si>
    <t>Contas a receber</t>
  </si>
  <si>
    <t>Capital social</t>
  </si>
  <si>
    <t>Resultados acumulados</t>
  </si>
  <si>
    <t>(-) PCLD</t>
  </si>
  <si>
    <t>EVOLUÇÃO DO PATRIMÔNIO</t>
  </si>
  <si>
    <t>Disponib</t>
  </si>
  <si>
    <t>Estoque</t>
  </si>
  <si>
    <t>Imobiliz</t>
  </si>
  <si>
    <t>Emprést</t>
  </si>
  <si>
    <t>Capital</t>
  </si>
  <si>
    <t>PASSIVO + PL</t>
  </si>
  <si>
    <t>Si</t>
  </si>
  <si>
    <t>Sf</t>
  </si>
  <si>
    <t>Forneced  a pagar</t>
  </si>
  <si>
    <t>Contas a pagar</t>
  </si>
  <si>
    <t>FEVEREIRO</t>
  </si>
  <si>
    <t>BALANÇOS PATRIMONIAIS</t>
  </si>
  <si>
    <t>Disponibilidade</t>
  </si>
  <si>
    <t>TOTAL</t>
  </si>
  <si>
    <t>Fornecedores a pagar</t>
  </si>
  <si>
    <t>Empréstimos a pagar</t>
  </si>
  <si>
    <t>DAS OPERAÇÕES</t>
  </si>
  <si>
    <t>JAN</t>
  </si>
  <si>
    <t>FEV</t>
  </si>
  <si>
    <t>DE INVESTIMENTOS</t>
  </si>
  <si>
    <t>DE FINANCIAMENTOS</t>
  </si>
  <si>
    <t>DEMONSTRAÇÃO DO FLUXO DE CAIXA (método direto)</t>
  </si>
  <si>
    <t>Empréstimos</t>
  </si>
  <si>
    <t>Capital dos sócios</t>
  </si>
  <si>
    <t>Imobilizações</t>
  </si>
  <si>
    <t>Compras de mercadorias</t>
  </si>
  <si>
    <t>DEMONSTRAÇÃO DO RESULTADO DO EXERCÍCIO</t>
  </si>
  <si>
    <t>(=) Lucro bruto</t>
  </si>
  <si>
    <t>(-) Despesas comerciais</t>
  </si>
  <si>
    <t>(-) Despesas administrat</t>
  </si>
  <si>
    <t>(-) Desp. Depreciação</t>
  </si>
  <si>
    <t>(=) LUCRO LÍQUIDO</t>
  </si>
  <si>
    <t>MAR</t>
  </si>
  <si>
    <t>MARÇO</t>
  </si>
  <si>
    <t>Terreno</t>
  </si>
  <si>
    <t>Veículo</t>
  </si>
  <si>
    <t>Veículos</t>
  </si>
  <si>
    <t>RESULT</t>
  </si>
  <si>
    <t>Reserva</t>
  </si>
  <si>
    <t>C. Receb</t>
  </si>
  <si>
    <t>(-) Depr acum</t>
  </si>
  <si>
    <t>(-) Deprec acumul</t>
  </si>
  <si>
    <t>Reservas</t>
  </si>
  <si>
    <t>(-) Desp. Financeiras</t>
  </si>
  <si>
    <t>Prejuízos acumulados</t>
  </si>
  <si>
    <t>Vendas de mercadorias</t>
  </si>
  <si>
    <t>Despesas operacionais</t>
  </si>
  <si>
    <t>Juros</t>
  </si>
  <si>
    <t>DEMONSTRAÇÃO DO FLUXO DE CAIXA (método indireto)</t>
  </si>
  <si>
    <t>Lucro líquido do período</t>
  </si>
  <si>
    <t>(+) Depreciação</t>
  </si>
  <si>
    <t>(+) Desp. Financ</t>
  </si>
  <si>
    <t>(+/-) Variaç estoq</t>
  </si>
  <si>
    <t>(+/-) Variaç imobiliz</t>
  </si>
  <si>
    <t>(+/-) Variaç empréstimos</t>
  </si>
  <si>
    <t>(+) Aportes de capital</t>
  </si>
  <si>
    <t>(+/-) Variaç fornec a pag</t>
  </si>
  <si>
    <t>(+/-) Variaç contas a pag</t>
  </si>
  <si>
    <t>(+/-) Variaç contas a receb</t>
  </si>
  <si>
    <t>DEMONSTRAÇÃO DAS MUTAÇÕES DO PL</t>
  </si>
  <si>
    <t>Saldo inicial do PL</t>
  </si>
  <si>
    <t>(+) Aporte de capital</t>
  </si>
  <si>
    <t>(+/-) Resultado do período</t>
  </si>
  <si>
    <t>(-) Distrib de lucro</t>
  </si>
  <si>
    <t>Saldo final do PL</t>
  </si>
  <si>
    <t>ABRIL</t>
  </si>
  <si>
    <t>DIAS</t>
  </si>
  <si>
    <t>F</t>
  </si>
  <si>
    <t>MAIO</t>
  </si>
  <si>
    <t>ABR</t>
  </si>
  <si>
    <t>Dividendos</t>
  </si>
  <si>
    <t>unidades</t>
  </si>
  <si>
    <t>$/unid</t>
  </si>
  <si>
    <t>$ total</t>
  </si>
  <si>
    <t>Saldo</t>
  </si>
  <si>
    <t>Saldo inicial</t>
  </si>
  <si>
    <t>1 - Compra da mercadoria X</t>
  </si>
  <si>
    <t>2 - Compra da mercadoria X</t>
  </si>
  <si>
    <t>3 - Venda de 400 unidades por $20,0 por unidade</t>
  </si>
  <si>
    <t>Mês 1</t>
  </si>
  <si>
    <t>Média Ponderada Móvel</t>
  </si>
  <si>
    <t>Estoque final</t>
  </si>
  <si>
    <t>PEPS</t>
  </si>
  <si>
    <t>UEPS</t>
  </si>
  <si>
    <t>PERÍODO</t>
  </si>
  <si>
    <t>MÉDIA</t>
  </si>
  <si>
    <t>QUANT</t>
  </si>
  <si>
    <t>$ UNIT</t>
  </si>
  <si>
    <t>$ TOT</t>
  </si>
  <si>
    <t>HISTÓRICO</t>
  </si>
  <si>
    <t>Compra</t>
  </si>
  <si>
    <t>saldo inicial</t>
  </si>
  <si>
    <t>Saldo final</t>
  </si>
  <si>
    <t>Bx por venda</t>
  </si>
  <si>
    <t>3 - Venda de 400 unidades por $25,0 por unidade</t>
  </si>
  <si>
    <t>Mês 2</t>
  </si>
  <si>
    <t>Baixa por venda</t>
  </si>
  <si>
    <t>MAI</t>
  </si>
  <si>
    <t>Ad clientes</t>
  </si>
  <si>
    <t>Desp antecip</t>
  </si>
  <si>
    <t>Impostos a pagar</t>
  </si>
  <si>
    <t>Dividendos a pagar</t>
  </si>
  <si>
    <t>Desp. Antencipadas</t>
  </si>
  <si>
    <t>Adiantam de clientes</t>
  </si>
  <si>
    <t>(-) Desp com seguro</t>
  </si>
  <si>
    <t>(-) Result vda imobiliz</t>
  </si>
  <si>
    <t>(=) L.A.I.R.</t>
  </si>
  <si>
    <t>(-) IR/CSSLL</t>
  </si>
  <si>
    <t xml:space="preserve">(-) Ganho venda imobiliz </t>
  </si>
  <si>
    <t>(+/-) Variaç adiant clientes</t>
  </si>
  <si>
    <t>(+/-) Impostos a pagar</t>
  </si>
  <si>
    <t>(+) Baixa do imobiliz</t>
  </si>
  <si>
    <t>(+/-) Variaç desp antecip</t>
  </si>
  <si>
    <t>(-) Dividendos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</si>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</sst>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;@"/>
    <numFmt numFmtId="165" formatCode="#,##0.0"/>
    <numFmt numFmtId="166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3" fontId="1" fillId="3" borderId="0" xfId="0" applyNumberFormat="1" applyFont="1" applyFill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 wrapText="1"/>
    </xf>
    <xf numFmtId="3" fontId="0" fillId="3" borderId="0" xfId="0" applyNumberFormat="1" applyFill="1" applyAlignment="1">
      <alignment horizontal="left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center" wrapText="1"/>
    </xf>
    <xf numFmtId="3" fontId="3" fillId="3" borderId="0" xfId="0" applyNumberFormat="1" applyFont="1" applyFill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left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left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left" vertical="center" wrapText="1"/>
    </xf>
    <xf numFmtId="3" fontId="1" fillId="4" borderId="9" xfId="0" applyNumberFormat="1" applyFont="1" applyFill="1" applyBorder="1" applyAlignment="1">
      <alignment horizontal="left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left" vertical="center" wrapText="1"/>
    </xf>
    <xf numFmtId="3" fontId="0" fillId="4" borderId="7" xfId="0" applyNumberFormat="1" applyFill="1" applyBorder="1" applyAlignment="1">
      <alignment horizontal="left" vertical="center" wrapText="1"/>
    </xf>
    <xf numFmtId="3" fontId="0" fillId="4" borderId="0" xfId="0" applyNumberForma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left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3" fontId="0" fillId="3" borderId="7" xfId="0" applyNumberFormat="1" applyFont="1" applyFill="1" applyBorder="1" applyAlignment="1">
      <alignment horizontal="left"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3" fontId="0" fillId="3" borderId="8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6" borderId="8" xfId="0" applyNumberFormat="1" applyFont="1" applyFill="1" applyBorder="1" applyAlignment="1">
      <alignment horizontal="center" vertical="center" wrapText="1"/>
    </xf>
    <xf numFmtId="3" fontId="0" fillId="6" borderId="8" xfId="0" applyNumberFormat="1" applyFill="1" applyBorder="1" applyAlignment="1">
      <alignment horizontal="center" vertical="center" wrapText="1"/>
    </xf>
    <xf numFmtId="3" fontId="1" fillId="6" borderId="11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6" borderId="6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6" borderId="3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6" borderId="2" xfId="0" applyNumberFormat="1" applyFill="1" applyBorder="1" applyAlignment="1">
      <alignment horizontal="center" vertical="center" wrapText="1"/>
    </xf>
    <xf numFmtId="3" fontId="0" fillId="6" borderId="4" xfId="0" applyNumberFormat="1" applyFill="1" applyBorder="1" applyAlignment="1">
      <alignment horizontal="center" vertical="center" wrapText="1"/>
    </xf>
    <xf numFmtId="3" fontId="0" fillId="6" borderId="7" xfId="0" applyNumberFormat="1" applyFill="1" applyBorder="1" applyAlignment="1">
      <alignment horizontal="center" vertical="center" wrapText="1"/>
    </xf>
    <xf numFmtId="3" fontId="0" fillId="6" borderId="9" xfId="0" applyNumberForma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left" vertical="center" wrapText="1"/>
    </xf>
    <xf numFmtId="14" fontId="0" fillId="2" borderId="0" xfId="0" applyNumberFormat="1" applyFill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6" borderId="3" xfId="0" applyNumberFormat="1" applyFont="1" applyFill="1" applyBorder="1" applyAlignment="1">
      <alignment horizontal="center" vertical="center" wrapText="1"/>
    </xf>
    <xf numFmtId="3" fontId="0" fillId="3" borderId="14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165" fontId="0" fillId="2" borderId="0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166" fontId="0" fillId="2" borderId="8" xfId="0" applyNumberForma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 wrapText="1"/>
    </xf>
    <xf numFmtId="166" fontId="0" fillId="3" borderId="0" xfId="0" applyNumberFormat="1" applyFill="1" applyBorder="1" applyAlignment="1">
      <alignment horizontal="center" vertical="center" wrapText="1"/>
    </xf>
    <xf numFmtId="166" fontId="0" fillId="3" borderId="10" xfId="0" applyNumberForma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vertical="center" wrapText="1"/>
    </xf>
    <xf numFmtId="166" fontId="1" fillId="3" borderId="5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166" fontId="1" fillId="3" borderId="10" xfId="0" applyNumberFormat="1" applyFont="1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1" fillId="6" borderId="6" xfId="0" applyNumberFormat="1" applyFon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0" fillId="5" borderId="4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3" fontId="1" fillId="5" borderId="5" xfId="0" applyNumberFormat="1" applyFont="1" applyFill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9" fillId="5" borderId="9" xfId="0" applyNumberFormat="1" applyFont="1" applyFill="1" applyBorder="1" applyAlignment="1">
      <alignment horizontal="center" vertical="center" wrapText="1"/>
    </xf>
    <xf numFmtId="3" fontId="9" fillId="5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29"/>
  <sheetViews>
    <sheetView zoomScaleNormal="100" workbookViewId="0">
      <selection activeCell="J10" sqref="J10"/>
    </sheetView>
  </sheetViews>
  <sheetFormatPr defaultRowHeight="15" x14ac:dyDescent="0.25"/>
  <cols>
    <col min="1" max="1" width="4" style="1" customWidth="1"/>
    <col min="2" max="2" width="25.85546875" style="1" customWidth="1"/>
    <col min="3" max="16384" width="9.140625" style="1"/>
  </cols>
  <sheetData>
    <row r="2" spans="2:7" x14ac:dyDescent="0.25">
      <c r="B2" s="2" t="s">
        <v>0</v>
      </c>
      <c r="C2" s="2" t="s">
        <v>1</v>
      </c>
      <c r="D2" s="2" t="s">
        <v>2</v>
      </c>
      <c r="E2" s="2" t="s">
        <v>3</v>
      </c>
    </row>
    <row r="3" spans="2:7" x14ac:dyDescent="0.25">
      <c r="B3" s="4" t="s">
        <v>4</v>
      </c>
      <c r="C3" s="3">
        <v>1000</v>
      </c>
      <c r="D3" s="3">
        <v>2000</v>
      </c>
      <c r="E3" s="3">
        <v>4000</v>
      </c>
    </row>
    <row r="4" spans="2:7" x14ac:dyDescent="0.25">
      <c r="B4" s="4" t="s">
        <v>22</v>
      </c>
      <c r="C4" s="3">
        <v>1800</v>
      </c>
      <c r="D4" s="3">
        <v>3600</v>
      </c>
      <c r="E4" s="3">
        <v>7200</v>
      </c>
    </row>
    <row r="6" spans="2:7" x14ac:dyDescent="0.25">
      <c r="B6" s="5" t="s">
        <v>5</v>
      </c>
      <c r="C6" s="5" t="s">
        <v>1</v>
      </c>
      <c r="D6" s="5" t="s">
        <v>2</v>
      </c>
      <c r="E6" s="5" t="s">
        <v>3</v>
      </c>
      <c r="F6" s="122" t="s">
        <v>12</v>
      </c>
      <c r="G6" s="122"/>
    </row>
    <row r="7" spans="2:7" x14ac:dyDescent="0.25">
      <c r="B7" s="4" t="s">
        <v>6</v>
      </c>
      <c r="C7" s="3">
        <v>0</v>
      </c>
      <c r="D7" s="3">
        <f>+C4/5</f>
        <v>360</v>
      </c>
      <c r="E7" s="3">
        <f>+C4/5+D4/5</f>
        <v>1080</v>
      </c>
      <c r="F7" s="122"/>
      <c r="G7" s="122"/>
    </row>
    <row r="8" spans="2:7" x14ac:dyDescent="0.25">
      <c r="B8" s="4" t="s">
        <v>7</v>
      </c>
      <c r="C8" s="3">
        <f>-C3</f>
        <v>-1000</v>
      </c>
      <c r="D8" s="3">
        <f>-D3</f>
        <v>-2000</v>
      </c>
      <c r="E8" s="3">
        <f>-E3</f>
        <v>-4000</v>
      </c>
      <c r="F8" s="122"/>
      <c r="G8" s="122"/>
    </row>
    <row r="9" spans="2:7" x14ac:dyDescent="0.25">
      <c r="B9" s="6" t="s">
        <v>8</v>
      </c>
      <c r="C9" s="5">
        <f>+SUM(C7:C8)</f>
        <v>-1000</v>
      </c>
      <c r="D9" s="5">
        <f t="shared" ref="D9:E9" si="0">+SUM(D7:D8)</f>
        <v>-1640</v>
      </c>
      <c r="E9" s="5">
        <f t="shared" si="0"/>
        <v>-2920</v>
      </c>
      <c r="F9" s="122"/>
      <c r="G9" s="122"/>
    </row>
    <row r="10" spans="2:7" x14ac:dyDescent="0.25">
      <c r="B10" s="7" t="s">
        <v>9</v>
      </c>
      <c r="C10" s="8">
        <v>10000</v>
      </c>
      <c r="D10" s="8">
        <f>+C11</f>
        <v>9000</v>
      </c>
      <c r="E10" s="8">
        <f>+D11</f>
        <v>7360</v>
      </c>
      <c r="F10" s="122"/>
      <c r="G10" s="122"/>
    </row>
    <row r="11" spans="2:7" x14ac:dyDescent="0.25">
      <c r="B11" s="7" t="s">
        <v>10</v>
      </c>
      <c r="C11" s="8">
        <f>+C10+C9</f>
        <v>9000</v>
      </c>
      <c r="D11" s="8">
        <f>+D10+D9</f>
        <v>7360</v>
      </c>
      <c r="E11" s="8">
        <f>+E10+E9</f>
        <v>4440</v>
      </c>
      <c r="F11" s="122"/>
      <c r="G11" s="122"/>
    </row>
    <row r="13" spans="2:7" x14ac:dyDescent="0.25">
      <c r="B13" s="5" t="s">
        <v>11</v>
      </c>
      <c r="C13" s="5" t="s">
        <v>1</v>
      </c>
      <c r="D13" s="5" t="s">
        <v>2</v>
      </c>
      <c r="E13" s="5" t="s">
        <v>3</v>
      </c>
      <c r="F13" s="122" t="s">
        <v>17</v>
      </c>
      <c r="G13" s="122"/>
    </row>
    <row r="14" spans="2:7" x14ac:dyDescent="0.25">
      <c r="B14" s="4" t="s">
        <v>13</v>
      </c>
      <c r="C14" s="3">
        <f>+C4</f>
        <v>1800</v>
      </c>
      <c r="D14" s="3">
        <f>+D4</f>
        <v>3600</v>
      </c>
      <c r="E14" s="3">
        <f>+E4</f>
        <v>7200</v>
      </c>
      <c r="F14" s="122"/>
      <c r="G14" s="122"/>
    </row>
    <row r="15" spans="2:7" x14ac:dyDescent="0.25">
      <c r="B15" s="4" t="s">
        <v>14</v>
      </c>
      <c r="C15" s="3">
        <f>-C3</f>
        <v>-1000</v>
      </c>
      <c r="D15" s="3">
        <f>-D3</f>
        <v>-2000</v>
      </c>
      <c r="E15" s="3">
        <f>-E3</f>
        <v>-4000</v>
      </c>
      <c r="F15" s="122"/>
      <c r="G15" s="122"/>
    </row>
    <row r="16" spans="2:7" x14ac:dyDescent="0.25">
      <c r="B16" s="6" t="s">
        <v>15</v>
      </c>
      <c r="C16" s="5">
        <f>+SUM(C14:C15)</f>
        <v>800</v>
      </c>
      <c r="D16" s="5">
        <f t="shared" ref="D16" si="1">+SUM(D14:D15)</f>
        <v>1600</v>
      </c>
      <c r="E16" s="5">
        <f t="shared" ref="E16" si="2">+SUM(E14:E15)</f>
        <v>3200</v>
      </c>
      <c r="F16" s="122"/>
      <c r="G16" s="122"/>
    </row>
    <row r="17" spans="2:7" x14ac:dyDescent="0.25">
      <c r="B17" s="4" t="s">
        <v>26</v>
      </c>
      <c r="C17" s="3">
        <f>+C24</f>
        <v>-180</v>
      </c>
      <c r="D17" s="3">
        <f>+D24-C24</f>
        <v>-324</v>
      </c>
      <c r="E17" s="3">
        <f>+E24-D24</f>
        <v>-612</v>
      </c>
      <c r="F17" s="122"/>
      <c r="G17" s="122"/>
    </row>
    <row r="18" spans="2:7" x14ac:dyDescent="0.25">
      <c r="B18" s="6" t="s">
        <v>16</v>
      </c>
      <c r="C18" s="5">
        <f>SUM(C16:C17)</f>
        <v>620</v>
      </c>
      <c r="D18" s="5">
        <f t="shared" ref="D18:E18" si="3">SUM(D16:D17)</f>
        <v>1276</v>
      </c>
      <c r="E18" s="5">
        <f t="shared" si="3"/>
        <v>2588</v>
      </c>
      <c r="F18" s="122"/>
      <c r="G18" s="122"/>
    </row>
    <row r="20" spans="2:7" ht="15" customHeight="1" x14ac:dyDescent="0.25">
      <c r="B20" s="123" t="s">
        <v>18</v>
      </c>
      <c r="C20" s="124"/>
      <c r="D20" s="124"/>
      <c r="E20" s="125"/>
      <c r="F20" s="126" t="s">
        <v>27</v>
      </c>
      <c r="G20" s="127"/>
    </row>
    <row r="21" spans="2:7" x14ac:dyDescent="0.25">
      <c r="B21" s="9" t="s">
        <v>19</v>
      </c>
      <c r="C21" s="10" t="s">
        <v>1</v>
      </c>
      <c r="D21" s="10" t="s">
        <v>2</v>
      </c>
      <c r="E21" s="11" t="s">
        <v>3</v>
      </c>
      <c r="F21" s="126"/>
      <c r="G21" s="127"/>
    </row>
    <row r="22" spans="2:7" x14ac:dyDescent="0.25">
      <c r="B22" s="12" t="s">
        <v>21</v>
      </c>
      <c r="C22" s="13">
        <f>+C11</f>
        <v>9000</v>
      </c>
      <c r="D22" s="13">
        <f>+D11</f>
        <v>7360</v>
      </c>
      <c r="E22" s="14">
        <f>+E11</f>
        <v>4440</v>
      </c>
      <c r="F22" s="126"/>
      <c r="G22" s="127"/>
    </row>
    <row r="23" spans="2:7" x14ac:dyDescent="0.25">
      <c r="B23" s="12" t="s">
        <v>23</v>
      </c>
      <c r="C23" s="13">
        <f>+C14</f>
        <v>1800</v>
      </c>
      <c r="D23" s="13">
        <f>+C23+D14-D7</f>
        <v>5040</v>
      </c>
      <c r="E23" s="14">
        <f>+D23+E14-E7</f>
        <v>11160</v>
      </c>
      <c r="F23" s="126"/>
      <c r="G23" s="127"/>
    </row>
    <row r="24" spans="2:7" x14ac:dyDescent="0.25">
      <c r="B24" s="12" t="s">
        <v>26</v>
      </c>
      <c r="C24" s="13">
        <f>-C23*0.1</f>
        <v>-180</v>
      </c>
      <c r="D24" s="13">
        <f>-D23*0.1</f>
        <v>-504</v>
      </c>
      <c r="E24" s="14">
        <f>-E23*0.1</f>
        <v>-1116</v>
      </c>
      <c r="F24" s="126"/>
      <c r="G24" s="127"/>
    </row>
    <row r="25" spans="2:7" x14ac:dyDescent="0.25">
      <c r="B25" s="15"/>
      <c r="C25" s="16">
        <f>+SUM(C22:C24)</f>
        <v>10620</v>
      </c>
      <c r="D25" s="16">
        <f t="shared" ref="D25" si="4">+SUM(D22:D24)</f>
        <v>11896</v>
      </c>
      <c r="E25" s="17">
        <f t="shared" ref="E25" si="5">+SUM(E22:E24)</f>
        <v>14484</v>
      </c>
      <c r="F25" s="126"/>
      <c r="G25" s="127"/>
    </row>
    <row r="26" spans="2:7" x14ac:dyDescent="0.25">
      <c r="B26" s="9" t="s">
        <v>20</v>
      </c>
      <c r="C26" s="10" t="s">
        <v>1</v>
      </c>
      <c r="D26" s="10" t="s">
        <v>2</v>
      </c>
      <c r="E26" s="11" t="s">
        <v>3</v>
      </c>
      <c r="F26" s="126"/>
      <c r="G26" s="127"/>
    </row>
    <row r="27" spans="2:7" x14ac:dyDescent="0.25">
      <c r="B27" s="12" t="s">
        <v>24</v>
      </c>
      <c r="C27" s="13">
        <v>10000</v>
      </c>
      <c r="D27" s="13">
        <f>+C27</f>
        <v>10000</v>
      </c>
      <c r="E27" s="14">
        <f>+D27</f>
        <v>10000</v>
      </c>
      <c r="F27" s="126"/>
      <c r="G27" s="127"/>
    </row>
    <row r="28" spans="2:7" x14ac:dyDescent="0.25">
      <c r="B28" s="12" t="s">
        <v>25</v>
      </c>
      <c r="C28" s="13">
        <f>+C18</f>
        <v>620</v>
      </c>
      <c r="D28" s="13">
        <f>+C28+D18</f>
        <v>1896</v>
      </c>
      <c r="E28" s="14">
        <f>+D28+E18</f>
        <v>4484</v>
      </c>
      <c r="F28" s="126"/>
      <c r="G28" s="127"/>
    </row>
    <row r="29" spans="2:7" x14ac:dyDescent="0.25">
      <c r="B29" s="15"/>
      <c r="C29" s="16">
        <f>+SUM(C27:C28)</f>
        <v>10620</v>
      </c>
      <c r="D29" s="16">
        <f t="shared" ref="D29" si="6">+SUM(D27:D28)</f>
        <v>11896</v>
      </c>
      <c r="E29" s="17">
        <f t="shared" ref="E29" si="7">+SUM(E27:E28)</f>
        <v>14484</v>
      </c>
      <c r="F29" s="126"/>
      <c r="G29" s="127"/>
    </row>
  </sheetData>
  <mergeCells count="4">
    <mergeCell ref="F6:G11"/>
    <mergeCell ref="F13:G18"/>
    <mergeCell ref="B20:E20"/>
    <mergeCell ref="F20:G29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97"/>
  <sheetViews>
    <sheetView topLeftCell="A70" zoomScaleNormal="100" workbookViewId="0">
      <selection activeCell="C93" sqref="C93"/>
    </sheetView>
  </sheetViews>
  <sheetFormatPr defaultRowHeight="15" x14ac:dyDescent="0.25"/>
  <cols>
    <col min="1" max="1" width="1.28515625" style="1" customWidth="1"/>
    <col min="2" max="2" width="3" style="1" bestFit="1" customWidth="1"/>
    <col min="3" max="3" width="7.7109375" style="1" bestFit="1" customWidth="1"/>
    <col min="4" max="4" width="7.5703125" style="1" bestFit="1" customWidth="1"/>
    <col min="5" max="7" width="7.28515625" style="1" bestFit="1" customWidth="1"/>
    <col min="8" max="8" width="7" style="1" bestFit="1" customWidth="1"/>
    <col min="9" max="9" width="11.5703125" style="1" bestFit="1" customWidth="1"/>
    <col min="10" max="10" width="10" style="1" bestFit="1" customWidth="1"/>
    <col min="11" max="11" width="7.5703125" style="1" bestFit="1" customWidth="1"/>
    <col min="12" max="12" width="9.5703125" style="1" bestFit="1" customWidth="1"/>
    <col min="13" max="13" width="8.140625" style="1" bestFit="1" customWidth="1"/>
    <col min="14" max="14" width="7.5703125" style="1" bestFit="1" customWidth="1"/>
    <col min="15" max="15" width="9.5703125" style="1" bestFit="1" customWidth="1"/>
    <col min="16" max="16" width="6.5703125" style="1" bestFit="1" customWidth="1"/>
    <col min="17" max="17" width="2" style="1" bestFit="1" customWidth="1"/>
    <col min="18" max="18" width="7.140625" style="1" bestFit="1" customWidth="1"/>
    <col min="19" max="19" width="7.28515625" style="1" bestFit="1" customWidth="1"/>
    <col min="20" max="16384" width="9.140625" style="1"/>
  </cols>
  <sheetData>
    <row r="2" spans="2:15" ht="21" x14ac:dyDescent="0.25">
      <c r="B2" s="134" t="s">
        <v>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spans="2:15" x14ac:dyDescent="0.25">
      <c r="B3" s="28"/>
      <c r="C3" s="131" t="s">
        <v>19</v>
      </c>
      <c r="D3" s="132"/>
      <c r="E3" s="132"/>
      <c r="F3" s="132"/>
      <c r="G3" s="132"/>
      <c r="H3" s="133"/>
      <c r="I3" s="131" t="s">
        <v>33</v>
      </c>
      <c r="J3" s="132"/>
      <c r="K3" s="132"/>
      <c r="L3" s="132"/>
      <c r="M3" s="132"/>
      <c r="N3" s="132"/>
      <c r="O3" s="133"/>
    </row>
    <row r="4" spans="2:15" s="27" customFormat="1" ht="25.5" x14ac:dyDescent="0.25">
      <c r="B4" s="29"/>
      <c r="C4" s="29" t="s">
        <v>28</v>
      </c>
      <c r="D4" s="30"/>
      <c r="E4" s="30" t="s">
        <v>29</v>
      </c>
      <c r="F4" s="30" t="s">
        <v>30</v>
      </c>
      <c r="G4" s="30"/>
      <c r="H4" s="31"/>
      <c r="I4" s="29" t="s">
        <v>36</v>
      </c>
      <c r="J4" s="30" t="s">
        <v>37</v>
      </c>
      <c r="K4" s="30" t="s">
        <v>31</v>
      </c>
      <c r="L4" s="30" t="s">
        <v>32</v>
      </c>
      <c r="M4" s="30"/>
      <c r="N4" s="30"/>
      <c r="O4" s="31"/>
    </row>
    <row r="5" spans="2:15" x14ac:dyDescent="0.25">
      <c r="B5" s="2" t="s">
        <v>34</v>
      </c>
      <c r="C5" s="18">
        <v>3000</v>
      </c>
      <c r="D5" s="19"/>
      <c r="E5" s="19">
        <v>4000</v>
      </c>
      <c r="F5" s="19">
        <v>8000</v>
      </c>
      <c r="G5" s="19"/>
      <c r="H5" s="20"/>
      <c r="I5" s="18"/>
      <c r="J5" s="19"/>
      <c r="K5" s="19">
        <v>5000</v>
      </c>
      <c r="L5" s="19">
        <v>10000</v>
      </c>
      <c r="M5" s="19"/>
      <c r="N5" s="19"/>
      <c r="O5" s="20"/>
    </row>
    <row r="6" spans="2:15" x14ac:dyDescent="0.25">
      <c r="B6" s="3">
        <v>1</v>
      </c>
      <c r="C6" s="21">
        <v>8000</v>
      </c>
      <c r="D6" s="22"/>
      <c r="E6" s="22"/>
      <c r="F6" s="22"/>
      <c r="G6" s="22"/>
      <c r="H6" s="23"/>
      <c r="I6" s="21"/>
      <c r="J6" s="22"/>
      <c r="K6" s="22">
        <v>8000</v>
      </c>
      <c r="L6" s="22"/>
      <c r="M6" s="22"/>
      <c r="N6" s="22"/>
      <c r="O6" s="23"/>
    </row>
    <row r="7" spans="2:15" x14ac:dyDescent="0.25">
      <c r="B7" s="3">
        <v>2</v>
      </c>
      <c r="C7" s="21">
        <v>-3000</v>
      </c>
      <c r="D7" s="22"/>
      <c r="E7" s="22">
        <v>20000</v>
      </c>
      <c r="F7" s="22"/>
      <c r="G7" s="22"/>
      <c r="H7" s="23"/>
      <c r="I7" s="21">
        <v>17000</v>
      </c>
      <c r="J7" s="22"/>
      <c r="K7" s="22"/>
      <c r="L7" s="22"/>
      <c r="M7" s="22"/>
      <c r="N7" s="22"/>
      <c r="O7" s="23"/>
    </row>
    <row r="8" spans="2:15" x14ac:dyDescent="0.25">
      <c r="B8" s="3">
        <v>3</v>
      </c>
      <c r="C8" s="21">
        <v>-8000</v>
      </c>
      <c r="D8" s="22"/>
      <c r="E8" s="22"/>
      <c r="F8" s="22">
        <v>10000</v>
      </c>
      <c r="G8" s="22"/>
      <c r="H8" s="23"/>
      <c r="I8" s="21"/>
      <c r="J8" s="22">
        <v>2000</v>
      </c>
      <c r="K8" s="22"/>
      <c r="L8" s="22"/>
      <c r="M8" s="22"/>
      <c r="N8" s="22"/>
      <c r="O8" s="23"/>
    </row>
    <row r="9" spans="2:15" x14ac:dyDescent="0.25">
      <c r="B9" s="3">
        <v>4</v>
      </c>
      <c r="C9" s="21">
        <v>-1500</v>
      </c>
      <c r="D9" s="22"/>
      <c r="E9" s="22"/>
      <c r="F9" s="22"/>
      <c r="G9" s="22"/>
      <c r="H9" s="23"/>
      <c r="I9" s="21"/>
      <c r="J9" s="22"/>
      <c r="K9" s="22">
        <v>-1500</v>
      </c>
      <c r="L9" s="22"/>
      <c r="M9" s="22"/>
      <c r="N9" s="22"/>
      <c r="O9" s="23"/>
    </row>
    <row r="10" spans="2:15" x14ac:dyDescent="0.25">
      <c r="B10" s="3">
        <v>5</v>
      </c>
      <c r="C10" s="21">
        <v>3000</v>
      </c>
      <c r="D10" s="22"/>
      <c r="E10" s="22"/>
      <c r="F10" s="22"/>
      <c r="G10" s="22"/>
      <c r="H10" s="23"/>
      <c r="I10" s="21"/>
      <c r="J10" s="22"/>
      <c r="K10" s="22"/>
      <c r="L10" s="22">
        <v>3000</v>
      </c>
      <c r="M10" s="22"/>
      <c r="N10" s="22"/>
      <c r="O10" s="23"/>
    </row>
    <row r="11" spans="2:15" x14ac:dyDescent="0.25">
      <c r="B11" s="3"/>
      <c r="C11" s="21"/>
      <c r="D11" s="22"/>
      <c r="E11" s="22"/>
      <c r="F11" s="22"/>
      <c r="G11" s="22"/>
      <c r="H11" s="23"/>
      <c r="I11" s="21"/>
      <c r="J11" s="22"/>
      <c r="K11" s="22"/>
      <c r="L11" s="22"/>
      <c r="M11" s="22"/>
      <c r="N11" s="22"/>
      <c r="O11" s="23"/>
    </row>
    <row r="12" spans="2:15" x14ac:dyDescent="0.25">
      <c r="B12" s="3"/>
      <c r="C12" s="21"/>
      <c r="D12" s="22"/>
      <c r="E12" s="22"/>
      <c r="F12" s="22"/>
      <c r="G12" s="22"/>
      <c r="H12" s="23"/>
      <c r="I12" s="21"/>
      <c r="J12" s="22"/>
      <c r="K12" s="22"/>
      <c r="L12" s="22"/>
      <c r="M12" s="22"/>
      <c r="N12" s="22"/>
      <c r="O12" s="23"/>
    </row>
    <row r="13" spans="2:15" x14ac:dyDescent="0.25">
      <c r="B13" s="2" t="s">
        <v>35</v>
      </c>
      <c r="C13" s="24">
        <f>SUM(C5:C12)</f>
        <v>1500</v>
      </c>
      <c r="D13" s="25"/>
      <c r="E13" s="25">
        <f t="shared" ref="E13:O13" si="0">SUM(E5:E12)</f>
        <v>24000</v>
      </c>
      <c r="F13" s="25">
        <f t="shared" si="0"/>
        <v>18000</v>
      </c>
      <c r="G13" s="25">
        <f t="shared" si="0"/>
        <v>0</v>
      </c>
      <c r="H13" s="26">
        <f t="shared" si="0"/>
        <v>0</v>
      </c>
      <c r="I13" s="24">
        <f t="shared" si="0"/>
        <v>17000</v>
      </c>
      <c r="J13" s="25">
        <f t="shared" si="0"/>
        <v>2000</v>
      </c>
      <c r="K13" s="25">
        <f t="shared" si="0"/>
        <v>11500</v>
      </c>
      <c r="L13" s="25">
        <f t="shared" si="0"/>
        <v>13000</v>
      </c>
      <c r="M13" s="25">
        <f t="shared" si="0"/>
        <v>0</v>
      </c>
      <c r="N13" s="25">
        <f t="shared" si="0"/>
        <v>0</v>
      </c>
      <c r="O13" s="26">
        <f t="shared" si="0"/>
        <v>0</v>
      </c>
    </row>
    <row r="16" spans="2:15" x14ac:dyDescent="0.25">
      <c r="C16" s="1" t="s">
        <v>19</v>
      </c>
      <c r="E16" s="1">
        <f>+SUM(C13:H13)</f>
        <v>43500</v>
      </c>
    </row>
    <row r="17" spans="2:15" x14ac:dyDescent="0.25">
      <c r="C17" s="1" t="s">
        <v>20</v>
      </c>
      <c r="E17" s="1">
        <f>+SUM(I13:O13)</f>
        <v>43500</v>
      </c>
    </row>
    <row r="20" spans="2:15" ht="21" x14ac:dyDescent="0.25">
      <c r="B20" s="134" t="s">
        <v>61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6"/>
    </row>
    <row r="21" spans="2:15" x14ac:dyDescent="0.25">
      <c r="B21" s="28"/>
      <c r="C21" s="131" t="s">
        <v>19</v>
      </c>
      <c r="D21" s="132"/>
      <c r="E21" s="132"/>
      <c r="F21" s="132"/>
      <c r="G21" s="132"/>
      <c r="H21" s="133"/>
      <c r="I21" s="131" t="s">
        <v>33</v>
      </c>
      <c r="J21" s="132"/>
      <c r="K21" s="132"/>
      <c r="L21" s="132"/>
      <c r="M21" s="132"/>
      <c r="N21" s="132"/>
      <c r="O21" s="133"/>
    </row>
    <row r="22" spans="2:15" ht="25.5" x14ac:dyDescent="0.25">
      <c r="B22" s="29"/>
      <c r="C22" s="29" t="s">
        <v>28</v>
      </c>
      <c r="D22" s="30" t="s">
        <v>67</v>
      </c>
      <c r="E22" s="30" t="s">
        <v>29</v>
      </c>
      <c r="F22" s="30" t="s">
        <v>62</v>
      </c>
      <c r="G22" s="30" t="s">
        <v>63</v>
      </c>
      <c r="H22" s="31" t="s">
        <v>68</v>
      </c>
      <c r="I22" s="29" t="s">
        <v>36</v>
      </c>
      <c r="J22" s="30" t="s">
        <v>37</v>
      </c>
      <c r="K22" s="30" t="s">
        <v>31</v>
      </c>
      <c r="L22" s="30" t="s">
        <v>32</v>
      </c>
      <c r="M22" s="30"/>
      <c r="N22" s="30" t="s">
        <v>66</v>
      </c>
      <c r="O22" s="31" t="s">
        <v>65</v>
      </c>
    </row>
    <row r="23" spans="2:15" x14ac:dyDescent="0.25">
      <c r="B23" s="2" t="s">
        <v>34</v>
      </c>
      <c r="C23" s="18">
        <f>+C13</f>
        <v>1500</v>
      </c>
      <c r="D23" s="19">
        <f t="shared" ref="D23:O23" si="1">+D13</f>
        <v>0</v>
      </c>
      <c r="E23" s="19">
        <f t="shared" si="1"/>
        <v>24000</v>
      </c>
      <c r="F23" s="19">
        <v>8000</v>
      </c>
      <c r="G23" s="19">
        <v>10000</v>
      </c>
      <c r="H23" s="20">
        <f t="shared" si="1"/>
        <v>0</v>
      </c>
      <c r="I23" s="18">
        <f t="shared" si="1"/>
        <v>17000</v>
      </c>
      <c r="J23" s="19">
        <f t="shared" si="1"/>
        <v>2000</v>
      </c>
      <c r="K23" s="19">
        <f t="shared" si="1"/>
        <v>11500</v>
      </c>
      <c r="L23" s="19">
        <f t="shared" si="1"/>
        <v>13000</v>
      </c>
      <c r="M23" s="19">
        <f t="shared" si="1"/>
        <v>0</v>
      </c>
      <c r="N23" s="19">
        <f t="shared" si="1"/>
        <v>0</v>
      </c>
      <c r="O23" s="56">
        <f t="shared" si="1"/>
        <v>0</v>
      </c>
    </row>
    <row r="24" spans="2:15" x14ac:dyDescent="0.25">
      <c r="B24" s="137">
        <v>1</v>
      </c>
      <c r="C24" s="74">
        <v>5000</v>
      </c>
      <c r="D24" s="60">
        <v>1500</v>
      </c>
      <c r="E24" s="60"/>
      <c r="F24" s="60"/>
      <c r="G24" s="60"/>
      <c r="H24" s="61"/>
      <c r="I24" s="59"/>
      <c r="J24" s="60"/>
      <c r="K24" s="60"/>
      <c r="L24" s="60"/>
      <c r="M24" s="60"/>
      <c r="N24" s="60"/>
      <c r="O24" s="62">
        <v>6500</v>
      </c>
    </row>
    <row r="25" spans="2:15" x14ac:dyDescent="0.25">
      <c r="B25" s="138"/>
      <c r="C25" s="75"/>
      <c r="D25" s="22"/>
      <c r="E25" s="22">
        <v>-18000</v>
      </c>
      <c r="F25" s="22"/>
      <c r="G25" s="22"/>
      <c r="H25" s="23"/>
      <c r="I25" s="21"/>
      <c r="J25" s="22"/>
      <c r="K25" s="22"/>
      <c r="L25" s="22"/>
      <c r="M25" s="22"/>
      <c r="N25" s="22"/>
      <c r="O25" s="57">
        <v>-18000</v>
      </c>
    </row>
    <row r="26" spans="2:15" x14ac:dyDescent="0.25">
      <c r="B26" s="128">
        <v>2</v>
      </c>
      <c r="C26" s="74"/>
      <c r="D26" s="60"/>
      <c r="E26" s="60">
        <v>5000</v>
      </c>
      <c r="F26" s="60"/>
      <c r="G26" s="60"/>
      <c r="H26" s="60"/>
      <c r="I26" s="59">
        <v>5000</v>
      </c>
      <c r="J26" s="60"/>
      <c r="K26" s="60"/>
      <c r="L26" s="60"/>
      <c r="M26" s="60"/>
      <c r="N26" s="60"/>
      <c r="O26" s="62"/>
    </row>
    <row r="27" spans="2:15" x14ac:dyDescent="0.25">
      <c r="B27" s="129"/>
      <c r="C27" s="76">
        <v>-1000</v>
      </c>
      <c r="D27" s="64"/>
      <c r="E27" s="64"/>
      <c r="F27" s="64"/>
      <c r="G27" s="64"/>
      <c r="H27" s="64"/>
      <c r="I27" s="63">
        <v>-1000</v>
      </c>
      <c r="J27" s="64"/>
      <c r="K27" s="64"/>
      <c r="L27" s="64"/>
      <c r="M27" s="64"/>
      <c r="N27" s="64"/>
      <c r="O27" s="66"/>
    </row>
    <row r="28" spans="2:15" x14ac:dyDescent="0.25">
      <c r="B28" s="67">
        <v>3</v>
      </c>
      <c r="C28" s="76">
        <v>-500</v>
      </c>
      <c r="D28" s="64"/>
      <c r="E28" s="64"/>
      <c r="F28" s="64"/>
      <c r="G28" s="64"/>
      <c r="H28" s="65"/>
      <c r="I28" s="63"/>
      <c r="J28" s="64">
        <v>1000</v>
      </c>
      <c r="K28" s="64"/>
      <c r="L28" s="64"/>
      <c r="M28" s="64"/>
      <c r="N28" s="64"/>
      <c r="O28" s="66">
        <v>-1500</v>
      </c>
    </row>
    <row r="29" spans="2:15" x14ac:dyDescent="0.25">
      <c r="B29" s="67">
        <v>4</v>
      </c>
      <c r="C29" s="74">
        <v>-200</v>
      </c>
      <c r="D29" s="60"/>
      <c r="E29" s="60"/>
      <c r="F29" s="60"/>
      <c r="G29" s="60"/>
      <c r="H29" s="61"/>
      <c r="I29" s="59"/>
      <c r="J29" s="60">
        <v>800</v>
      </c>
      <c r="K29" s="60"/>
      <c r="L29" s="60"/>
      <c r="M29" s="60"/>
      <c r="N29" s="60"/>
      <c r="O29" s="62">
        <v>-1000</v>
      </c>
    </row>
    <row r="30" spans="2:15" x14ac:dyDescent="0.25">
      <c r="B30" s="128">
        <v>5</v>
      </c>
      <c r="C30" s="74"/>
      <c r="D30" s="60"/>
      <c r="E30" s="60"/>
      <c r="F30" s="60"/>
      <c r="G30" s="60"/>
      <c r="H30" s="60"/>
      <c r="I30" s="59"/>
      <c r="J30" s="60"/>
      <c r="K30" s="60">
        <f>-O30</f>
        <v>200</v>
      </c>
      <c r="L30" s="60"/>
      <c r="M30" s="60"/>
      <c r="N30" s="60"/>
      <c r="O30" s="62">
        <v>-200</v>
      </c>
    </row>
    <row r="31" spans="2:15" x14ac:dyDescent="0.25">
      <c r="B31" s="129"/>
      <c r="C31" s="76">
        <v>-200</v>
      </c>
      <c r="D31" s="64"/>
      <c r="E31" s="64"/>
      <c r="F31" s="64"/>
      <c r="G31" s="64"/>
      <c r="H31" s="64"/>
      <c r="I31" s="63"/>
      <c r="J31" s="64"/>
      <c r="K31" s="64">
        <v>-200</v>
      </c>
      <c r="L31" s="64"/>
      <c r="M31" s="64"/>
      <c r="N31" s="64"/>
      <c r="O31" s="66"/>
    </row>
    <row r="32" spans="2:15" x14ac:dyDescent="0.25">
      <c r="B32" s="67">
        <v>6</v>
      </c>
      <c r="C32" s="77">
        <v>-3000</v>
      </c>
      <c r="D32" s="68"/>
      <c r="E32" s="68"/>
      <c r="F32" s="68"/>
      <c r="G32" s="68"/>
      <c r="H32" s="69"/>
      <c r="I32" s="67">
        <v>-3000</v>
      </c>
      <c r="J32" s="68"/>
      <c r="K32" s="68"/>
      <c r="L32" s="68"/>
      <c r="M32" s="68"/>
      <c r="N32" s="68"/>
      <c r="O32" s="70"/>
    </row>
    <row r="33" spans="2:15" x14ac:dyDescent="0.25">
      <c r="B33" s="67">
        <v>7</v>
      </c>
      <c r="C33" s="77">
        <v>-1000</v>
      </c>
      <c r="D33" s="68"/>
      <c r="E33" s="68"/>
      <c r="F33" s="68"/>
      <c r="G33" s="68"/>
      <c r="H33" s="69"/>
      <c r="I33" s="67"/>
      <c r="J33" s="68">
        <v>-1000</v>
      </c>
      <c r="K33" s="68"/>
      <c r="L33" s="68"/>
      <c r="M33" s="68"/>
      <c r="N33" s="68"/>
      <c r="O33" s="70"/>
    </row>
    <row r="34" spans="2:15" x14ac:dyDescent="0.25">
      <c r="B34" s="67">
        <v>8</v>
      </c>
      <c r="C34" s="77">
        <v>-500</v>
      </c>
      <c r="D34" s="68"/>
      <c r="E34" s="68"/>
      <c r="F34" s="68"/>
      <c r="G34" s="68"/>
      <c r="H34" s="69"/>
      <c r="I34" s="67"/>
      <c r="J34" s="68"/>
      <c r="K34" s="68">
        <v>-500</v>
      </c>
      <c r="L34" s="68"/>
      <c r="M34" s="68"/>
      <c r="N34" s="68"/>
      <c r="O34" s="70"/>
    </row>
    <row r="35" spans="2:15" x14ac:dyDescent="0.25">
      <c r="B35" s="67">
        <v>9</v>
      </c>
      <c r="C35" s="77"/>
      <c r="D35" s="68"/>
      <c r="E35" s="68"/>
      <c r="F35" s="68"/>
      <c r="G35" s="68"/>
      <c r="H35" s="69">
        <v>-100</v>
      </c>
      <c r="I35" s="67"/>
      <c r="J35" s="68"/>
      <c r="K35" s="68"/>
      <c r="L35" s="68"/>
      <c r="M35" s="68"/>
      <c r="N35" s="68"/>
      <c r="O35" s="70">
        <v>-100</v>
      </c>
    </row>
    <row r="36" spans="2:15" x14ac:dyDescent="0.25">
      <c r="B36" s="67"/>
      <c r="C36" s="77"/>
      <c r="D36" s="68"/>
      <c r="E36" s="68"/>
      <c r="F36" s="68"/>
      <c r="G36" s="68"/>
      <c r="H36" s="69"/>
      <c r="I36" s="67"/>
      <c r="J36" s="68"/>
      <c r="K36" s="68"/>
      <c r="L36" s="68"/>
      <c r="M36" s="68"/>
      <c r="N36" s="73">
        <f>-O36</f>
        <v>-14300</v>
      </c>
      <c r="O36" s="70">
        <f>-SUM(O23:O35)</f>
        <v>14300</v>
      </c>
    </row>
    <row r="37" spans="2:15" x14ac:dyDescent="0.25">
      <c r="B37" s="2" t="s">
        <v>35</v>
      </c>
      <c r="C37" s="24">
        <f t="shared" ref="C37:O37" si="2">SUM(C23:C36)</f>
        <v>100</v>
      </c>
      <c r="D37" s="25">
        <f t="shared" si="2"/>
        <v>1500</v>
      </c>
      <c r="E37" s="25">
        <f t="shared" si="2"/>
        <v>11000</v>
      </c>
      <c r="F37" s="25">
        <f t="shared" si="2"/>
        <v>8000</v>
      </c>
      <c r="G37" s="25">
        <f t="shared" si="2"/>
        <v>10000</v>
      </c>
      <c r="H37" s="26">
        <f t="shared" si="2"/>
        <v>-100</v>
      </c>
      <c r="I37" s="24">
        <f t="shared" si="2"/>
        <v>18000</v>
      </c>
      <c r="J37" s="25">
        <f t="shared" si="2"/>
        <v>2800</v>
      </c>
      <c r="K37" s="25">
        <f t="shared" si="2"/>
        <v>11000</v>
      </c>
      <c r="L37" s="25">
        <f t="shared" si="2"/>
        <v>13000</v>
      </c>
      <c r="M37" s="25">
        <f t="shared" si="2"/>
        <v>0</v>
      </c>
      <c r="N37" s="25">
        <f t="shared" si="2"/>
        <v>-14300</v>
      </c>
      <c r="O37" s="58">
        <f t="shared" si="2"/>
        <v>0</v>
      </c>
    </row>
    <row r="40" spans="2:15" x14ac:dyDescent="0.25">
      <c r="C40" s="1" t="s">
        <v>19</v>
      </c>
      <c r="E40" s="1">
        <f>+SUM(C37:H37)</f>
        <v>30500</v>
      </c>
    </row>
    <row r="41" spans="2:15" x14ac:dyDescent="0.25">
      <c r="C41" s="1" t="s">
        <v>20</v>
      </c>
      <c r="E41" s="1">
        <f>+SUM(I37:O37)</f>
        <v>30500</v>
      </c>
    </row>
    <row r="44" spans="2:15" ht="21" x14ac:dyDescent="0.25">
      <c r="B44" s="134" t="s">
        <v>93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6"/>
    </row>
    <row r="45" spans="2:15" x14ac:dyDescent="0.25">
      <c r="B45" s="28"/>
      <c r="C45" s="131" t="s">
        <v>19</v>
      </c>
      <c r="D45" s="132"/>
      <c r="E45" s="132"/>
      <c r="F45" s="132"/>
      <c r="G45" s="132"/>
      <c r="H45" s="133"/>
      <c r="I45" s="131" t="s">
        <v>33</v>
      </c>
      <c r="J45" s="132"/>
      <c r="K45" s="132"/>
      <c r="L45" s="132"/>
      <c r="M45" s="132"/>
      <c r="N45" s="132"/>
      <c r="O45" s="133"/>
    </row>
    <row r="46" spans="2:15" ht="25.5" x14ac:dyDescent="0.25">
      <c r="B46" s="29"/>
      <c r="C46" s="29" t="s">
        <v>28</v>
      </c>
      <c r="D46" s="30" t="s">
        <v>67</v>
      </c>
      <c r="E46" s="30" t="s">
        <v>29</v>
      </c>
      <c r="F46" s="30" t="s">
        <v>62</v>
      </c>
      <c r="G46" s="30" t="s">
        <v>63</v>
      </c>
      <c r="H46" s="31" t="s">
        <v>68</v>
      </c>
      <c r="I46" s="29" t="s">
        <v>36</v>
      </c>
      <c r="J46" s="30" t="s">
        <v>37</v>
      </c>
      <c r="K46" s="30" t="s">
        <v>31</v>
      </c>
      <c r="L46" s="30" t="s">
        <v>32</v>
      </c>
      <c r="M46" s="30"/>
      <c r="N46" s="30" t="s">
        <v>66</v>
      </c>
      <c r="O46" s="31" t="s">
        <v>65</v>
      </c>
    </row>
    <row r="47" spans="2:15" x14ac:dyDescent="0.25">
      <c r="B47" s="80" t="s">
        <v>34</v>
      </c>
      <c r="C47" s="80">
        <f>+C37</f>
        <v>100</v>
      </c>
      <c r="D47" s="81">
        <f t="shared" ref="D47:E47" si="3">+D37</f>
        <v>1500</v>
      </c>
      <c r="E47" s="81">
        <f t="shared" si="3"/>
        <v>11000</v>
      </c>
      <c r="F47" s="81">
        <v>8000</v>
      </c>
      <c r="G47" s="81">
        <v>10000</v>
      </c>
      <c r="H47" s="82">
        <f t="shared" ref="H47:O47" si="4">+H37</f>
        <v>-100</v>
      </c>
      <c r="I47" s="80">
        <f t="shared" si="4"/>
        <v>18000</v>
      </c>
      <c r="J47" s="81">
        <f t="shared" si="4"/>
        <v>2800</v>
      </c>
      <c r="K47" s="81">
        <f t="shared" si="4"/>
        <v>11000</v>
      </c>
      <c r="L47" s="81">
        <f t="shared" si="4"/>
        <v>13000</v>
      </c>
      <c r="M47" s="81">
        <f t="shared" si="4"/>
        <v>0</v>
      </c>
      <c r="N47" s="81">
        <f t="shared" si="4"/>
        <v>-14300</v>
      </c>
      <c r="O47" s="83">
        <f t="shared" si="4"/>
        <v>0</v>
      </c>
    </row>
    <row r="48" spans="2:15" x14ac:dyDescent="0.25">
      <c r="B48" s="84">
        <v>1</v>
      </c>
      <c r="C48" s="71">
        <v>1500</v>
      </c>
      <c r="D48" s="60">
        <f>-C48</f>
        <v>-1500</v>
      </c>
      <c r="E48" s="60"/>
      <c r="F48" s="60"/>
      <c r="G48" s="60"/>
      <c r="H48" s="61"/>
      <c r="I48" s="71"/>
      <c r="J48" s="60"/>
      <c r="K48" s="60"/>
      <c r="L48" s="60"/>
      <c r="M48" s="60"/>
      <c r="N48" s="60"/>
      <c r="O48" s="62"/>
    </row>
    <row r="49" spans="2:15" x14ac:dyDescent="0.25">
      <c r="B49" s="128">
        <f>+B48+1</f>
        <v>2</v>
      </c>
      <c r="C49" s="71">
        <v>25000</v>
      </c>
      <c r="D49" s="60">
        <v>5000</v>
      </c>
      <c r="E49" s="60"/>
      <c r="F49" s="60"/>
      <c r="G49" s="60"/>
      <c r="H49" s="60"/>
      <c r="I49" s="71"/>
      <c r="J49" s="60"/>
      <c r="K49" s="60"/>
      <c r="L49" s="60"/>
      <c r="M49" s="60"/>
      <c r="N49" s="60"/>
      <c r="O49" s="62">
        <v>30000</v>
      </c>
    </row>
    <row r="50" spans="2:15" x14ac:dyDescent="0.25">
      <c r="B50" s="129"/>
      <c r="C50" s="21"/>
      <c r="D50" s="22"/>
      <c r="E50" s="22">
        <v>-11000</v>
      </c>
      <c r="F50" s="22"/>
      <c r="G50" s="22"/>
      <c r="H50" s="22"/>
      <c r="I50" s="21"/>
      <c r="J50" s="22"/>
      <c r="K50" s="22"/>
      <c r="L50" s="22"/>
      <c r="M50" s="22"/>
      <c r="N50" s="22"/>
      <c r="O50" s="57">
        <v>-11000</v>
      </c>
    </row>
    <row r="51" spans="2:15" x14ac:dyDescent="0.25">
      <c r="B51" s="128">
        <f>+B49+1</f>
        <v>3</v>
      </c>
      <c r="C51" s="71"/>
      <c r="D51" s="60"/>
      <c r="E51" s="60"/>
      <c r="F51" s="60"/>
      <c r="G51" s="60"/>
      <c r="H51" s="60"/>
      <c r="I51" s="71">
        <v>-18000</v>
      </c>
      <c r="J51" s="60"/>
      <c r="K51" s="60"/>
      <c r="L51" s="60"/>
      <c r="M51" s="60"/>
      <c r="N51" s="60"/>
      <c r="O51" s="62"/>
    </row>
    <row r="52" spans="2:15" x14ac:dyDescent="0.25">
      <c r="B52" s="130"/>
      <c r="C52" s="21"/>
      <c r="D52" s="22"/>
      <c r="E52" s="22"/>
      <c r="F52" s="22"/>
      <c r="G52" s="22"/>
      <c r="H52" s="22"/>
      <c r="I52" s="21"/>
      <c r="J52" s="22">
        <v>-1000</v>
      </c>
      <c r="K52" s="22"/>
      <c r="L52" s="22"/>
      <c r="M52" s="22"/>
      <c r="N52" s="22"/>
      <c r="O52" s="57"/>
    </row>
    <row r="53" spans="2:15" x14ac:dyDescent="0.25">
      <c r="B53" s="130"/>
      <c r="C53" s="21"/>
      <c r="D53" s="22"/>
      <c r="E53" s="22"/>
      <c r="F53" s="22"/>
      <c r="G53" s="22"/>
      <c r="H53" s="22"/>
      <c r="I53" s="21"/>
      <c r="J53" s="22">
        <v>-1800</v>
      </c>
      <c r="K53" s="22"/>
      <c r="L53" s="22"/>
      <c r="M53" s="22"/>
      <c r="N53" s="22"/>
      <c r="O53" s="57"/>
    </row>
    <row r="54" spans="2:15" x14ac:dyDescent="0.25">
      <c r="B54" s="129"/>
      <c r="C54" s="72">
        <f>SUM(I51:J54)</f>
        <v>-20800</v>
      </c>
      <c r="D54" s="64"/>
      <c r="E54" s="64"/>
      <c r="F54" s="64"/>
      <c r="G54" s="64"/>
      <c r="H54" s="64"/>
      <c r="I54" s="72"/>
      <c r="J54" s="64"/>
      <c r="K54" s="64"/>
      <c r="L54" s="64"/>
      <c r="M54" s="64"/>
      <c r="N54" s="64"/>
      <c r="O54" s="66"/>
    </row>
    <row r="55" spans="2:15" x14ac:dyDescent="0.25">
      <c r="B55" s="84">
        <f>+B51+1</f>
        <v>4</v>
      </c>
      <c r="C55" s="21">
        <v>-1000</v>
      </c>
      <c r="D55" s="22"/>
      <c r="E55" s="22">
        <v>10000</v>
      </c>
      <c r="F55" s="22"/>
      <c r="G55" s="22"/>
      <c r="H55" s="23"/>
      <c r="I55" s="21">
        <v>9000</v>
      </c>
      <c r="J55" s="22"/>
      <c r="K55" s="22"/>
      <c r="L55" s="22"/>
      <c r="M55" s="22"/>
      <c r="N55" s="22"/>
      <c r="O55" s="57"/>
    </row>
    <row r="56" spans="2:15" x14ac:dyDescent="0.25">
      <c r="B56" s="128">
        <f t="shared" ref="B56:B62" si="5">+B55+1</f>
        <v>5</v>
      </c>
      <c r="C56" s="71"/>
      <c r="D56" s="60"/>
      <c r="E56" s="60"/>
      <c r="F56" s="60"/>
      <c r="G56" s="60"/>
      <c r="H56" s="60"/>
      <c r="I56" s="71"/>
      <c r="J56" s="60">
        <v>3000</v>
      </c>
      <c r="K56" s="60"/>
      <c r="L56" s="60"/>
      <c r="M56" s="60"/>
      <c r="N56" s="60"/>
      <c r="O56" s="62">
        <v>-3000</v>
      </c>
    </row>
    <row r="57" spans="2:15" x14ac:dyDescent="0.25">
      <c r="B57" s="129"/>
      <c r="C57" s="21"/>
      <c r="D57" s="22"/>
      <c r="E57" s="22"/>
      <c r="F57" s="22"/>
      <c r="G57" s="22"/>
      <c r="H57" s="22"/>
      <c r="I57" s="21"/>
      <c r="J57" s="22">
        <v>2000</v>
      </c>
      <c r="K57" s="22"/>
      <c r="L57" s="22"/>
      <c r="M57" s="22"/>
      <c r="N57" s="22"/>
      <c r="O57" s="57">
        <v>-2000</v>
      </c>
    </row>
    <row r="58" spans="2:15" x14ac:dyDescent="0.25">
      <c r="B58" s="128">
        <f>+B56+1</f>
        <v>6</v>
      </c>
      <c r="C58" s="71"/>
      <c r="D58" s="60"/>
      <c r="E58" s="60"/>
      <c r="F58" s="60"/>
      <c r="G58" s="60"/>
      <c r="H58" s="60"/>
      <c r="I58" s="71"/>
      <c r="J58" s="60"/>
      <c r="K58" s="60">
        <v>300</v>
      </c>
      <c r="L58" s="60"/>
      <c r="M58" s="60"/>
      <c r="N58" s="60"/>
      <c r="O58" s="62">
        <v>-300</v>
      </c>
    </row>
    <row r="59" spans="2:15" x14ac:dyDescent="0.25">
      <c r="B59" s="129"/>
      <c r="C59" s="72">
        <v>-300</v>
      </c>
      <c r="D59" s="64"/>
      <c r="E59" s="64"/>
      <c r="F59" s="64"/>
      <c r="G59" s="64"/>
      <c r="H59" s="64"/>
      <c r="I59" s="72"/>
      <c r="J59" s="64"/>
      <c r="K59" s="64">
        <v>-300</v>
      </c>
      <c r="L59" s="64"/>
      <c r="M59" s="64"/>
      <c r="N59" s="64"/>
      <c r="O59" s="66"/>
    </row>
    <row r="60" spans="2:15" x14ac:dyDescent="0.25">
      <c r="B60" s="84">
        <f>+B58+1</f>
        <v>7</v>
      </c>
      <c r="C60" s="72">
        <v>-4000</v>
      </c>
      <c r="D60" s="64"/>
      <c r="E60" s="64"/>
      <c r="F60" s="64"/>
      <c r="G60" s="64"/>
      <c r="H60" s="65"/>
      <c r="I60" s="72"/>
      <c r="J60" s="64"/>
      <c r="K60" s="64">
        <v>-4000</v>
      </c>
      <c r="L60" s="64"/>
      <c r="M60" s="64"/>
      <c r="N60" s="64"/>
      <c r="O60" s="66"/>
    </row>
    <row r="61" spans="2:15" x14ac:dyDescent="0.25">
      <c r="B61" s="84">
        <f t="shared" si="5"/>
        <v>8</v>
      </c>
      <c r="C61" s="67"/>
      <c r="D61" s="68"/>
      <c r="E61" s="68"/>
      <c r="F61" s="68"/>
      <c r="G61" s="68"/>
      <c r="H61" s="69">
        <v>-100</v>
      </c>
      <c r="I61" s="67"/>
      <c r="J61" s="68"/>
      <c r="K61" s="68"/>
      <c r="L61" s="68"/>
      <c r="M61" s="68"/>
      <c r="N61" s="68"/>
      <c r="O61" s="70">
        <v>-100</v>
      </c>
    </row>
    <row r="62" spans="2:15" x14ac:dyDescent="0.25">
      <c r="B62" s="84">
        <f t="shared" si="5"/>
        <v>9</v>
      </c>
      <c r="C62" s="67">
        <v>-300</v>
      </c>
      <c r="D62" s="68"/>
      <c r="E62" s="68"/>
      <c r="F62" s="68"/>
      <c r="G62" s="68"/>
      <c r="H62" s="69"/>
      <c r="I62" s="67"/>
      <c r="J62" s="68"/>
      <c r="K62" s="68"/>
      <c r="L62" s="68"/>
      <c r="M62" s="68"/>
      <c r="N62" s="68">
        <v>-300</v>
      </c>
      <c r="O62" s="70"/>
    </row>
    <row r="63" spans="2:15" x14ac:dyDescent="0.25">
      <c r="B63" s="84" t="s">
        <v>95</v>
      </c>
      <c r="C63" s="67"/>
      <c r="D63" s="68"/>
      <c r="E63" s="68"/>
      <c r="F63" s="68"/>
      <c r="G63" s="68"/>
      <c r="H63" s="69"/>
      <c r="I63" s="67"/>
      <c r="J63" s="68"/>
      <c r="K63" s="68"/>
      <c r="L63" s="68"/>
      <c r="M63" s="68"/>
      <c r="N63" s="73">
        <f>-O63</f>
        <v>13600</v>
      </c>
      <c r="O63" s="70">
        <f>-SUM(O48:O62)</f>
        <v>-13600</v>
      </c>
    </row>
    <row r="64" spans="2:15" x14ac:dyDescent="0.25">
      <c r="B64" s="2" t="s">
        <v>35</v>
      </c>
      <c r="C64" s="24">
        <f t="shared" ref="C64:O64" si="6">SUM(C47:C63)</f>
        <v>200</v>
      </c>
      <c r="D64" s="25">
        <f t="shared" si="6"/>
        <v>5000</v>
      </c>
      <c r="E64" s="25">
        <f t="shared" si="6"/>
        <v>10000</v>
      </c>
      <c r="F64" s="25">
        <f t="shared" si="6"/>
        <v>8000</v>
      </c>
      <c r="G64" s="25">
        <f t="shared" si="6"/>
        <v>10000</v>
      </c>
      <c r="H64" s="26">
        <f t="shared" si="6"/>
        <v>-200</v>
      </c>
      <c r="I64" s="24">
        <f t="shared" si="6"/>
        <v>9000</v>
      </c>
      <c r="J64" s="25">
        <f t="shared" si="6"/>
        <v>5000</v>
      </c>
      <c r="K64" s="25">
        <f t="shared" si="6"/>
        <v>7000</v>
      </c>
      <c r="L64" s="25">
        <f t="shared" si="6"/>
        <v>13000</v>
      </c>
      <c r="M64" s="25">
        <f t="shared" si="6"/>
        <v>0</v>
      </c>
      <c r="N64" s="25">
        <f t="shared" si="6"/>
        <v>-1000</v>
      </c>
      <c r="O64" s="58">
        <f t="shared" si="6"/>
        <v>0</v>
      </c>
    </row>
    <row r="67" spans="2:19" x14ac:dyDescent="0.25">
      <c r="C67" s="1" t="s">
        <v>19</v>
      </c>
      <c r="E67" s="1">
        <f>SUM(C64:H64)</f>
        <v>33000</v>
      </c>
      <c r="I67" s="79">
        <v>37539</v>
      </c>
    </row>
    <row r="68" spans="2:19" x14ac:dyDescent="0.25">
      <c r="C68" s="1" t="s">
        <v>20</v>
      </c>
      <c r="E68" s="1">
        <f>+SUM(I64:O64)</f>
        <v>33000</v>
      </c>
      <c r="I68" s="79">
        <v>35713</v>
      </c>
    </row>
    <row r="69" spans="2:19" x14ac:dyDescent="0.25">
      <c r="I69" s="1">
        <f>+I68-I67</f>
        <v>-1826</v>
      </c>
      <c r="J69" s="1" t="s">
        <v>94</v>
      </c>
    </row>
    <row r="71" spans="2:19" ht="21" customHeight="1" x14ac:dyDescent="0.25">
      <c r="B71" s="139" t="s">
        <v>96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1"/>
    </row>
    <row r="72" spans="2:19" ht="15" customHeight="1" x14ac:dyDescent="0.25">
      <c r="B72" s="28"/>
      <c r="C72" s="131" t="s">
        <v>19</v>
      </c>
      <c r="D72" s="132"/>
      <c r="E72" s="132"/>
      <c r="F72" s="132"/>
      <c r="G72" s="132"/>
      <c r="H72" s="132"/>
      <c r="I72" s="133"/>
      <c r="J72" s="131" t="s">
        <v>33</v>
      </c>
      <c r="K72" s="132"/>
      <c r="L72" s="132"/>
      <c r="M72" s="132"/>
      <c r="N72" s="132"/>
      <c r="O72" s="132"/>
      <c r="P72" s="132"/>
      <c r="Q72" s="132"/>
      <c r="R72" s="132"/>
      <c r="S72" s="133"/>
    </row>
    <row r="73" spans="2:19" ht="25.5" x14ac:dyDescent="0.25">
      <c r="B73" s="29"/>
      <c r="C73" s="29" t="s">
        <v>28</v>
      </c>
      <c r="D73" s="30" t="s">
        <v>67</v>
      </c>
      <c r="E73" s="30" t="s">
        <v>29</v>
      </c>
      <c r="F73" s="30" t="s">
        <v>127</v>
      </c>
      <c r="G73" s="30" t="s">
        <v>62</v>
      </c>
      <c r="H73" s="30" t="s">
        <v>63</v>
      </c>
      <c r="I73" s="31" t="s">
        <v>68</v>
      </c>
      <c r="J73" s="29" t="s">
        <v>36</v>
      </c>
      <c r="K73" s="30" t="s">
        <v>37</v>
      </c>
      <c r="L73" s="30" t="s">
        <v>126</v>
      </c>
      <c r="M73" s="30" t="s">
        <v>128</v>
      </c>
      <c r="N73" s="30" t="s">
        <v>31</v>
      </c>
      <c r="O73" s="30" t="s">
        <v>129</v>
      </c>
      <c r="P73" s="30" t="s">
        <v>32</v>
      </c>
      <c r="Q73" s="30"/>
      <c r="R73" s="30" t="s">
        <v>66</v>
      </c>
      <c r="S73" s="31" t="s">
        <v>65</v>
      </c>
    </row>
    <row r="74" spans="2:19" x14ac:dyDescent="0.25">
      <c r="B74" s="90" t="s">
        <v>34</v>
      </c>
      <c r="C74" s="90">
        <f>+C64</f>
        <v>200</v>
      </c>
      <c r="D74" s="105">
        <f t="shared" ref="D74:E74" si="7">+D64</f>
        <v>5000</v>
      </c>
      <c r="E74" s="105">
        <f t="shared" si="7"/>
        <v>10000</v>
      </c>
      <c r="F74" s="105">
        <v>0</v>
      </c>
      <c r="G74" s="105">
        <v>8000</v>
      </c>
      <c r="H74" s="105">
        <v>10000</v>
      </c>
      <c r="I74" s="111">
        <f>+H64</f>
        <v>-200</v>
      </c>
      <c r="J74" s="90">
        <f>+I64</f>
        <v>9000</v>
      </c>
      <c r="K74" s="105">
        <f>+J64</f>
        <v>5000</v>
      </c>
      <c r="L74" s="105">
        <v>0</v>
      </c>
      <c r="M74" s="105">
        <v>0</v>
      </c>
      <c r="N74" s="105">
        <f>+K64</f>
        <v>7000</v>
      </c>
      <c r="O74" s="105">
        <v>0</v>
      </c>
      <c r="P74" s="105">
        <f>+L64</f>
        <v>13000</v>
      </c>
      <c r="Q74" s="105">
        <f>+M64</f>
        <v>0</v>
      </c>
      <c r="R74" s="105">
        <f>+N64</f>
        <v>-1000</v>
      </c>
      <c r="S74" s="117">
        <f>+O64</f>
        <v>0</v>
      </c>
    </row>
    <row r="75" spans="2:19" x14ac:dyDescent="0.25">
      <c r="B75" s="67">
        <v>1</v>
      </c>
      <c r="C75" s="77">
        <v>5000</v>
      </c>
      <c r="D75" s="68">
        <v>-5000</v>
      </c>
      <c r="E75" s="68"/>
      <c r="F75" s="68"/>
      <c r="G75" s="68"/>
      <c r="H75" s="68"/>
      <c r="I75" s="68"/>
      <c r="J75" s="67"/>
      <c r="K75" s="68"/>
      <c r="L75" s="68"/>
      <c r="M75" s="68"/>
      <c r="N75" s="68"/>
      <c r="O75" s="68"/>
      <c r="P75" s="68"/>
      <c r="Q75" s="68"/>
      <c r="R75" s="68"/>
      <c r="S75" s="70"/>
    </row>
    <row r="76" spans="2:19" x14ac:dyDescent="0.25">
      <c r="B76" s="84">
        <v>2</v>
      </c>
      <c r="C76" s="77">
        <v>15000</v>
      </c>
      <c r="D76" s="68"/>
      <c r="E76" s="68"/>
      <c r="F76" s="68"/>
      <c r="G76" s="68"/>
      <c r="H76" s="68"/>
      <c r="I76" s="68"/>
      <c r="J76" s="67"/>
      <c r="K76" s="68"/>
      <c r="L76" s="68">
        <v>15000</v>
      </c>
      <c r="M76" s="68"/>
      <c r="N76" s="68"/>
      <c r="O76" s="68"/>
      <c r="P76" s="68"/>
      <c r="Q76" s="68"/>
      <c r="R76" s="68"/>
      <c r="S76" s="70"/>
    </row>
    <row r="77" spans="2:19" x14ac:dyDescent="0.25">
      <c r="B77" s="137">
        <v>3</v>
      </c>
      <c r="C77" s="74">
        <v>13000</v>
      </c>
      <c r="D77" s="115">
        <v>2000</v>
      </c>
      <c r="E77" s="115"/>
      <c r="F77" s="115"/>
      <c r="G77" s="115"/>
      <c r="H77" s="115"/>
      <c r="I77" s="115"/>
      <c r="J77" s="92"/>
      <c r="K77" s="115"/>
      <c r="L77" s="115"/>
      <c r="M77" s="115"/>
      <c r="N77" s="115"/>
      <c r="O77" s="115"/>
      <c r="P77" s="115"/>
      <c r="Q77" s="115"/>
      <c r="R77" s="115"/>
      <c r="S77" s="62">
        <v>15000</v>
      </c>
    </row>
    <row r="78" spans="2:19" x14ac:dyDescent="0.25">
      <c r="B78" s="138"/>
      <c r="C78" s="76"/>
      <c r="D78" s="116"/>
      <c r="E78" s="116">
        <v>-10000</v>
      </c>
      <c r="F78" s="116"/>
      <c r="G78" s="116"/>
      <c r="H78" s="116"/>
      <c r="I78" s="116"/>
      <c r="J78" s="93"/>
      <c r="K78" s="116"/>
      <c r="L78" s="116"/>
      <c r="M78" s="116"/>
      <c r="N78" s="116"/>
      <c r="O78" s="116"/>
      <c r="P78" s="116"/>
      <c r="Q78" s="116"/>
      <c r="R78" s="116"/>
      <c r="S78" s="66">
        <v>-10000</v>
      </c>
    </row>
    <row r="79" spans="2:19" x14ac:dyDescent="0.25">
      <c r="B79" s="84">
        <v>4</v>
      </c>
      <c r="C79" s="77">
        <v>-14000</v>
      </c>
      <c r="D79" s="68"/>
      <c r="E79" s="68"/>
      <c r="F79" s="68"/>
      <c r="G79" s="68"/>
      <c r="H79" s="68"/>
      <c r="I79" s="68"/>
      <c r="J79" s="67">
        <v>-9000</v>
      </c>
      <c r="K79" s="68">
        <v>-5000</v>
      </c>
      <c r="L79" s="68"/>
      <c r="M79" s="68"/>
      <c r="N79" s="68"/>
      <c r="O79" s="68"/>
      <c r="P79" s="68"/>
      <c r="Q79" s="68"/>
      <c r="R79" s="68"/>
      <c r="S79" s="70"/>
    </row>
    <row r="80" spans="2:19" x14ac:dyDescent="0.25">
      <c r="B80" s="84">
        <v>5</v>
      </c>
      <c r="C80" s="77">
        <v>-1000</v>
      </c>
      <c r="D80" s="68"/>
      <c r="E80" s="68"/>
      <c r="F80" s="68"/>
      <c r="G80" s="68"/>
      <c r="H80" s="68"/>
      <c r="I80" s="68"/>
      <c r="J80" s="67"/>
      <c r="K80" s="68">
        <v>500</v>
      </c>
      <c r="L80" s="68"/>
      <c r="M80" s="68"/>
      <c r="N80" s="68"/>
      <c r="O80" s="68"/>
      <c r="P80" s="68"/>
      <c r="Q80" s="68"/>
      <c r="R80" s="68"/>
      <c r="S80" s="70">
        <v>-1500</v>
      </c>
    </row>
    <row r="81" spans="2:19" x14ac:dyDescent="0.25">
      <c r="B81" s="84">
        <v>6</v>
      </c>
      <c r="C81" s="77"/>
      <c r="D81" s="68"/>
      <c r="E81" s="68"/>
      <c r="F81" s="68"/>
      <c r="G81" s="68"/>
      <c r="H81" s="68"/>
      <c r="I81" s="68"/>
      <c r="J81" s="67"/>
      <c r="K81" s="68">
        <v>1200</v>
      </c>
      <c r="L81" s="68"/>
      <c r="M81" s="68"/>
      <c r="N81" s="68"/>
      <c r="O81" s="68"/>
      <c r="P81" s="68"/>
      <c r="Q81" s="68"/>
      <c r="R81" s="68"/>
      <c r="S81" s="70">
        <v>-1200</v>
      </c>
    </row>
    <row r="82" spans="2:19" x14ac:dyDescent="0.25">
      <c r="B82" s="137">
        <v>7</v>
      </c>
      <c r="C82" s="74"/>
      <c r="D82" s="115"/>
      <c r="E82" s="115"/>
      <c r="F82" s="115"/>
      <c r="G82" s="115"/>
      <c r="H82" s="115"/>
      <c r="I82" s="115"/>
      <c r="J82" s="92"/>
      <c r="K82" s="115"/>
      <c r="L82" s="115"/>
      <c r="M82" s="115"/>
      <c r="N82" s="115">
        <v>200</v>
      </c>
      <c r="O82" s="115"/>
      <c r="P82" s="115"/>
      <c r="Q82" s="115"/>
      <c r="R82" s="115"/>
      <c r="S82" s="62">
        <v>-200</v>
      </c>
    </row>
    <row r="83" spans="2:19" x14ac:dyDescent="0.25">
      <c r="B83" s="138"/>
      <c r="C83" s="76">
        <v>-200</v>
      </c>
      <c r="D83" s="116"/>
      <c r="E83" s="116"/>
      <c r="F83" s="116"/>
      <c r="G83" s="116"/>
      <c r="H83" s="116"/>
      <c r="I83" s="116"/>
      <c r="J83" s="93"/>
      <c r="K83" s="116"/>
      <c r="L83" s="116"/>
      <c r="M83" s="116"/>
      <c r="N83" s="116">
        <v>-200</v>
      </c>
      <c r="O83" s="116"/>
      <c r="P83" s="116"/>
      <c r="Q83" s="116"/>
      <c r="R83" s="116"/>
      <c r="S83" s="66"/>
    </row>
    <row r="84" spans="2:19" x14ac:dyDescent="0.25">
      <c r="B84" s="84">
        <v>8</v>
      </c>
      <c r="C84" s="77"/>
      <c r="D84" s="68"/>
      <c r="E84" s="68"/>
      <c r="F84" s="68"/>
      <c r="G84" s="68"/>
      <c r="H84" s="68"/>
      <c r="I84" s="68">
        <v>-100</v>
      </c>
      <c r="J84" s="67"/>
      <c r="K84" s="68"/>
      <c r="L84" s="68"/>
      <c r="M84" s="68"/>
      <c r="N84" s="68"/>
      <c r="O84" s="68"/>
      <c r="P84" s="68"/>
      <c r="Q84" s="68"/>
      <c r="R84" s="68"/>
      <c r="S84" s="70">
        <v>-100</v>
      </c>
    </row>
    <row r="85" spans="2:19" x14ac:dyDescent="0.25">
      <c r="B85" s="137">
        <v>9</v>
      </c>
      <c r="C85" s="74">
        <v>-1200</v>
      </c>
      <c r="D85" s="115"/>
      <c r="E85" s="115"/>
      <c r="F85" s="115">
        <v>1200</v>
      </c>
      <c r="G85" s="115"/>
      <c r="H85" s="115"/>
      <c r="I85" s="115"/>
      <c r="J85" s="92"/>
      <c r="K85" s="115"/>
      <c r="L85" s="115"/>
      <c r="M85" s="115"/>
      <c r="N85" s="115"/>
      <c r="O85" s="115"/>
      <c r="P85" s="115"/>
      <c r="Q85" s="115"/>
      <c r="R85" s="115"/>
      <c r="S85" s="62"/>
    </row>
    <row r="86" spans="2:19" x14ac:dyDescent="0.25">
      <c r="B86" s="138"/>
      <c r="C86" s="76"/>
      <c r="D86" s="116"/>
      <c r="E86" s="116"/>
      <c r="F86" s="116">
        <v>-100</v>
      </c>
      <c r="G86" s="116"/>
      <c r="H86" s="116"/>
      <c r="I86" s="116"/>
      <c r="J86" s="93"/>
      <c r="K86" s="116"/>
      <c r="L86" s="116"/>
      <c r="M86" s="116"/>
      <c r="N86" s="116"/>
      <c r="O86" s="116"/>
      <c r="P86" s="116"/>
      <c r="Q86" s="116"/>
      <c r="R86" s="116"/>
      <c r="S86" s="66">
        <v>-100</v>
      </c>
    </row>
    <row r="87" spans="2:19" x14ac:dyDescent="0.25">
      <c r="B87" s="67">
        <v>10</v>
      </c>
      <c r="C87" s="77">
        <v>-10000</v>
      </c>
      <c r="D87" s="68"/>
      <c r="E87" s="68">
        <v>12000</v>
      </c>
      <c r="F87" s="68"/>
      <c r="G87" s="68"/>
      <c r="H87" s="68"/>
      <c r="I87" s="68"/>
      <c r="J87" s="67">
        <v>2000</v>
      </c>
      <c r="K87" s="68"/>
      <c r="L87" s="68"/>
      <c r="M87" s="68"/>
      <c r="N87" s="68"/>
      <c r="O87" s="68"/>
      <c r="P87" s="68"/>
      <c r="Q87" s="68"/>
      <c r="R87" s="68"/>
      <c r="S87" s="70"/>
    </row>
    <row r="88" spans="2:19" x14ac:dyDescent="0.25">
      <c r="B88" s="137">
        <v>11</v>
      </c>
      <c r="C88" s="74">
        <v>10000</v>
      </c>
      <c r="D88" s="115"/>
      <c r="E88" s="115"/>
      <c r="F88" s="115"/>
      <c r="G88" s="115"/>
      <c r="H88" s="115"/>
      <c r="I88" s="115"/>
      <c r="J88" s="92"/>
      <c r="K88" s="115"/>
      <c r="L88" s="115"/>
      <c r="M88" s="115"/>
      <c r="N88" s="115"/>
      <c r="O88" s="115"/>
      <c r="P88" s="115"/>
      <c r="Q88" s="115"/>
      <c r="R88" s="115"/>
      <c r="S88" s="62">
        <v>10000</v>
      </c>
    </row>
    <row r="89" spans="2:19" x14ac:dyDescent="0.25">
      <c r="B89" s="138"/>
      <c r="C89" s="76"/>
      <c r="D89" s="116"/>
      <c r="E89" s="116"/>
      <c r="F89" s="116"/>
      <c r="G89" s="116">
        <v>-8000</v>
      </c>
      <c r="H89" s="116"/>
      <c r="I89" s="116"/>
      <c r="J89" s="93"/>
      <c r="K89" s="116"/>
      <c r="L89" s="116"/>
      <c r="M89" s="116"/>
      <c r="N89" s="116"/>
      <c r="O89" s="116"/>
      <c r="P89" s="116"/>
      <c r="Q89" s="116"/>
      <c r="R89" s="116"/>
      <c r="S89" s="66">
        <v>-8000</v>
      </c>
    </row>
    <row r="90" spans="2:19" x14ac:dyDescent="0.25">
      <c r="B90" s="67">
        <v>12</v>
      </c>
      <c r="C90" s="77"/>
      <c r="D90" s="68"/>
      <c r="E90" s="68"/>
      <c r="F90" s="68"/>
      <c r="G90" s="68"/>
      <c r="H90" s="68"/>
      <c r="I90" s="68"/>
      <c r="J90" s="67"/>
      <c r="K90" s="68"/>
      <c r="L90" s="68"/>
      <c r="M90" s="68">
        <f>-S90</f>
        <v>1560</v>
      </c>
      <c r="N90" s="68"/>
      <c r="O90" s="68"/>
      <c r="P90" s="68"/>
      <c r="Q90" s="68"/>
      <c r="R90" s="68"/>
      <c r="S90" s="70">
        <f>-SUM(S77:S89)*40%</f>
        <v>-1560</v>
      </c>
    </row>
    <row r="91" spans="2:19" x14ac:dyDescent="0.25">
      <c r="B91" s="67">
        <v>13</v>
      </c>
      <c r="C91" s="77"/>
      <c r="D91" s="68"/>
      <c r="E91" s="68"/>
      <c r="F91" s="68"/>
      <c r="G91" s="68"/>
      <c r="H91" s="68"/>
      <c r="I91" s="68"/>
      <c r="J91" s="67"/>
      <c r="K91" s="68"/>
      <c r="L91" s="68"/>
      <c r="M91" s="68"/>
      <c r="N91" s="68"/>
      <c r="O91" s="68">
        <f>-S91</f>
        <v>585</v>
      </c>
      <c r="P91" s="68"/>
      <c r="Q91" s="68"/>
      <c r="R91" s="68"/>
      <c r="S91" s="70">
        <f>-2340*0.25</f>
        <v>-585</v>
      </c>
    </row>
    <row r="92" spans="2:19" x14ac:dyDescent="0.25">
      <c r="B92" s="93" t="s">
        <v>95</v>
      </c>
      <c r="C92" s="76"/>
      <c r="D92" s="116"/>
      <c r="E92" s="116"/>
      <c r="F92" s="116"/>
      <c r="G92" s="116"/>
      <c r="H92" s="116"/>
      <c r="I92" s="116"/>
      <c r="J92" s="93"/>
      <c r="K92" s="116"/>
      <c r="L92" s="116"/>
      <c r="M92" s="116"/>
      <c r="N92" s="116"/>
      <c r="O92" s="116"/>
      <c r="P92" s="116"/>
      <c r="Q92" s="116"/>
      <c r="R92" s="118">
        <f>-S92</f>
        <v>1755</v>
      </c>
      <c r="S92" s="66">
        <f>-SUM(S75:S91)</f>
        <v>-1755</v>
      </c>
    </row>
    <row r="93" spans="2:19" x14ac:dyDescent="0.25">
      <c r="B93" s="2" t="s">
        <v>35</v>
      </c>
      <c r="C93" s="24">
        <f t="shared" ref="C93:S93" si="8">SUM(C74:C92)</f>
        <v>16800</v>
      </c>
      <c r="D93" s="25">
        <f t="shared" si="8"/>
        <v>2000</v>
      </c>
      <c r="E93" s="25">
        <f t="shared" si="8"/>
        <v>12000</v>
      </c>
      <c r="F93" s="25">
        <f t="shared" si="8"/>
        <v>1100</v>
      </c>
      <c r="G93" s="25">
        <f t="shared" si="8"/>
        <v>0</v>
      </c>
      <c r="H93" s="25">
        <f t="shared" si="8"/>
        <v>10000</v>
      </c>
      <c r="I93" s="26">
        <f t="shared" si="8"/>
        <v>-300</v>
      </c>
      <c r="J93" s="24">
        <f t="shared" si="8"/>
        <v>2000</v>
      </c>
      <c r="K93" s="25">
        <f t="shared" si="8"/>
        <v>1700</v>
      </c>
      <c r="L93" s="25">
        <f t="shared" si="8"/>
        <v>15000</v>
      </c>
      <c r="M93" s="25">
        <f t="shared" si="8"/>
        <v>1560</v>
      </c>
      <c r="N93" s="25">
        <f t="shared" si="8"/>
        <v>7000</v>
      </c>
      <c r="O93" s="25">
        <f t="shared" si="8"/>
        <v>585</v>
      </c>
      <c r="P93" s="25">
        <f t="shared" si="8"/>
        <v>13000</v>
      </c>
      <c r="Q93" s="25">
        <f t="shared" si="8"/>
        <v>0</v>
      </c>
      <c r="R93" s="25">
        <f t="shared" si="8"/>
        <v>755</v>
      </c>
      <c r="S93" s="58">
        <f t="shared" si="8"/>
        <v>0</v>
      </c>
    </row>
    <row r="96" spans="2:19" x14ac:dyDescent="0.25">
      <c r="C96" s="1" t="s">
        <v>19</v>
      </c>
      <c r="E96" s="1">
        <f>SUM(C93:I93)</f>
        <v>41600</v>
      </c>
      <c r="I96" s="79">
        <v>37539</v>
      </c>
    </row>
    <row r="97" spans="3:9" x14ac:dyDescent="0.25">
      <c r="C97" s="1" t="s">
        <v>20</v>
      </c>
      <c r="E97" s="1">
        <f>+SUM(J93:S93)</f>
        <v>41600</v>
      </c>
      <c r="I97" s="79">
        <v>35713</v>
      </c>
    </row>
  </sheetData>
  <mergeCells count="23">
    <mergeCell ref="B88:B89"/>
    <mergeCell ref="B71:S71"/>
    <mergeCell ref="J72:S72"/>
    <mergeCell ref="B85:B86"/>
    <mergeCell ref="B77:B78"/>
    <mergeCell ref="B82:B83"/>
    <mergeCell ref="C72:I72"/>
    <mergeCell ref="I45:O45"/>
    <mergeCell ref="B2:O2"/>
    <mergeCell ref="B20:O20"/>
    <mergeCell ref="C21:H21"/>
    <mergeCell ref="I21:O21"/>
    <mergeCell ref="B44:O44"/>
    <mergeCell ref="B24:B25"/>
    <mergeCell ref="B30:B31"/>
    <mergeCell ref="B26:B27"/>
    <mergeCell ref="C3:H3"/>
    <mergeCell ref="I3:O3"/>
    <mergeCell ref="B49:B50"/>
    <mergeCell ref="B51:B54"/>
    <mergeCell ref="B56:B57"/>
    <mergeCell ref="B58:B59"/>
    <mergeCell ref="C45:H45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5"/>
  <sheetViews>
    <sheetView tabSelected="1" zoomScale="120" zoomScaleNormal="120" workbookViewId="0">
      <selection activeCell="H105" sqref="B103:H105"/>
    </sheetView>
  </sheetViews>
  <sheetFormatPr defaultRowHeight="15" outlineLevelRow="1" x14ac:dyDescent="0.25"/>
  <cols>
    <col min="1" max="1" width="4" style="1" customWidth="1"/>
    <col min="2" max="2" width="27.140625" style="1" customWidth="1"/>
    <col min="3" max="16384" width="9.140625" style="1"/>
  </cols>
  <sheetData>
    <row r="2" spans="2:8" ht="21" customHeight="1" x14ac:dyDescent="0.25">
      <c r="B2" s="139" t="s">
        <v>39</v>
      </c>
      <c r="C2" s="140"/>
      <c r="D2" s="140"/>
      <c r="E2" s="140"/>
      <c r="F2" s="140"/>
      <c r="G2" s="140"/>
      <c r="H2" s="141"/>
    </row>
    <row r="3" spans="2:8" x14ac:dyDescent="0.25">
      <c r="B3" s="32" t="s">
        <v>19</v>
      </c>
      <c r="C3" s="33">
        <v>41670</v>
      </c>
      <c r="D3" s="33">
        <v>41698</v>
      </c>
      <c r="E3" s="33">
        <v>41729</v>
      </c>
      <c r="F3" s="33">
        <v>41759</v>
      </c>
      <c r="G3" s="33">
        <v>41790</v>
      </c>
      <c r="H3" s="34">
        <v>41820</v>
      </c>
    </row>
    <row r="4" spans="2:8" outlineLevel="1" x14ac:dyDescent="0.25">
      <c r="B4" s="35" t="s">
        <v>40</v>
      </c>
      <c r="C4" s="22">
        <f>+'Exercício inicial - lançamentos'!C5</f>
        <v>3000</v>
      </c>
      <c r="D4" s="22">
        <f>+'Exercício inicial - lançamentos'!C13</f>
        <v>1500</v>
      </c>
      <c r="E4" s="22">
        <f>+'Exercício inicial - lançamentos'!C37</f>
        <v>100</v>
      </c>
      <c r="F4" s="22">
        <f>+'Exercício inicial - lançamentos'!C64</f>
        <v>200</v>
      </c>
      <c r="G4" s="22">
        <f>+'Exercício inicial - lançamentos'!C93</f>
        <v>16800</v>
      </c>
      <c r="H4" s="23"/>
    </row>
    <row r="5" spans="2:8" outlineLevel="1" x14ac:dyDescent="0.25">
      <c r="B5" s="35" t="s">
        <v>23</v>
      </c>
      <c r="C5" s="22">
        <v>0</v>
      </c>
      <c r="D5" s="22">
        <v>0</v>
      </c>
      <c r="E5" s="22">
        <f>+'Exercício inicial - lançamentos'!D37</f>
        <v>1500</v>
      </c>
      <c r="F5" s="22">
        <f>+'Exercício inicial - lançamentos'!D64</f>
        <v>5000</v>
      </c>
      <c r="G5" s="22">
        <f>+'Exercício inicial - lançamentos'!D93</f>
        <v>2000</v>
      </c>
      <c r="H5" s="23"/>
    </row>
    <row r="6" spans="2:8" outlineLevel="1" x14ac:dyDescent="0.25">
      <c r="B6" s="35" t="s">
        <v>29</v>
      </c>
      <c r="C6" s="22">
        <f>+'Exercício inicial - lançamentos'!E5</f>
        <v>4000</v>
      </c>
      <c r="D6" s="22">
        <f>+'Exercício inicial - lançamentos'!E13</f>
        <v>24000</v>
      </c>
      <c r="E6" s="22">
        <f>+'Exercício inicial - lançamentos'!E37</f>
        <v>11000</v>
      </c>
      <c r="F6" s="22">
        <f>+'Exercício inicial - lançamentos'!E64</f>
        <v>10000</v>
      </c>
      <c r="G6" s="22">
        <f>+'Exercício inicial - lançamentos'!E93</f>
        <v>12000</v>
      </c>
      <c r="H6" s="23"/>
    </row>
    <row r="7" spans="2:8" outlineLevel="1" x14ac:dyDescent="0.25">
      <c r="B7" s="35" t="s">
        <v>130</v>
      </c>
      <c r="C7" s="22">
        <v>0</v>
      </c>
      <c r="D7" s="22">
        <v>0</v>
      </c>
      <c r="E7" s="22">
        <v>0</v>
      </c>
      <c r="F7" s="22">
        <v>0</v>
      </c>
      <c r="G7" s="22">
        <f>+'Exercício inicial - lançamentos'!F93</f>
        <v>1100</v>
      </c>
      <c r="H7" s="23"/>
    </row>
    <row r="8" spans="2:8" outlineLevel="1" x14ac:dyDescent="0.25">
      <c r="B8" s="35" t="s">
        <v>62</v>
      </c>
      <c r="C8" s="22">
        <f>+'Exercício inicial - lançamentos'!F5</f>
        <v>8000</v>
      </c>
      <c r="D8" s="22">
        <f>+C8</f>
        <v>8000</v>
      </c>
      <c r="E8" s="22">
        <f>+'Exercício inicial - lançamentos'!F37</f>
        <v>8000</v>
      </c>
      <c r="F8" s="22">
        <f>+'Exercício inicial - lançamentos'!F64</f>
        <v>8000</v>
      </c>
      <c r="G8" s="22">
        <v>0</v>
      </c>
      <c r="H8" s="23"/>
    </row>
    <row r="9" spans="2:8" outlineLevel="1" x14ac:dyDescent="0.25">
      <c r="B9" s="35" t="s">
        <v>64</v>
      </c>
      <c r="C9" s="22">
        <v>0</v>
      </c>
      <c r="D9" s="22">
        <v>10000</v>
      </c>
      <c r="E9" s="22">
        <f>+'Exercício inicial - lançamentos'!G37</f>
        <v>10000</v>
      </c>
      <c r="F9" s="22">
        <f>+'Exercício inicial - lançamentos'!G64</f>
        <v>10000</v>
      </c>
      <c r="G9" s="22">
        <f>+'Exercício inicial - lançamentos'!H93</f>
        <v>10000</v>
      </c>
      <c r="H9" s="23"/>
    </row>
    <row r="10" spans="2:8" outlineLevel="1" x14ac:dyDescent="0.25">
      <c r="B10" s="35" t="s">
        <v>69</v>
      </c>
      <c r="C10" s="22">
        <v>0</v>
      </c>
      <c r="D10" s="22">
        <v>0</v>
      </c>
      <c r="E10" s="22">
        <f>+'Exercício inicial - lançamentos'!H37</f>
        <v>-100</v>
      </c>
      <c r="F10" s="22">
        <f>+'Exercício inicial - lançamentos'!H64</f>
        <v>-200</v>
      </c>
      <c r="G10" s="22">
        <f>+'Exercício inicial - lançamentos'!I93</f>
        <v>-300</v>
      </c>
      <c r="H10" s="23"/>
    </row>
    <row r="11" spans="2:8" outlineLevel="1" x14ac:dyDescent="0.25">
      <c r="B11" s="35"/>
      <c r="C11" s="22"/>
      <c r="D11" s="22"/>
      <c r="E11" s="22"/>
      <c r="F11" s="22"/>
      <c r="G11" s="22"/>
      <c r="H11" s="23"/>
    </row>
    <row r="12" spans="2:8" x14ac:dyDescent="0.25">
      <c r="B12" s="36" t="s">
        <v>41</v>
      </c>
      <c r="C12" s="37">
        <f>SUM(C4:C11)</f>
        <v>15000</v>
      </c>
      <c r="D12" s="37">
        <f>SUM(D4:D11)</f>
        <v>43500</v>
      </c>
      <c r="E12" s="37">
        <f t="shared" ref="E12:H12" si="0">SUM(E4:E11)</f>
        <v>30500</v>
      </c>
      <c r="F12" s="37">
        <f t="shared" si="0"/>
        <v>33000</v>
      </c>
      <c r="G12" s="37">
        <f t="shared" si="0"/>
        <v>41600</v>
      </c>
      <c r="H12" s="38">
        <f t="shared" si="0"/>
        <v>0</v>
      </c>
    </row>
    <row r="13" spans="2:8" x14ac:dyDescent="0.25">
      <c r="B13" s="91" t="s">
        <v>33</v>
      </c>
      <c r="C13" s="33">
        <f>+C3</f>
        <v>41670</v>
      </c>
      <c r="D13" s="33">
        <f t="shared" ref="D13:G13" si="1">+D3</f>
        <v>41698</v>
      </c>
      <c r="E13" s="33">
        <f t="shared" si="1"/>
        <v>41729</v>
      </c>
      <c r="F13" s="33">
        <f t="shared" si="1"/>
        <v>41759</v>
      </c>
      <c r="G13" s="33">
        <f t="shared" si="1"/>
        <v>41790</v>
      </c>
      <c r="H13" s="34"/>
    </row>
    <row r="14" spans="2:8" outlineLevel="1" x14ac:dyDescent="0.25">
      <c r="B14" s="35" t="s">
        <v>42</v>
      </c>
      <c r="C14" s="22">
        <f>+'Exercício inicial - lançamentos'!I5</f>
        <v>0</v>
      </c>
      <c r="D14" s="22">
        <f>+'Exercício inicial - lançamentos'!I13</f>
        <v>17000</v>
      </c>
      <c r="E14" s="22">
        <f>+'Exercício inicial - lançamentos'!I37</f>
        <v>18000</v>
      </c>
      <c r="F14" s="22">
        <f>+'Exercício inicial - lançamentos'!I64</f>
        <v>9000</v>
      </c>
      <c r="G14" s="22">
        <f>+'Exercício inicial - lançamentos'!J93</f>
        <v>2000</v>
      </c>
      <c r="H14" s="23"/>
    </row>
    <row r="15" spans="2:8" outlineLevel="1" x14ac:dyDescent="0.25">
      <c r="B15" s="35" t="s">
        <v>37</v>
      </c>
      <c r="C15" s="22">
        <f>+'Exercício inicial - lançamentos'!J5</f>
        <v>0</v>
      </c>
      <c r="D15" s="22">
        <f>+'Exercício inicial - lançamentos'!J13</f>
        <v>2000</v>
      </c>
      <c r="E15" s="22">
        <f>+'Exercício inicial - lançamentos'!J37</f>
        <v>2800</v>
      </c>
      <c r="F15" s="22">
        <f>+'Exercício inicial - lançamentos'!J64</f>
        <v>5000</v>
      </c>
      <c r="G15" s="22">
        <f>+'Exercício inicial - lançamentos'!K93</f>
        <v>1700</v>
      </c>
      <c r="H15" s="23"/>
    </row>
    <row r="16" spans="2:8" outlineLevel="1" x14ac:dyDescent="0.25">
      <c r="B16" s="35" t="s">
        <v>131</v>
      </c>
      <c r="C16" s="22">
        <v>0</v>
      </c>
      <c r="D16" s="22">
        <v>0</v>
      </c>
      <c r="E16" s="22">
        <v>0</v>
      </c>
      <c r="F16" s="22">
        <v>0</v>
      </c>
      <c r="G16" s="22">
        <f>+'Exercício inicial - lançamentos'!L93</f>
        <v>15000</v>
      </c>
      <c r="H16" s="23"/>
    </row>
    <row r="17" spans="2:8" outlineLevel="1" x14ac:dyDescent="0.25">
      <c r="B17" s="35" t="s">
        <v>128</v>
      </c>
      <c r="C17" s="22">
        <v>0</v>
      </c>
      <c r="D17" s="22">
        <v>0</v>
      </c>
      <c r="E17" s="22">
        <v>0</v>
      </c>
      <c r="F17" s="22">
        <v>0</v>
      </c>
      <c r="G17" s="22">
        <f>+'Exercício inicial - lançamentos'!M93</f>
        <v>1560</v>
      </c>
      <c r="H17" s="23"/>
    </row>
    <row r="18" spans="2:8" outlineLevel="1" x14ac:dyDescent="0.25">
      <c r="B18" s="35" t="s">
        <v>43</v>
      </c>
      <c r="C18" s="22">
        <f>+'Exercício inicial - lançamentos'!K5</f>
        <v>5000</v>
      </c>
      <c r="D18" s="22">
        <f>+'Exercício inicial - lançamentos'!K13</f>
        <v>11500</v>
      </c>
      <c r="E18" s="22">
        <f>+'Exercício inicial - lançamentos'!K37</f>
        <v>11000</v>
      </c>
      <c r="F18" s="22">
        <f>+'Exercício inicial - lançamentos'!K64</f>
        <v>7000</v>
      </c>
      <c r="G18" s="22">
        <f>+'Exercício inicial - lançamentos'!N93</f>
        <v>7000</v>
      </c>
      <c r="H18" s="23"/>
    </row>
    <row r="19" spans="2:8" outlineLevel="1" x14ac:dyDescent="0.25">
      <c r="B19" s="35" t="s">
        <v>129</v>
      </c>
      <c r="C19" s="22">
        <v>0</v>
      </c>
      <c r="D19" s="22">
        <v>0</v>
      </c>
      <c r="E19" s="22">
        <v>0</v>
      </c>
      <c r="F19" s="22">
        <v>0</v>
      </c>
      <c r="G19" s="22">
        <f>+'Exercício inicial - lançamentos'!O93</f>
        <v>585</v>
      </c>
      <c r="H19" s="23"/>
    </row>
    <row r="20" spans="2:8" outlineLevel="1" x14ac:dyDescent="0.25">
      <c r="B20" s="35" t="s">
        <v>24</v>
      </c>
      <c r="C20" s="22">
        <f>+'Exercício inicial - lançamentos'!L5</f>
        <v>10000</v>
      </c>
      <c r="D20" s="22">
        <f>+'Exercício inicial - lançamentos'!L13</f>
        <v>13000</v>
      </c>
      <c r="E20" s="22">
        <f>+'Exercício inicial - lançamentos'!L37</f>
        <v>13000</v>
      </c>
      <c r="F20" s="22">
        <f>+'Exercício inicial - lançamentos'!L64</f>
        <v>13000</v>
      </c>
      <c r="G20" s="22">
        <f>+'Exercício inicial - lançamentos'!P93</f>
        <v>13000</v>
      </c>
      <c r="H20" s="23"/>
    </row>
    <row r="21" spans="2:8" outlineLevel="1" x14ac:dyDescent="0.25">
      <c r="B21" s="35" t="s">
        <v>70</v>
      </c>
      <c r="C21" s="22">
        <v>0</v>
      </c>
      <c r="D21" s="22">
        <v>0</v>
      </c>
      <c r="E21" s="22">
        <v>0</v>
      </c>
      <c r="F21" s="22">
        <v>0</v>
      </c>
      <c r="G21" s="22">
        <f>+'Exercício inicial - lançamentos'!R93</f>
        <v>755</v>
      </c>
      <c r="H21" s="23"/>
    </row>
    <row r="22" spans="2:8" outlineLevel="1" x14ac:dyDescent="0.25">
      <c r="B22" s="35" t="s">
        <v>72</v>
      </c>
      <c r="C22" s="22">
        <v>0</v>
      </c>
      <c r="D22" s="22">
        <v>0</v>
      </c>
      <c r="E22" s="22">
        <f>+'Exercício inicial - lançamentos'!N37</f>
        <v>-14300</v>
      </c>
      <c r="F22" s="22">
        <f>+'Exercício inicial - lançamentos'!N64</f>
        <v>-1000</v>
      </c>
      <c r="G22" s="22">
        <v>0</v>
      </c>
      <c r="H22" s="23"/>
    </row>
    <row r="23" spans="2:8" outlineLevel="1" x14ac:dyDescent="0.25">
      <c r="B23" s="35"/>
      <c r="C23" s="22"/>
      <c r="D23" s="22"/>
      <c r="E23" s="22"/>
      <c r="F23" s="22"/>
      <c r="G23" s="22"/>
      <c r="H23" s="23"/>
    </row>
    <row r="24" spans="2:8" x14ac:dyDescent="0.25">
      <c r="B24" s="36" t="s">
        <v>41</v>
      </c>
      <c r="C24" s="37">
        <f>SUM(C14:C23)</f>
        <v>15000</v>
      </c>
      <c r="D24" s="37">
        <f>SUM(D14:D23)</f>
        <v>43500</v>
      </c>
      <c r="E24" s="37">
        <f>SUM(E14:E23)</f>
        <v>30500</v>
      </c>
      <c r="F24" s="37">
        <f>SUM(F14:F23)</f>
        <v>33000</v>
      </c>
      <c r="G24" s="37">
        <f>SUM(G14:G23)</f>
        <v>41600</v>
      </c>
      <c r="H24" s="38">
        <f>SUM(H14:H23)</f>
        <v>0</v>
      </c>
    </row>
    <row r="26" spans="2:8" ht="18.75" customHeight="1" x14ac:dyDescent="0.25">
      <c r="B26" s="142" t="s">
        <v>54</v>
      </c>
      <c r="C26" s="143"/>
      <c r="D26" s="143"/>
      <c r="E26" s="143"/>
      <c r="F26" s="143"/>
      <c r="G26" s="143"/>
      <c r="H26" s="144"/>
    </row>
    <row r="27" spans="2:8" x14ac:dyDescent="0.25">
      <c r="B27" s="119"/>
      <c r="C27" s="33" t="str">
        <f>+C51</f>
        <v>JAN</v>
      </c>
      <c r="D27" s="33" t="str">
        <f t="shared" ref="D27:E27" si="2">+D51</f>
        <v>FEV</v>
      </c>
      <c r="E27" s="33" t="str">
        <f t="shared" si="2"/>
        <v>MAR</v>
      </c>
      <c r="F27" s="33" t="s">
        <v>97</v>
      </c>
      <c r="G27" s="33" t="s">
        <v>125</v>
      </c>
      <c r="H27" s="34" t="s">
        <v>142</v>
      </c>
    </row>
    <row r="28" spans="2:8" outlineLevel="1" x14ac:dyDescent="0.25">
      <c r="B28" s="51" t="s">
        <v>13</v>
      </c>
      <c r="C28" s="19">
        <v>0</v>
      </c>
      <c r="D28" s="19">
        <v>0</v>
      </c>
      <c r="E28" s="19">
        <f>+'Exercício inicial - lançamentos'!O24</f>
        <v>6500</v>
      </c>
      <c r="F28" s="19">
        <f>+'Exercício inicial - lançamentos'!O49</f>
        <v>30000</v>
      </c>
      <c r="G28" s="19">
        <f>+'Exercício inicial - lançamentos'!S77</f>
        <v>15000</v>
      </c>
      <c r="H28" s="20"/>
    </row>
    <row r="29" spans="2:8" outlineLevel="1" x14ac:dyDescent="0.25">
      <c r="B29" s="52" t="s">
        <v>14</v>
      </c>
      <c r="C29" s="53">
        <v>0</v>
      </c>
      <c r="D29" s="53">
        <v>0</v>
      </c>
      <c r="E29" s="53">
        <f>+'Exercício inicial - lançamentos'!O25</f>
        <v>-18000</v>
      </c>
      <c r="F29" s="53">
        <f>+'Exercício inicial - lançamentos'!O50</f>
        <v>-11000</v>
      </c>
      <c r="G29" s="53">
        <f>+'Exercício inicial - lançamentos'!S78</f>
        <v>-10000</v>
      </c>
      <c r="H29" s="54"/>
    </row>
    <row r="30" spans="2:8" outlineLevel="1" x14ac:dyDescent="0.25">
      <c r="B30" s="51" t="s">
        <v>55</v>
      </c>
      <c r="C30" s="19">
        <f>+SUM(C28:C29)</f>
        <v>0</v>
      </c>
      <c r="D30" s="19">
        <f t="shared" ref="D30:H30" si="3">+SUM(D28:D29)</f>
        <v>0</v>
      </c>
      <c r="E30" s="19">
        <f t="shared" si="3"/>
        <v>-11500</v>
      </c>
      <c r="F30" s="19">
        <f t="shared" si="3"/>
        <v>19000</v>
      </c>
      <c r="G30" s="19">
        <f t="shared" si="3"/>
        <v>5000</v>
      </c>
      <c r="H30" s="20">
        <f t="shared" si="3"/>
        <v>0</v>
      </c>
    </row>
    <row r="31" spans="2:8" outlineLevel="1" x14ac:dyDescent="0.25">
      <c r="B31" s="52" t="s">
        <v>56</v>
      </c>
      <c r="C31" s="53">
        <v>0</v>
      </c>
      <c r="D31" s="53">
        <v>0</v>
      </c>
      <c r="E31" s="53">
        <f>+'Exercício inicial - lançamentos'!O28</f>
        <v>-1500</v>
      </c>
      <c r="F31" s="53">
        <f>+'Exercício inicial - lançamentos'!O56</f>
        <v>-3000</v>
      </c>
      <c r="G31" s="53">
        <f>+'Exercício inicial - lançamentos'!S80</f>
        <v>-1500</v>
      </c>
      <c r="H31" s="54"/>
    </row>
    <row r="32" spans="2:8" outlineLevel="1" x14ac:dyDescent="0.25">
      <c r="B32" s="52" t="s">
        <v>57</v>
      </c>
      <c r="C32" s="53">
        <v>0</v>
      </c>
      <c r="D32" s="53">
        <v>0</v>
      </c>
      <c r="E32" s="53">
        <f>+'Exercício inicial - lançamentos'!O29</f>
        <v>-1000</v>
      </c>
      <c r="F32" s="53">
        <f>+'Exercício inicial - lançamentos'!O57</f>
        <v>-2000</v>
      </c>
      <c r="G32" s="53">
        <f>+'Exercício inicial - lançamentos'!S81</f>
        <v>-1200</v>
      </c>
      <c r="H32" s="54"/>
    </row>
    <row r="33" spans="2:8" outlineLevel="1" x14ac:dyDescent="0.25">
      <c r="B33" s="52" t="s">
        <v>132</v>
      </c>
      <c r="C33" s="53">
        <v>0</v>
      </c>
      <c r="D33" s="53">
        <v>0</v>
      </c>
      <c r="E33" s="53">
        <v>0</v>
      </c>
      <c r="F33" s="53">
        <v>0</v>
      </c>
      <c r="G33" s="53">
        <f>+'Exercício inicial - lançamentos'!S86</f>
        <v>-100</v>
      </c>
      <c r="H33" s="54"/>
    </row>
    <row r="34" spans="2:8" outlineLevel="1" x14ac:dyDescent="0.25">
      <c r="B34" s="52" t="s">
        <v>58</v>
      </c>
      <c r="C34" s="53">
        <v>0</v>
      </c>
      <c r="D34" s="53">
        <v>0</v>
      </c>
      <c r="E34" s="53">
        <f>+'Exercício inicial - lançamentos'!O35</f>
        <v>-100</v>
      </c>
      <c r="F34" s="53">
        <f>+'Exercício inicial - lançamentos'!O61</f>
        <v>-100</v>
      </c>
      <c r="G34" s="53">
        <f>+'Exercício inicial - lançamentos'!S84</f>
        <v>-100</v>
      </c>
      <c r="H34" s="54"/>
    </row>
    <row r="35" spans="2:8" outlineLevel="1" x14ac:dyDescent="0.25">
      <c r="B35" s="51" t="s">
        <v>16</v>
      </c>
      <c r="C35" s="19">
        <f>SUM(C30:C34)</f>
        <v>0</v>
      </c>
      <c r="D35" s="19">
        <f t="shared" ref="D35:H35" si="4">SUM(D30:D34)</f>
        <v>0</v>
      </c>
      <c r="E35" s="19">
        <f t="shared" si="4"/>
        <v>-14100</v>
      </c>
      <c r="F35" s="19">
        <f t="shared" si="4"/>
        <v>13900</v>
      </c>
      <c r="G35" s="19">
        <f t="shared" si="4"/>
        <v>2100</v>
      </c>
      <c r="H35" s="20">
        <f t="shared" si="4"/>
        <v>0</v>
      </c>
    </row>
    <row r="36" spans="2:8" outlineLevel="1" x14ac:dyDescent="0.25">
      <c r="B36" s="52" t="s">
        <v>71</v>
      </c>
      <c r="C36" s="53">
        <v>0</v>
      </c>
      <c r="D36" s="53">
        <v>0</v>
      </c>
      <c r="E36" s="53">
        <f>+'Exercício inicial - lançamentos'!O30</f>
        <v>-200</v>
      </c>
      <c r="F36" s="53">
        <f>+'Exercício inicial - lançamentos'!O58</f>
        <v>-300</v>
      </c>
      <c r="G36" s="53">
        <f>+'Exercício inicial - lançamentos'!S82</f>
        <v>-200</v>
      </c>
      <c r="H36" s="54"/>
    </row>
    <row r="37" spans="2:8" outlineLevel="1" x14ac:dyDescent="0.25">
      <c r="B37" s="52" t="s">
        <v>133</v>
      </c>
      <c r="C37" s="53">
        <v>0</v>
      </c>
      <c r="D37" s="53">
        <v>0</v>
      </c>
      <c r="E37" s="53">
        <v>0</v>
      </c>
      <c r="F37" s="53">
        <v>0</v>
      </c>
      <c r="G37" s="53">
        <f>+SUM('Exercício inicial - lançamentos'!S88:S89)</f>
        <v>2000</v>
      </c>
      <c r="H37" s="54"/>
    </row>
    <row r="38" spans="2:8" outlineLevel="1" x14ac:dyDescent="0.25">
      <c r="B38" s="51" t="s">
        <v>134</v>
      </c>
      <c r="C38" s="19">
        <f>SUM(C35:C37)</f>
        <v>0</v>
      </c>
      <c r="D38" s="19">
        <f t="shared" ref="D38:H38" si="5">SUM(D35:D37)</f>
        <v>0</v>
      </c>
      <c r="E38" s="19">
        <f t="shared" si="5"/>
        <v>-14300</v>
      </c>
      <c r="F38" s="19">
        <f t="shared" si="5"/>
        <v>13600</v>
      </c>
      <c r="G38" s="19">
        <f t="shared" si="5"/>
        <v>3900</v>
      </c>
      <c r="H38" s="20">
        <f t="shared" si="5"/>
        <v>0</v>
      </c>
    </row>
    <row r="39" spans="2:8" outlineLevel="1" x14ac:dyDescent="0.25">
      <c r="B39" s="52" t="s">
        <v>135</v>
      </c>
      <c r="C39" s="53">
        <v>0</v>
      </c>
      <c r="D39" s="53">
        <v>0</v>
      </c>
      <c r="E39" s="53">
        <v>0</v>
      </c>
      <c r="F39" s="53">
        <v>0</v>
      </c>
      <c r="G39" s="53">
        <f>+'Exercício inicial - lançamentos'!S90</f>
        <v>-1560</v>
      </c>
      <c r="H39" s="54"/>
    </row>
    <row r="40" spans="2:8" x14ac:dyDescent="0.25">
      <c r="B40" s="36" t="s">
        <v>59</v>
      </c>
      <c r="C40" s="37">
        <f>+SUM(C38:C39)</f>
        <v>0</v>
      </c>
      <c r="D40" s="37">
        <f t="shared" ref="D40:H40" si="6">+SUM(D38:D39)</f>
        <v>0</v>
      </c>
      <c r="E40" s="37">
        <f t="shared" si="6"/>
        <v>-14300</v>
      </c>
      <c r="F40" s="37">
        <f t="shared" si="6"/>
        <v>13600</v>
      </c>
      <c r="G40" s="37">
        <f t="shared" si="6"/>
        <v>2340</v>
      </c>
      <c r="H40" s="38">
        <f t="shared" si="6"/>
        <v>0</v>
      </c>
    </row>
    <row r="42" spans="2:8" ht="18.75" customHeight="1" x14ac:dyDescent="0.25">
      <c r="B42" s="155" t="s">
        <v>87</v>
      </c>
      <c r="C42" s="156"/>
      <c r="D42" s="156"/>
      <c r="E42" s="156"/>
      <c r="F42" s="156"/>
      <c r="G42" s="156"/>
      <c r="H42" s="156"/>
    </row>
    <row r="43" spans="2:8" x14ac:dyDescent="0.25">
      <c r="B43" s="55"/>
      <c r="C43" s="33" t="str">
        <f>+C63</f>
        <v>JAN</v>
      </c>
      <c r="D43" s="33" t="str">
        <f t="shared" ref="D43:E43" si="7">+D63</f>
        <v>FEV</v>
      </c>
      <c r="E43" s="33" t="str">
        <f t="shared" si="7"/>
        <v>MAR</v>
      </c>
      <c r="F43" s="33" t="s">
        <v>97</v>
      </c>
      <c r="G43" s="33" t="s">
        <v>125</v>
      </c>
      <c r="H43" s="34" t="str">
        <f>+H27</f>
        <v>JUN</v>
      </c>
    </row>
    <row r="44" spans="2:8" x14ac:dyDescent="0.25">
      <c r="B44" s="51" t="s">
        <v>88</v>
      </c>
      <c r="C44" s="19">
        <v>0</v>
      </c>
      <c r="D44" s="19">
        <f>+C48</f>
        <v>10000</v>
      </c>
      <c r="E44" s="19">
        <f>+D48</f>
        <v>13000</v>
      </c>
      <c r="F44" s="19">
        <f>+E48</f>
        <v>-1300</v>
      </c>
      <c r="G44" s="19">
        <f>+SUM(F20:F22)</f>
        <v>12000</v>
      </c>
      <c r="H44" s="20"/>
    </row>
    <row r="45" spans="2:8" x14ac:dyDescent="0.25">
      <c r="B45" s="52" t="s">
        <v>89</v>
      </c>
      <c r="C45" s="53">
        <f>+C20</f>
        <v>10000</v>
      </c>
      <c r="D45" s="53">
        <f>+D20-C20</f>
        <v>3000</v>
      </c>
      <c r="E45" s="53">
        <f>+E20-D20</f>
        <v>0</v>
      </c>
      <c r="F45" s="53">
        <f>+F20-E20</f>
        <v>0</v>
      </c>
      <c r="G45" s="53">
        <v>0</v>
      </c>
      <c r="H45" s="54"/>
    </row>
    <row r="46" spans="2:8" x14ac:dyDescent="0.25">
      <c r="B46" s="52" t="s">
        <v>90</v>
      </c>
      <c r="C46" s="53">
        <f>+C40</f>
        <v>0</v>
      </c>
      <c r="D46" s="53">
        <f>+D40</f>
        <v>0</v>
      </c>
      <c r="E46" s="53">
        <f>+E40</f>
        <v>-14300</v>
      </c>
      <c r="F46" s="53">
        <f>+F40</f>
        <v>13600</v>
      </c>
      <c r="G46" s="53">
        <f>+G40</f>
        <v>2340</v>
      </c>
      <c r="H46" s="20"/>
    </row>
    <row r="47" spans="2:8" x14ac:dyDescent="0.25">
      <c r="B47" s="52" t="s">
        <v>91</v>
      </c>
      <c r="C47" s="53">
        <v>0</v>
      </c>
      <c r="D47" s="53">
        <v>0</v>
      </c>
      <c r="E47" s="53">
        <v>0</v>
      </c>
      <c r="F47" s="53">
        <f>+'Exercício inicial - lançamentos'!N62</f>
        <v>-300</v>
      </c>
      <c r="G47" s="53">
        <f>+'Exercício inicial - lançamentos'!S91</f>
        <v>-585</v>
      </c>
      <c r="H47" s="54"/>
    </row>
    <row r="48" spans="2:8" x14ac:dyDescent="0.25">
      <c r="B48" s="78" t="s">
        <v>92</v>
      </c>
      <c r="C48" s="25">
        <f>SUM(C44:C47)</f>
        <v>10000</v>
      </c>
      <c r="D48" s="25">
        <f t="shared" ref="D48:H48" si="8">SUM(D44:D47)</f>
        <v>13000</v>
      </c>
      <c r="E48" s="25">
        <f t="shared" si="8"/>
        <v>-1300</v>
      </c>
      <c r="F48" s="25">
        <f t="shared" si="8"/>
        <v>12000</v>
      </c>
      <c r="G48" s="25">
        <f t="shared" si="8"/>
        <v>13755</v>
      </c>
      <c r="H48" s="26">
        <f t="shared" si="8"/>
        <v>0</v>
      </c>
    </row>
    <row r="50" spans="2:8" ht="18.75" customHeight="1" x14ac:dyDescent="0.25">
      <c r="B50" s="142" t="s">
        <v>49</v>
      </c>
      <c r="C50" s="143"/>
      <c r="D50" s="143"/>
      <c r="E50" s="143"/>
      <c r="F50" s="143"/>
      <c r="G50" s="143"/>
      <c r="H50" s="144"/>
    </row>
    <row r="51" spans="2:8" x14ac:dyDescent="0.25">
      <c r="B51" s="39" t="s">
        <v>44</v>
      </c>
      <c r="C51" s="120" t="s">
        <v>45</v>
      </c>
      <c r="D51" s="120" t="s">
        <v>46</v>
      </c>
      <c r="E51" s="120" t="s">
        <v>60</v>
      </c>
      <c r="F51" s="120" t="s">
        <v>97</v>
      </c>
      <c r="G51" s="120" t="s">
        <v>125</v>
      </c>
      <c r="H51" s="121" t="str">
        <f>+H43</f>
        <v>JUN</v>
      </c>
    </row>
    <row r="52" spans="2:8" outlineLevel="1" x14ac:dyDescent="0.25">
      <c r="B52" s="40" t="s">
        <v>73</v>
      </c>
      <c r="C52" s="41">
        <v>0</v>
      </c>
      <c r="D52" s="41">
        <v>0</v>
      </c>
      <c r="E52" s="41">
        <f>+'Exercício inicial - lançamentos'!C24</f>
        <v>5000</v>
      </c>
      <c r="F52" s="41">
        <f>+'Exercício inicial - lançamentos'!C48+'Exercício inicial - lançamentos'!C49</f>
        <v>26500</v>
      </c>
      <c r="G52" s="41">
        <f>+'Exercício inicial - lançamentos'!C75+'Exercício inicial - lançamentos'!C76+'Exercício inicial - lançamentos'!C77</f>
        <v>33000</v>
      </c>
      <c r="H52" s="42"/>
    </row>
    <row r="53" spans="2:8" outlineLevel="1" x14ac:dyDescent="0.25">
      <c r="B53" s="40" t="s">
        <v>53</v>
      </c>
      <c r="C53" s="41">
        <v>-4000</v>
      </c>
      <c r="D53" s="41">
        <v>-3000</v>
      </c>
      <c r="E53" s="41">
        <f>+'Exercício inicial - lançamentos'!C27+'Exercício inicial - lançamentos'!C32</f>
        <v>-4000</v>
      </c>
      <c r="F53" s="41">
        <f>+'Exercício inicial - lançamentos'!I51+'Exercício inicial - lançamentos'!C55</f>
        <v>-19000</v>
      </c>
      <c r="G53" s="41">
        <f>+'Exercício inicial - lançamentos'!J79+'Exercício inicial - lançamentos'!C87</f>
        <v>-19000</v>
      </c>
      <c r="H53" s="42"/>
    </row>
    <row r="54" spans="2:8" outlineLevel="1" x14ac:dyDescent="0.25">
      <c r="B54" s="40" t="s">
        <v>74</v>
      </c>
      <c r="C54" s="41">
        <v>0</v>
      </c>
      <c r="D54" s="41">
        <v>0</v>
      </c>
      <c r="E54" s="41">
        <f>+'Exercício inicial - lançamentos'!C28+'Exercício inicial - lançamentos'!C29</f>
        <v>-700</v>
      </c>
      <c r="F54" s="41">
        <f>+'Exercício inicial - lançamentos'!J53</f>
        <v>-1800</v>
      </c>
      <c r="G54" s="41">
        <f>+'Exercício inicial - lançamentos'!K79+'Exercício inicial - lançamentos'!C80+'Exercício inicial - lançamentos'!C85</f>
        <v>-7200</v>
      </c>
      <c r="H54" s="42"/>
    </row>
    <row r="55" spans="2:8" outlineLevel="1" x14ac:dyDescent="0.25">
      <c r="B55" s="40"/>
      <c r="C55" s="41"/>
      <c r="D55" s="41"/>
      <c r="E55" s="41"/>
      <c r="F55" s="41"/>
      <c r="G55" s="41"/>
      <c r="H55" s="42"/>
    </row>
    <row r="56" spans="2:8" x14ac:dyDescent="0.25">
      <c r="B56" s="36" t="s">
        <v>41</v>
      </c>
      <c r="C56" s="37">
        <f>+SUM(C52:C55)</f>
        <v>-4000</v>
      </c>
      <c r="D56" s="37">
        <f t="shared" ref="D56:H56" si="9">+SUM(D52:D55)</f>
        <v>-3000</v>
      </c>
      <c r="E56" s="37">
        <f t="shared" si="9"/>
        <v>300</v>
      </c>
      <c r="F56" s="37">
        <f t="shared" si="9"/>
        <v>5700</v>
      </c>
      <c r="G56" s="37">
        <f t="shared" si="9"/>
        <v>6800</v>
      </c>
      <c r="H56" s="38">
        <f t="shared" si="9"/>
        <v>0</v>
      </c>
    </row>
    <row r="57" spans="2:8" x14ac:dyDescent="0.25">
      <c r="B57" s="39" t="s">
        <v>47</v>
      </c>
      <c r="C57" s="120" t="str">
        <f>+C51</f>
        <v>JAN</v>
      </c>
      <c r="D57" s="120" t="str">
        <f t="shared" ref="D57:F57" si="10">+D51</f>
        <v>FEV</v>
      </c>
      <c r="E57" s="120" t="str">
        <f t="shared" si="10"/>
        <v>MAR</v>
      </c>
      <c r="F57" s="120" t="str">
        <f t="shared" si="10"/>
        <v>ABR</v>
      </c>
      <c r="G57" s="120" t="s">
        <v>125</v>
      </c>
      <c r="H57" s="121" t="str">
        <f>+H51</f>
        <v>JUN</v>
      </c>
    </row>
    <row r="58" spans="2:8" outlineLevel="1" x14ac:dyDescent="0.25">
      <c r="B58" s="40" t="s">
        <v>52</v>
      </c>
      <c r="C58" s="41">
        <v>-8000</v>
      </c>
      <c r="D58" s="41">
        <f>+'Exercício inicial - lançamentos'!C8</f>
        <v>-8000</v>
      </c>
      <c r="E58" s="41">
        <f>'Exercício inicial - lançamentos'!C33</f>
        <v>-1000</v>
      </c>
      <c r="F58" s="41">
        <f>+'Exercício inicial - lançamentos'!J52</f>
        <v>-1000</v>
      </c>
      <c r="G58" s="41">
        <f>+'Exercício inicial - lançamentos'!C88</f>
        <v>10000</v>
      </c>
      <c r="H58" s="42"/>
    </row>
    <row r="59" spans="2:8" outlineLevel="1" x14ac:dyDescent="0.25">
      <c r="B59" s="40"/>
      <c r="C59" s="41"/>
      <c r="D59" s="41"/>
      <c r="E59" s="41"/>
      <c r="F59" s="41"/>
      <c r="G59" s="41"/>
      <c r="H59" s="42"/>
    </row>
    <row r="60" spans="2:8" outlineLevel="1" x14ac:dyDescent="0.25">
      <c r="B60" s="40"/>
      <c r="C60" s="41"/>
      <c r="D60" s="41"/>
      <c r="E60" s="41"/>
      <c r="F60" s="41"/>
      <c r="G60" s="41"/>
      <c r="H60" s="42"/>
    </row>
    <row r="61" spans="2:8" outlineLevel="1" x14ac:dyDescent="0.25">
      <c r="B61" s="40"/>
      <c r="C61" s="41"/>
      <c r="D61" s="41"/>
      <c r="E61" s="41"/>
      <c r="F61" s="41"/>
      <c r="G61" s="41"/>
      <c r="H61" s="42"/>
    </row>
    <row r="62" spans="2:8" x14ac:dyDescent="0.25">
      <c r="B62" s="36" t="s">
        <v>41</v>
      </c>
      <c r="C62" s="37">
        <f>+SUM(C58:C61)</f>
        <v>-8000</v>
      </c>
      <c r="D62" s="37">
        <f t="shared" ref="D62" si="11">+SUM(D58:D61)</f>
        <v>-8000</v>
      </c>
      <c r="E62" s="37">
        <f t="shared" ref="E62" si="12">+SUM(E58:E61)</f>
        <v>-1000</v>
      </c>
      <c r="F62" s="37">
        <f t="shared" ref="F62" si="13">+SUM(F58:F61)</f>
        <v>-1000</v>
      </c>
      <c r="G62" s="37">
        <f t="shared" ref="G62:H62" si="14">+SUM(G58:G61)</f>
        <v>10000</v>
      </c>
      <c r="H62" s="38">
        <f t="shared" si="14"/>
        <v>0</v>
      </c>
    </row>
    <row r="63" spans="2:8" x14ac:dyDescent="0.25">
      <c r="B63" s="39" t="s">
        <v>48</v>
      </c>
      <c r="C63" s="120" t="str">
        <f>+C57</f>
        <v>JAN</v>
      </c>
      <c r="D63" s="120" t="str">
        <f t="shared" ref="D63:F63" si="15">+D57</f>
        <v>FEV</v>
      </c>
      <c r="E63" s="120" t="str">
        <f t="shared" si="15"/>
        <v>MAR</v>
      </c>
      <c r="F63" s="120" t="str">
        <f t="shared" si="15"/>
        <v>ABR</v>
      </c>
      <c r="G63" s="120" t="s">
        <v>125</v>
      </c>
      <c r="H63" s="121" t="str">
        <f>+H57</f>
        <v>JUN</v>
      </c>
    </row>
    <row r="64" spans="2:8" outlineLevel="1" x14ac:dyDescent="0.25">
      <c r="B64" s="40" t="s">
        <v>51</v>
      </c>
      <c r="C64" s="41">
        <v>10000</v>
      </c>
      <c r="D64" s="41">
        <v>3000</v>
      </c>
      <c r="E64" s="41">
        <v>0</v>
      </c>
      <c r="F64" s="41"/>
      <c r="G64" s="41"/>
      <c r="H64" s="42"/>
    </row>
    <row r="65" spans="2:8" outlineLevel="1" x14ac:dyDescent="0.25">
      <c r="B65" s="40" t="s">
        <v>50</v>
      </c>
      <c r="C65" s="41">
        <v>5000</v>
      </c>
      <c r="D65" s="41">
        <f>8000-1500</f>
        <v>6500</v>
      </c>
      <c r="E65" s="41">
        <f>'Exercício inicial - lançamentos'!C34</f>
        <v>-500</v>
      </c>
      <c r="F65" s="41">
        <f>+'Exercício inicial - lançamentos'!C60</f>
        <v>-4000</v>
      </c>
      <c r="G65" s="41"/>
      <c r="H65" s="42"/>
    </row>
    <row r="66" spans="2:8" outlineLevel="1" x14ac:dyDescent="0.25">
      <c r="B66" s="40" t="s">
        <v>75</v>
      </c>
      <c r="C66" s="41">
        <v>0</v>
      </c>
      <c r="D66" s="41">
        <v>0</v>
      </c>
      <c r="E66" s="41">
        <f>+'Exercício inicial - lançamentos'!C31</f>
        <v>-200</v>
      </c>
      <c r="F66" s="41">
        <f>+'Exercício inicial - lançamentos'!C59</f>
        <v>-300</v>
      </c>
      <c r="G66" s="41">
        <f>+'Exercício inicial - lançamentos'!C83</f>
        <v>-200</v>
      </c>
      <c r="H66" s="42"/>
    </row>
    <row r="67" spans="2:8" outlineLevel="1" x14ac:dyDescent="0.25">
      <c r="B67" s="40" t="s">
        <v>98</v>
      </c>
      <c r="C67" s="41">
        <v>0</v>
      </c>
      <c r="D67" s="41">
        <v>0</v>
      </c>
      <c r="E67" s="41">
        <v>0</v>
      </c>
      <c r="F67" s="41">
        <f>+'Exercício inicial - lançamentos'!C62</f>
        <v>-300</v>
      </c>
      <c r="G67" s="41"/>
      <c r="H67" s="42"/>
    </row>
    <row r="68" spans="2:8" x14ac:dyDescent="0.25">
      <c r="B68" s="36" t="s">
        <v>41</v>
      </c>
      <c r="C68" s="37">
        <f>+SUM(C64:C67)</f>
        <v>15000</v>
      </c>
      <c r="D68" s="37">
        <f t="shared" ref="D68" si="16">+SUM(D64:D67)</f>
        <v>9500</v>
      </c>
      <c r="E68" s="37">
        <f t="shared" ref="E68" si="17">+SUM(E64:E67)</f>
        <v>-700</v>
      </c>
      <c r="F68" s="37">
        <f t="shared" ref="F68" si="18">+SUM(F64:F67)</f>
        <v>-4600</v>
      </c>
      <c r="G68" s="37">
        <f t="shared" ref="G68:H68" si="19">+SUM(G64:G67)</f>
        <v>-200</v>
      </c>
      <c r="H68" s="38">
        <f t="shared" si="19"/>
        <v>0</v>
      </c>
    </row>
    <row r="69" spans="2:8" x14ac:dyDescent="0.25">
      <c r="B69" s="45" t="s">
        <v>5</v>
      </c>
      <c r="C69" s="43">
        <f>+C56+C62+C68</f>
        <v>3000</v>
      </c>
      <c r="D69" s="43">
        <f t="shared" ref="D69:H69" si="20">+D56+D62+D68</f>
        <v>-1500</v>
      </c>
      <c r="E69" s="43">
        <f t="shared" si="20"/>
        <v>-1400</v>
      </c>
      <c r="F69" s="43">
        <f t="shared" si="20"/>
        <v>100</v>
      </c>
      <c r="G69" s="43">
        <f t="shared" si="20"/>
        <v>16600</v>
      </c>
      <c r="H69" s="44">
        <f t="shared" si="20"/>
        <v>0</v>
      </c>
    </row>
    <row r="71" spans="2:8" x14ac:dyDescent="0.25">
      <c r="B71" s="46" t="s">
        <v>9</v>
      </c>
      <c r="C71" s="47">
        <v>0</v>
      </c>
      <c r="D71" s="47">
        <f>+C72</f>
        <v>3000</v>
      </c>
      <c r="E71" s="47">
        <f t="shared" ref="E71:F71" si="21">+D72</f>
        <v>1500</v>
      </c>
      <c r="F71" s="47">
        <f t="shared" si="21"/>
        <v>100</v>
      </c>
      <c r="G71" s="47">
        <f>+F72</f>
        <v>200</v>
      </c>
      <c r="H71" s="48">
        <f>+G72</f>
        <v>16800</v>
      </c>
    </row>
    <row r="72" spans="2:8" x14ac:dyDescent="0.25">
      <c r="B72" s="49" t="s">
        <v>10</v>
      </c>
      <c r="C72" s="41">
        <f>+C4</f>
        <v>3000</v>
      </c>
      <c r="D72" s="41">
        <f>+D4</f>
        <v>1500</v>
      </c>
      <c r="E72" s="41">
        <f>+E4</f>
        <v>100</v>
      </c>
      <c r="F72" s="41">
        <f>+F4</f>
        <v>200</v>
      </c>
      <c r="G72" s="41">
        <f>+G4</f>
        <v>16800</v>
      </c>
      <c r="H72" s="42">
        <f>+H4</f>
        <v>0</v>
      </c>
    </row>
    <row r="73" spans="2:8" x14ac:dyDescent="0.25">
      <c r="B73" s="50" t="s">
        <v>5</v>
      </c>
      <c r="C73" s="37">
        <f>+C72-C71</f>
        <v>3000</v>
      </c>
      <c r="D73" s="37">
        <f t="shared" ref="D73:G73" si="22">+D72-D71</f>
        <v>-1500</v>
      </c>
      <c r="E73" s="37">
        <f t="shared" si="22"/>
        <v>-1400</v>
      </c>
      <c r="F73" s="37">
        <f t="shared" si="22"/>
        <v>100</v>
      </c>
      <c r="G73" s="37">
        <f t="shared" si="22"/>
        <v>16600</v>
      </c>
      <c r="H73" s="38">
        <f t="shared" ref="H73" si="23">+H72-H71</f>
        <v>-16800</v>
      </c>
    </row>
    <row r="75" spans="2:8" ht="18.75" customHeight="1" x14ac:dyDescent="0.25">
      <c r="B75" s="142" t="s">
        <v>76</v>
      </c>
      <c r="C75" s="143"/>
      <c r="D75" s="143"/>
      <c r="E75" s="143"/>
      <c r="F75" s="143"/>
      <c r="G75" s="143"/>
      <c r="H75" s="144"/>
    </row>
    <row r="76" spans="2:8" x14ac:dyDescent="0.25">
      <c r="B76" s="39" t="s">
        <v>44</v>
      </c>
      <c r="C76" s="120" t="s">
        <v>45</v>
      </c>
      <c r="D76" s="120" t="s">
        <v>46</v>
      </c>
      <c r="E76" s="120" t="s">
        <v>60</v>
      </c>
      <c r="F76" s="120" t="s">
        <v>97</v>
      </c>
      <c r="G76" s="120" t="s">
        <v>125</v>
      </c>
      <c r="H76" s="121" t="str">
        <f>+H51</f>
        <v>JUN</v>
      </c>
    </row>
    <row r="77" spans="2:8" outlineLevel="1" x14ac:dyDescent="0.25">
      <c r="B77" s="40" t="s">
        <v>77</v>
      </c>
      <c r="C77" s="41">
        <f>+C40</f>
        <v>0</v>
      </c>
      <c r="D77" s="41">
        <f>+D40</f>
        <v>0</v>
      </c>
      <c r="E77" s="41">
        <f>+E40</f>
        <v>-14300</v>
      </c>
      <c r="F77" s="41">
        <f>+F40</f>
        <v>13600</v>
      </c>
      <c r="G77" s="41">
        <f>+G40</f>
        <v>2340</v>
      </c>
      <c r="H77" s="42"/>
    </row>
    <row r="78" spans="2:8" outlineLevel="1" x14ac:dyDescent="0.25">
      <c r="B78" s="40" t="s">
        <v>78</v>
      </c>
      <c r="C78" s="41">
        <f>-C34</f>
        <v>0</v>
      </c>
      <c r="D78" s="41">
        <f>-D34</f>
        <v>0</v>
      </c>
      <c r="E78" s="41">
        <f>-E34</f>
        <v>100</v>
      </c>
      <c r="F78" s="41">
        <f>-F34</f>
        <v>100</v>
      </c>
      <c r="G78" s="41">
        <f>-G34</f>
        <v>100</v>
      </c>
      <c r="H78" s="42"/>
    </row>
    <row r="79" spans="2:8" outlineLevel="1" x14ac:dyDescent="0.25">
      <c r="B79" s="40" t="s">
        <v>79</v>
      </c>
      <c r="C79" s="41">
        <f>-C36</f>
        <v>0</v>
      </c>
      <c r="D79" s="41">
        <f>-D36</f>
        <v>0</v>
      </c>
      <c r="E79" s="41">
        <f>-E36</f>
        <v>200</v>
      </c>
      <c r="F79" s="41">
        <f>-F36</f>
        <v>300</v>
      </c>
      <c r="G79" s="41">
        <f>-G36</f>
        <v>200</v>
      </c>
      <c r="H79" s="42"/>
    </row>
    <row r="80" spans="2:8" outlineLevel="1" x14ac:dyDescent="0.25">
      <c r="B80" s="40" t="s">
        <v>136</v>
      </c>
      <c r="C80" s="41">
        <v>0</v>
      </c>
      <c r="D80" s="41">
        <v>0</v>
      </c>
      <c r="E80" s="41">
        <v>0</v>
      </c>
      <c r="F80" s="41">
        <v>0</v>
      </c>
      <c r="G80" s="41">
        <f>-G37</f>
        <v>-2000</v>
      </c>
      <c r="H80" s="42"/>
    </row>
    <row r="81" spans="2:8" outlineLevel="1" x14ac:dyDescent="0.25">
      <c r="B81" s="40" t="s">
        <v>86</v>
      </c>
      <c r="C81" s="41">
        <v>0</v>
      </c>
      <c r="D81" s="41">
        <v>0</v>
      </c>
      <c r="E81" s="41">
        <f t="shared" ref="E81:F82" si="24">+D5-E5</f>
        <v>-1500</v>
      </c>
      <c r="F81" s="41">
        <f t="shared" si="24"/>
        <v>-3500</v>
      </c>
      <c r="G81" s="41">
        <f>+F5-G5</f>
        <v>3000</v>
      </c>
      <c r="H81" s="42"/>
    </row>
    <row r="82" spans="2:8" outlineLevel="1" x14ac:dyDescent="0.25">
      <c r="B82" s="40" t="s">
        <v>80</v>
      </c>
      <c r="C82" s="41">
        <f>-C6</f>
        <v>-4000</v>
      </c>
      <c r="D82" s="41">
        <f>+C6-D6</f>
        <v>-20000</v>
      </c>
      <c r="E82" s="41">
        <f t="shared" si="24"/>
        <v>13000</v>
      </c>
      <c r="F82" s="41">
        <f t="shared" si="24"/>
        <v>1000</v>
      </c>
      <c r="G82" s="41">
        <f>+F6-G6</f>
        <v>-2000</v>
      </c>
      <c r="H82" s="42"/>
    </row>
    <row r="83" spans="2:8" outlineLevel="1" x14ac:dyDescent="0.25">
      <c r="B83" s="40" t="s">
        <v>140</v>
      </c>
      <c r="C83" s="41">
        <v>0</v>
      </c>
      <c r="D83" s="41">
        <v>0</v>
      </c>
      <c r="E83" s="41">
        <v>0</v>
      </c>
      <c r="F83" s="41">
        <v>0</v>
      </c>
      <c r="G83" s="41">
        <f>+F7-G7</f>
        <v>-1100</v>
      </c>
      <c r="H83" s="42"/>
    </row>
    <row r="84" spans="2:8" outlineLevel="1" x14ac:dyDescent="0.25">
      <c r="B84" s="40" t="s">
        <v>84</v>
      </c>
      <c r="C84" s="41">
        <v>0</v>
      </c>
      <c r="D84" s="41">
        <f>+D14-C14</f>
        <v>17000</v>
      </c>
      <c r="E84" s="41">
        <f>+E14-D14</f>
        <v>1000</v>
      </c>
      <c r="F84" s="41">
        <f>+F14-E14</f>
        <v>-9000</v>
      </c>
      <c r="G84" s="41">
        <f>+G14-F14</f>
        <v>-7000</v>
      </c>
      <c r="H84" s="42"/>
    </row>
    <row r="85" spans="2:8" outlineLevel="1" x14ac:dyDescent="0.25">
      <c r="B85" s="40" t="s">
        <v>85</v>
      </c>
      <c r="C85" s="41">
        <v>0</v>
      </c>
      <c r="D85" s="41">
        <f>+D15-C15</f>
        <v>2000</v>
      </c>
      <c r="E85" s="41">
        <f>+E15-D15</f>
        <v>800</v>
      </c>
      <c r="F85" s="41">
        <f>+F15-E15+1000</f>
        <v>3200</v>
      </c>
      <c r="G85" s="41">
        <f>+G15-F15</f>
        <v>-3300</v>
      </c>
      <c r="H85" s="42"/>
    </row>
    <row r="86" spans="2:8" outlineLevel="1" x14ac:dyDescent="0.25">
      <c r="B86" s="40" t="s">
        <v>137</v>
      </c>
      <c r="C86" s="41"/>
      <c r="D86" s="41"/>
      <c r="E86" s="41"/>
      <c r="F86" s="41"/>
      <c r="G86" s="41">
        <f>+G16-F16</f>
        <v>15000</v>
      </c>
      <c r="H86" s="42"/>
    </row>
    <row r="87" spans="2:8" outlineLevel="1" x14ac:dyDescent="0.25">
      <c r="B87" s="40" t="s">
        <v>138</v>
      </c>
      <c r="C87" s="41"/>
      <c r="D87" s="41"/>
      <c r="E87" s="41"/>
      <c r="F87" s="41"/>
      <c r="G87" s="41">
        <f>+G17-F17</f>
        <v>1560</v>
      </c>
      <c r="H87" s="42"/>
    </row>
    <row r="88" spans="2:8" outlineLevel="1" x14ac:dyDescent="0.25">
      <c r="B88" s="40"/>
      <c r="C88" s="41"/>
      <c r="D88" s="41"/>
      <c r="E88" s="41"/>
      <c r="F88" s="41"/>
      <c r="G88" s="41"/>
      <c r="H88" s="42"/>
    </row>
    <row r="89" spans="2:8" x14ac:dyDescent="0.25">
      <c r="B89" s="36" t="s">
        <v>41</v>
      </c>
      <c r="C89" s="37">
        <f>+SUM(C77:C88)</f>
        <v>-4000</v>
      </c>
      <c r="D89" s="37">
        <f>+SUM(D77:D88)</f>
        <v>-1000</v>
      </c>
      <c r="E89" s="37">
        <f>+SUM(E77:E88)</f>
        <v>-700</v>
      </c>
      <c r="F89" s="37">
        <f>+SUM(F77:F88)</f>
        <v>5700</v>
      </c>
      <c r="G89" s="37">
        <f>+SUM(G77:G88)</f>
        <v>6800</v>
      </c>
      <c r="H89" s="38">
        <f>+SUM(H77:H88)</f>
        <v>0</v>
      </c>
    </row>
    <row r="90" spans="2:8" x14ac:dyDescent="0.25">
      <c r="B90" s="39" t="s">
        <v>47</v>
      </c>
      <c r="C90" s="120" t="str">
        <f>+C76</f>
        <v>JAN</v>
      </c>
      <c r="D90" s="120" t="str">
        <f>+D76</f>
        <v>FEV</v>
      </c>
      <c r="E90" s="120" t="str">
        <f>+E76</f>
        <v>MAR</v>
      </c>
      <c r="F90" s="120" t="str">
        <f>+F76</f>
        <v>ABR</v>
      </c>
      <c r="G90" s="120" t="s">
        <v>125</v>
      </c>
      <c r="H90" s="121" t="str">
        <f>+H76</f>
        <v>JUN</v>
      </c>
    </row>
    <row r="91" spans="2:8" outlineLevel="1" x14ac:dyDescent="0.25">
      <c r="B91" s="40" t="s">
        <v>81</v>
      </c>
      <c r="C91" s="41">
        <f>-C8</f>
        <v>-8000</v>
      </c>
      <c r="D91" s="41">
        <f>+SUM(C8:C9)-SUM(D8:D9)</f>
        <v>-10000</v>
      </c>
      <c r="E91" s="41">
        <f>+SUM(D8:D9)-SUM(E8:E9)</f>
        <v>0</v>
      </c>
      <c r="F91" s="41">
        <v>-1000</v>
      </c>
      <c r="G91" s="41">
        <f>-G80</f>
        <v>2000</v>
      </c>
      <c r="H91" s="42"/>
    </row>
    <row r="92" spans="2:8" outlineLevel="1" x14ac:dyDescent="0.25">
      <c r="B92" s="40" t="s">
        <v>139</v>
      </c>
      <c r="C92" s="41">
        <v>0</v>
      </c>
      <c r="D92" s="41">
        <v>0</v>
      </c>
      <c r="E92" s="41">
        <v>0</v>
      </c>
      <c r="F92" s="41">
        <v>0</v>
      </c>
      <c r="G92" s="41">
        <f>-'Exercício inicial - lançamentos'!S89</f>
        <v>8000</v>
      </c>
      <c r="H92" s="42"/>
    </row>
    <row r="93" spans="2:8" outlineLevel="1" x14ac:dyDescent="0.25">
      <c r="B93" s="40"/>
      <c r="C93" s="41"/>
      <c r="D93" s="41"/>
      <c r="E93" s="41"/>
      <c r="F93" s="41"/>
      <c r="G93" s="41"/>
      <c r="H93" s="42"/>
    </row>
    <row r="94" spans="2:8" x14ac:dyDescent="0.25">
      <c r="B94" s="36" t="s">
        <v>41</v>
      </c>
      <c r="C94" s="37">
        <f>+SUM(C91:C93)</f>
        <v>-8000</v>
      </c>
      <c r="D94" s="37">
        <f>+SUM(D91:D93)</f>
        <v>-10000</v>
      </c>
      <c r="E94" s="37">
        <f>+SUM(E91:E93)</f>
        <v>0</v>
      </c>
      <c r="F94" s="37">
        <f>+SUM(F91:F93)</f>
        <v>-1000</v>
      </c>
      <c r="G94" s="37">
        <f>+SUM(G91:G93)</f>
        <v>10000</v>
      </c>
      <c r="H94" s="38">
        <f>+SUM(H91:H93)</f>
        <v>0</v>
      </c>
    </row>
    <row r="95" spans="2:8" x14ac:dyDescent="0.25">
      <c r="B95" s="39" t="s">
        <v>48</v>
      </c>
      <c r="C95" s="120" t="str">
        <f>+C90</f>
        <v>JAN</v>
      </c>
      <c r="D95" s="120" t="str">
        <f>+D90</f>
        <v>FEV</v>
      </c>
      <c r="E95" s="120" t="str">
        <f>+E90</f>
        <v>MAR</v>
      </c>
      <c r="F95" s="120" t="str">
        <f>+F90</f>
        <v>ABR</v>
      </c>
      <c r="G95" s="120" t="s">
        <v>125</v>
      </c>
      <c r="H95" s="121" t="str">
        <f>+H90</f>
        <v>JUN</v>
      </c>
    </row>
    <row r="96" spans="2:8" outlineLevel="1" x14ac:dyDescent="0.25">
      <c r="B96" s="40" t="s">
        <v>82</v>
      </c>
      <c r="C96" s="41">
        <f>+C18</f>
        <v>5000</v>
      </c>
      <c r="D96" s="41">
        <f>+D18-C18</f>
        <v>6500</v>
      </c>
      <c r="E96" s="41">
        <f>+E18-D18</f>
        <v>-500</v>
      </c>
      <c r="F96" s="41">
        <f>+F18-E18</f>
        <v>-4000</v>
      </c>
      <c r="G96" s="41">
        <v>0</v>
      </c>
      <c r="H96" s="42"/>
    </row>
    <row r="97" spans="2:8" outlineLevel="1" x14ac:dyDescent="0.25">
      <c r="B97" s="40" t="s">
        <v>83</v>
      </c>
      <c r="C97" s="41">
        <f>+C20</f>
        <v>10000</v>
      </c>
      <c r="D97" s="41">
        <f>+D20-C20</f>
        <v>3000</v>
      </c>
      <c r="E97" s="41">
        <f>+E20-D20</f>
        <v>0</v>
      </c>
      <c r="F97" s="41">
        <f>+F20-E20</f>
        <v>0</v>
      </c>
      <c r="G97" s="41">
        <v>0</v>
      </c>
      <c r="H97" s="42"/>
    </row>
    <row r="98" spans="2:8" outlineLevel="1" x14ac:dyDescent="0.25">
      <c r="B98" s="40" t="s">
        <v>71</v>
      </c>
      <c r="C98" s="41">
        <f>-C79</f>
        <v>0</v>
      </c>
      <c r="D98" s="41">
        <v>0</v>
      </c>
      <c r="E98" s="41">
        <f>-E79</f>
        <v>-200</v>
      </c>
      <c r="F98" s="41">
        <f>-F79</f>
        <v>-300</v>
      </c>
      <c r="G98" s="41">
        <f>-G79</f>
        <v>-200</v>
      </c>
      <c r="H98" s="42"/>
    </row>
    <row r="99" spans="2:8" outlineLevel="1" x14ac:dyDescent="0.25">
      <c r="B99" s="40" t="s">
        <v>141</v>
      </c>
      <c r="C99" s="41">
        <v>0</v>
      </c>
      <c r="D99" s="41">
        <v>0</v>
      </c>
      <c r="E99" s="41">
        <v>0</v>
      </c>
      <c r="F99" s="41">
        <v>-300</v>
      </c>
      <c r="G99" s="41">
        <v>0</v>
      </c>
      <c r="H99" s="42"/>
    </row>
    <row r="100" spans="2:8" x14ac:dyDescent="0.25">
      <c r="B100" s="36" t="s">
        <v>41</v>
      </c>
      <c r="C100" s="37">
        <f t="shared" ref="C100:E100" si="25">+SUM(C96:C99)</f>
        <v>15000</v>
      </c>
      <c r="D100" s="37">
        <f t="shared" si="25"/>
        <v>9500</v>
      </c>
      <c r="E100" s="37">
        <f t="shared" si="25"/>
        <v>-700</v>
      </c>
      <c r="F100" s="37">
        <f>+SUM(F96:F99)</f>
        <v>-4600</v>
      </c>
      <c r="G100" s="37">
        <f>+SUM(G96:G99)</f>
        <v>-200</v>
      </c>
      <c r="H100" s="38"/>
    </row>
    <row r="101" spans="2:8" x14ac:dyDescent="0.25">
      <c r="B101" s="45" t="s">
        <v>5</v>
      </c>
      <c r="C101" s="43">
        <f>+C89+C94+C100</f>
        <v>3000</v>
      </c>
      <c r="D101" s="43">
        <f>+D89+D94+D100</f>
        <v>-1500</v>
      </c>
      <c r="E101" s="43">
        <f>+E89+E94+E100</f>
        <v>-1400</v>
      </c>
      <c r="F101" s="43">
        <f>+F89+F94+F100</f>
        <v>100</v>
      </c>
      <c r="G101" s="43">
        <f>+G89+G94+G100</f>
        <v>16600</v>
      </c>
      <c r="H101" s="44">
        <f>+H89+H94+H100</f>
        <v>0</v>
      </c>
    </row>
    <row r="103" spans="2:8" x14ac:dyDescent="0.25">
      <c r="B103" s="46" t="s">
        <v>9</v>
      </c>
      <c r="C103" s="47">
        <v>0</v>
      </c>
      <c r="D103" s="47">
        <f>+C104</f>
        <v>3000</v>
      </c>
      <c r="E103" s="47">
        <f t="shared" ref="E103" si="26">+D104</f>
        <v>1500</v>
      </c>
      <c r="F103" s="47">
        <f t="shared" ref="F103" si="27">+E104</f>
        <v>100</v>
      </c>
      <c r="G103" s="47">
        <f>+F104</f>
        <v>200</v>
      </c>
      <c r="H103" s="48">
        <f>+G104</f>
        <v>16800</v>
      </c>
    </row>
    <row r="104" spans="2:8" x14ac:dyDescent="0.25">
      <c r="B104" s="49" t="s">
        <v>10</v>
      </c>
      <c r="C104" s="41">
        <f>+C103+C101</f>
        <v>3000</v>
      </c>
      <c r="D104" s="41">
        <f t="shared" ref="D104:G104" si="28">+D103+D101</f>
        <v>1500</v>
      </c>
      <c r="E104" s="41">
        <f t="shared" si="28"/>
        <v>100</v>
      </c>
      <c r="F104" s="41">
        <f t="shared" si="28"/>
        <v>200</v>
      </c>
      <c r="G104" s="41">
        <f t="shared" si="28"/>
        <v>16800</v>
      </c>
      <c r="H104" s="42">
        <f t="shared" ref="H104" si="29">+H103+H101</f>
        <v>16800</v>
      </c>
    </row>
    <row r="105" spans="2:8" x14ac:dyDescent="0.25">
      <c r="B105" s="50" t="s">
        <v>5</v>
      </c>
      <c r="C105" s="37">
        <f>+C104-C103</f>
        <v>3000</v>
      </c>
      <c r="D105" s="37">
        <f t="shared" ref="D105:G105" si="30">+D104-D103</f>
        <v>-1500</v>
      </c>
      <c r="E105" s="37">
        <f t="shared" si="30"/>
        <v>-1400</v>
      </c>
      <c r="F105" s="37">
        <f t="shared" si="30"/>
        <v>100</v>
      </c>
      <c r="G105" s="37">
        <f t="shared" si="30"/>
        <v>16600</v>
      </c>
      <c r="H105" s="38">
        <f t="shared" ref="H105" si="31">+H104-H103</f>
        <v>0</v>
      </c>
    </row>
  </sheetData>
  <mergeCells count="5">
    <mergeCell ref="B2:H2"/>
    <mergeCell ref="B26:H26"/>
    <mergeCell ref="B42:H42"/>
    <mergeCell ref="B50:H50"/>
    <mergeCell ref="B75:H7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5"/>
  <sheetViews>
    <sheetView topLeftCell="D28" zoomScale="120" zoomScaleNormal="120" workbookViewId="0">
      <selection activeCell="F30" sqref="F30:F33"/>
    </sheetView>
  </sheetViews>
  <sheetFormatPr defaultRowHeight="15" x14ac:dyDescent="0.25"/>
  <cols>
    <col min="1" max="1" width="4" style="1" customWidth="1"/>
    <col min="2" max="2" width="9.7109375" style="1" customWidth="1"/>
    <col min="3" max="3" width="27.140625" style="1" customWidth="1"/>
    <col min="4" max="9" width="9.140625" style="1"/>
    <col min="10" max="10" width="13.140625" style="1" customWidth="1"/>
    <col min="11" max="16384" width="9.140625" style="1"/>
  </cols>
  <sheetData>
    <row r="2" spans="2:18" x14ac:dyDescent="0.25">
      <c r="B2" s="151" t="s">
        <v>0</v>
      </c>
      <c r="C2" s="152"/>
      <c r="D2" s="94" t="s">
        <v>99</v>
      </c>
      <c r="E2" s="94" t="s">
        <v>100</v>
      </c>
      <c r="F2" s="94" t="s">
        <v>101</v>
      </c>
      <c r="G2" s="95"/>
      <c r="I2" s="145" t="s">
        <v>113</v>
      </c>
      <c r="J2" s="146"/>
      <c r="K2" s="146"/>
      <c r="L2" s="146"/>
      <c r="M2" s="147"/>
    </row>
    <row r="3" spans="2:18" x14ac:dyDescent="0.25">
      <c r="B3" s="153" t="s">
        <v>1</v>
      </c>
      <c r="C3" s="96" t="s">
        <v>103</v>
      </c>
      <c r="D3" s="100">
        <v>0</v>
      </c>
      <c r="E3" s="100"/>
      <c r="F3" s="100">
        <v>0</v>
      </c>
      <c r="G3" s="98"/>
      <c r="I3" s="50" t="s">
        <v>112</v>
      </c>
      <c r="J3" s="37" t="s">
        <v>117</v>
      </c>
      <c r="K3" s="37" t="s">
        <v>114</v>
      </c>
      <c r="L3" s="37" t="s">
        <v>115</v>
      </c>
      <c r="M3" s="38" t="s">
        <v>116</v>
      </c>
      <c r="P3" s="109"/>
      <c r="Q3" s="109"/>
      <c r="R3" s="109"/>
    </row>
    <row r="4" spans="2:18" x14ac:dyDescent="0.25">
      <c r="B4" s="153"/>
      <c r="C4" s="96" t="s">
        <v>104</v>
      </c>
      <c r="D4" s="96">
        <v>200</v>
      </c>
      <c r="E4" s="97">
        <v>14</v>
      </c>
      <c r="F4" s="96">
        <f>+D4*E4</f>
        <v>2800</v>
      </c>
      <c r="G4" s="98"/>
      <c r="I4" s="128" t="s">
        <v>1</v>
      </c>
      <c r="J4" s="105" t="s">
        <v>119</v>
      </c>
      <c r="K4" s="105">
        <v>0</v>
      </c>
      <c r="L4" s="110">
        <v>0</v>
      </c>
      <c r="M4" s="111">
        <v>0</v>
      </c>
    </row>
    <row r="5" spans="2:18" x14ac:dyDescent="0.25">
      <c r="B5" s="153"/>
      <c r="C5" s="96" t="s">
        <v>105</v>
      </c>
      <c r="D5" s="96">
        <v>300</v>
      </c>
      <c r="E5" s="97">
        <v>18</v>
      </c>
      <c r="F5" s="96">
        <f>+D5*E5</f>
        <v>5400</v>
      </c>
      <c r="G5" s="99"/>
      <c r="I5" s="130"/>
      <c r="J5" s="22" t="s">
        <v>118</v>
      </c>
      <c r="K5" s="22">
        <v>200</v>
      </c>
      <c r="L5" s="107">
        <v>14</v>
      </c>
      <c r="M5" s="23">
        <f t="shared" ref="M5:M10" si="0">+K5*L5</f>
        <v>2800</v>
      </c>
    </row>
    <row r="6" spans="2:18" x14ac:dyDescent="0.25">
      <c r="B6" s="153"/>
      <c r="C6" s="96" t="s">
        <v>102</v>
      </c>
      <c r="D6" s="100">
        <f>SUM(D4:D5)</f>
        <v>500</v>
      </c>
      <c r="E6" s="97"/>
      <c r="F6" s="100">
        <f>SUM(F4:F5)</f>
        <v>8200</v>
      </c>
      <c r="G6" s="101">
        <f>+F6/D6</f>
        <v>16.399999999999999</v>
      </c>
      <c r="I6" s="130"/>
      <c r="J6" s="22" t="s">
        <v>118</v>
      </c>
      <c r="K6" s="22">
        <f>+D5</f>
        <v>300</v>
      </c>
      <c r="L6" s="107">
        <f>+E5</f>
        <v>18</v>
      </c>
      <c r="M6" s="23">
        <f t="shared" si="0"/>
        <v>5400</v>
      </c>
    </row>
    <row r="7" spans="2:18" x14ac:dyDescent="0.25">
      <c r="B7" s="154"/>
      <c r="C7" s="150" t="s">
        <v>106</v>
      </c>
      <c r="D7" s="150"/>
      <c r="E7" s="150"/>
      <c r="F7" s="150"/>
      <c r="G7" s="102"/>
      <c r="I7" s="130"/>
      <c r="J7" s="22" t="s">
        <v>121</v>
      </c>
      <c r="K7" s="22">
        <v>-400</v>
      </c>
      <c r="L7" s="107">
        <f>SUM(M5:M6)/SUM(K5:K6)</f>
        <v>16.399999999999999</v>
      </c>
      <c r="M7" s="23">
        <f t="shared" si="0"/>
        <v>-6559.9999999999991</v>
      </c>
    </row>
    <row r="8" spans="2:18" x14ac:dyDescent="0.25">
      <c r="I8" s="129"/>
      <c r="J8" s="25" t="s">
        <v>120</v>
      </c>
      <c r="K8" s="25">
        <f>SUM(K5:K7)</f>
        <v>100</v>
      </c>
      <c r="L8" s="112">
        <f>+L7</f>
        <v>16.399999999999999</v>
      </c>
      <c r="M8" s="26">
        <f t="shared" si="0"/>
        <v>1639.9999999999998</v>
      </c>
    </row>
    <row r="9" spans="2:18" x14ac:dyDescent="0.25">
      <c r="B9" s="151" t="s">
        <v>0</v>
      </c>
      <c r="C9" s="152"/>
      <c r="D9" s="94" t="s">
        <v>99</v>
      </c>
      <c r="E9" s="94" t="s">
        <v>100</v>
      </c>
      <c r="F9" s="94" t="s">
        <v>101</v>
      </c>
      <c r="G9" s="95"/>
      <c r="I9" s="128" t="s">
        <v>2</v>
      </c>
      <c r="J9" s="105" t="s">
        <v>119</v>
      </c>
      <c r="K9" s="105">
        <f>+K8</f>
        <v>100</v>
      </c>
      <c r="L9" s="110">
        <f>+L8</f>
        <v>16.399999999999999</v>
      </c>
      <c r="M9" s="111">
        <f t="shared" si="0"/>
        <v>1639.9999999999998</v>
      </c>
    </row>
    <row r="10" spans="2:18" x14ac:dyDescent="0.25">
      <c r="B10" s="153" t="s">
        <v>2</v>
      </c>
      <c r="C10" s="96" t="s">
        <v>103</v>
      </c>
      <c r="D10" s="100">
        <v>100</v>
      </c>
      <c r="E10" s="100"/>
      <c r="F10" s="100">
        <v>0</v>
      </c>
      <c r="G10" s="98"/>
      <c r="I10" s="130"/>
      <c r="J10" s="22" t="s">
        <v>118</v>
      </c>
      <c r="K10" s="22">
        <v>300</v>
      </c>
      <c r="L10" s="107">
        <v>20</v>
      </c>
      <c r="M10" s="23">
        <f t="shared" si="0"/>
        <v>6000</v>
      </c>
    </row>
    <row r="11" spans="2:18" x14ac:dyDescent="0.25">
      <c r="B11" s="153"/>
      <c r="C11" s="96" t="s">
        <v>104</v>
      </c>
      <c r="D11" s="96">
        <v>300</v>
      </c>
      <c r="E11" s="97">
        <v>20</v>
      </c>
      <c r="F11" s="96">
        <f>+D11*E11</f>
        <v>6000</v>
      </c>
      <c r="G11" s="98"/>
      <c r="I11" s="130"/>
      <c r="J11" s="22" t="s">
        <v>102</v>
      </c>
      <c r="K11" s="22">
        <f>+SUM(K9:K10)</f>
        <v>400</v>
      </c>
      <c r="L11" s="107">
        <f>+M11/K11</f>
        <v>19.100000000000001</v>
      </c>
      <c r="M11" s="23">
        <f>SUM(M9:M10)</f>
        <v>7640</v>
      </c>
    </row>
    <row r="12" spans="2:18" x14ac:dyDescent="0.25">
      <c r="B12" s="153"/>
      <c r="C12" s="96"/>
      <c r="D12" s="96"/>
      <c r="E12" s="97"/>
      <c r="F12" s="96"/>
      <c r="G12" s="99"/>
      <c r="I12" s="130"/>
      <c r="J12" s="22" t="s">
        <v>121</v>
      </c>
      <c r="K12" s="22">
        <v>-400</v>
      </c>
      <c r="L12" s="107">
        <f>+L11</f>
        <v>19.100000000000001</v>
      </c>
      <c r="M12" s="23">
        <f>+K12*L12</f>
        <v>-7640.0000000000009</v>
      </c>
    </row>
    <row r="13" spans="2:18" x14ac:dyDescent="0.25">
      <c r="B13" s="153"/>
      <c r="C13" s="96"/>
      <c r="D13" s="100"/>
      <c r="E13" s="97"/>
      <c r="F13" s="100"/>
      <c r="G13" s="101"/>
      <c r="I13" s="129"/>
      <c r="J13" s="25" t="s">
        <v>120</v>
      </c>
      <c r="K13" s="25">
        <f>+K9+K10+K12</f>
        <v>0</v>
      </c>
      <c r="L13" s="112">
        <v>0</v>
      </c>
      <c r="M13" s="26">
        <f>+K13*L13</f>
        <v>0</v>
      </c>
    </row>
    <row r="14" spans="2:18" x14ac:dyDescent="0.25">
      <c r="B14" s="154"/>
      <c r="C14" s="150" t="s">
        <v>122</v>
      </c>
      <c r="D14" s="150"/>
      <c r="E14" s="150"/>
      <c r="F14" s="150"/>
      <c r="G14" s="102"/>
    </row>
    <row r="15" spans="2:18" x14ac:dyDescent="0.25">
      <c r="I15" s="145" t="s">
        <v>110</v>
      </c>
      <c r="J15" s="146"/>
      <c r="K15" s="146"/>
      <c r="L15" s="146"/>
      <c r="M15" s="147"/>
    </row>
    <row r="16" spans="2:18" x14ac:dyDescent="0.25">
      <c r="I16" s="50" t="s">
        <v>112</v>
      </c>
      <c r="J16" s="37" t="s">
        <v>117</v>
      </c>
      <c r="K16" s="37" t="s">
        <v>114</v>
      </c>
      <c r="L16" s="37" t="s">
        <v>115</v>
      </c>
      <c r="M16" s="38" t="s">
        <v>116</v>
      </c>
    </row>
    <row r="17" spans="3:13" x14ac:dyDescent="0.25">
      <c r="I17" s="128" t="str">
        <f>+I4</f>
        <v>MÊS 1</v>
      </c>
      <c r="J17" s="60" t="s">
        <v>119</v>
      </c>
      <c r="K17" s="60">
        <v>0</v>
      </c>
      <c r="L17" s="106">
        <v>0</v>
      </c>
      <c r="M17" s="61">
        <v>0</v>
      </c>
    </row>
    <row r="18" spans="3:13" x14ac:dyDescent="0.25">
      <c r="C18" s="88" t="s">
        <v>108</v>
      </c>
      <c r="D18" s="89" t="s">
        <v>107</v>
      </c>
      <c r="E18" s="89" t="s">
        <v>123</v>
      </c>
      <c r="F18" s="89" t="s">
        <v>41</v>
      </c>
      <c r="G18" s="48"/>
      <c r="I18" s="130"/>
      <c r="J18" s="60" t="s">
        <v>118</v>
      </c>
      <c r="K18" s="60">
        <v>200</v>
      </c>
      <c r="L18" s="106">
        <v>14</v>
      </c>
      <c r="M18" s="61">
        <f t="shared" ref="M18:M29" si="1">+K18*L18</f>
        <v>2800</v>
      </c>
    </row>
    <row r="19" spans="3:13" x14ac:dyDescent="0.25">
      <c r="C19" s="104" t="s">
        <v>13</v>
      </c>
      <c r="D19" s="105">
        <f>400*20</f>
        <v>8000</v>
      </c>
      <c r="E19" s="105">
        <f>400*25</f>
        <v>10000</v>
      </c>
      <c r="F19" s="105">
        <f>SUM(D19:E19)</f>
        <v>18000</v>
      </c>
      <c r="G19" s="61"/>
      <c r="I19" s="130"/>
      <c r="J19" s="64" t="s">
        <v>118</v>
      </c>
      <c r="K19" s="64">
        <v>300</v>
      </c>
      <c r="L19" s="108">
        <v>18</v>
      </c>
      <c r="M19" s="65">
        <f t="shared" si="1"/>
        <v>5400</v>
      </c>
    </row>
    <row r="20" spans="3:13" x14ac:dyDescent="0.25">
      <c r="C20" s="35" t="s">
        <v>14</v>
      </c>
      <c r="D20" s="22">
        <f>-G6*400</f>
        <v>-6559.9999999999991</v>
      </c>
      <c r="E20" s="22">
        <f>+M12</f>
        <v>-7640.0000000000009</v>
      </c>
      <c r="F20" s="22">
        <f>SUM(D20:E20)</f>
        <v>-14200</v>
      </c>
      <c r="G20" s="23"/>
      <c r="I20" s="130"/>
      <c r="J20" s="60" t="s">
        <v>121</v>
      </c>
      <c r="K20" s="60">
        <v>-200</v>
      </c>
      <c r="L20" s="106">
        <f>+L18</f>
        <v>14</v>
      </c>
      <c r="M20" s="61">
        <f t="shared" si="1"/>
        <v>-2800</v>
      </c>
    </row>
    <row r="21" spans="3:13" x14ac:dyDescent="0.25">
      <c r="C21" s="78" t="s">
        <v>55</v>
      </c>
      <c r="D21" s="25">
        <f>SUM(D19:D20)</f>
        <v>1440.0000000000009</v>
      </c>
      <c r="E21" s="25">
        <f>SUM(E19:E20)</f>
        <v>2359.9999999999991</v>
      </c>
      <c r="F21" s="25">
        <f>SUM(F19:F20)</f>
        <v>3800</v>
      </c>
      <c r="G21" s="65"/>
      <c r="I21" s="130"/>
      <c r="J21" s="64" t="s">
        <v>121</v>
      </c>
      <c r="K21" s="64">
        <v>-200</v>
      </c>
      <c r="L21" s="108">
        <f>+L19</f>
        <v>18</v>
      </c>
      <c r="M21" s="65">
        <f t="shared" si="1"/>
        <v>-3600</v>
      </c>
    </row>
    <row r="22" spans="3:13" x14ac:dyDescent="0.25">
      <c r="C22" s="78" t="s">
        <v>109</v>
      </c>
      <c r="D22" s="25">
        <f>+G6*100</f>
        <v>1639.9999999999998</v>
      </c>
      <c r="E22" s="25">
        <f>+M13</f>
        <v>0</v>
      </c>
      <c r="F22" s="64"/>
      <c r="G22" s="65"/>
      <c r="I22" s="129"/>
      <c r="J22" s="81" t="s">
        <v>120</v>
      </c>
      <c r="K22" s="81">
        <v>100</v>
      </c>
      <c r="L22" s="114">
        <v>18</v>
      </c>
      <c r="M22" s="82">
        <f t="shared" si="1"/>
        <v>1800</v>
      </c>
    </row>
    <row r="23" spans="3:13" x14ac:dyDescent="0.25">
      <c r="C23" s="103"/>
      <c r="I23" s="85" t="str">
        <f>+I9</f>
        <v>MÊS 2</v>
      </c>
      <c r="J23" s="105" t="s">
        <v>119</v>
      </c>
      <c r="K23" s="105">
        <f>+K22</f>
        <v>100</v>
      </c>
      <c r="L23" s="110">
        <f>+L22</f>
        <v>18</v>
      </c>
      <c r="M23" s="82">
        <f t="shared" si="1"/>
        <v>1800</v>
      </c>
    </row>
    <row r="24" spans="3:13" x14ac:dyDescent="0.25">
      <c r="C24" s="88" t="s">
        <v>110</v>
      </c>
      <c r="D24" s="89" t="str">
        <f>+D18</f>
        <v>Mês 1</v>
      </c>
      <c r="E24" s="89" t="str">
        <f>+E18</f>
        <v>Mês 2</v>
      </c>
      <c r="F24" s="89" t="s">
        <v>41</v>
      </c>
      <c r="G24" s="48"/>
      <c r="I24" s="87"/>
      <c r="J24" s="68" t="s">
        <v>118</v>
      </c>
      <c r="K24" s="68">
        <v>300</v>
      </c>
      <c r="L24" s="113">
        <v>20</v>
      </c>
      <c r="M24" s="69">
        <f t="shared" si="1"/>
        <v>6000</v>
      </c>
    </row>
    <row r="25" spans="3:13" x14ac:dyDescent="0.25">
      <c r="C25" s="104" t="s">
        <v>13</v>
      </c>
      <c r="D25" s="105">
        <f>400*20</f>
        <v>8000</v>
      </c>
      <c r="E25" s="105">
        <f>400*25</f>
        <v>10000</v>
      </c>
      <c r="F25" s="105">
        <f>SUM(D25:E25)</f>
        <v>18000</v>
      </c>
      <c r="G25" s="61"/>
      <c r="I25" s="87"/>
      <c r="J25" s="22" t="s">
        <v>102</v>
      </c>
      <c r="K25" s="22">
        <f>+K23</f>
        <v>100</v>
      </c>
      <c r="L25" s="107">
        <f>+L23</f>
        <v>18</v>
      </c>
      <c r="M25" s="61">
        <f t="shared" si="1"/>
        <v>1800</v>
      </c>
    </row>
    <row r="26" spans="3:13" x14ac:dyDescent="0.25">
      <c r="C26" s="35" t="s">
        <v>14</v>
      </c>
      <c r="D26" s="22">
        <f>-(D4*E4+200*E5)</f>
        <v>-6400</v>
      </c>
      <c r="E26" s="22">
        <f>+SUM(M27:M28)</f>
        <v>-7800</v>
      </c>
      <c r="F26" s="22">
        <f>SUM(D26:E26)</f>
        <v>-14200</v>
      </c>
      <c r="G26" s="23"/>
      <c r="I26" s="87"/>
      <c r="J26" s="64"/>
      <c r="K26" s="64">
        <f>+K24</f>
        <v>300</v>
      </c>
      <c r="L26" s="108">
        <f>+L24</f>
        <v>20</v>
      </c>
      <c r="M26" s="65">
        <f t="shared" si="1"/>
        <v>6000</v>
      </c>
    </row>
    <row r="27" spans="3:13" x14ac:dyDescent="0.25">
      <c r="C27" s="78" t="s">
        <v>55</v>
      </c>
      <c r="D27" s="25">
        <f>SUM(D25:D26)</f>
        <v>1600</v>
      </c>
      <c r="E27" s="25">
        <f>SUM(E25:E26)</f>
        <v>2200</v>
      </c>
      <c r="F27" s="25">
        <f>SUM(F25:F26)</f>
        <v>3800</v>
      </c>
      <c r="G27" s="65"/>
      <c r="I27" s="87"/>
      <c r="J27" s="148" t="s">
        <v>124</v>
      </c>
      <c r="K27" s="60">
        <v>-100</v>
      </c>
      <c r="L27" s="106">
        <v>18</v>
      </c>
      <c r="M27" s="61">
        <f t="shared" si="1"/>
        <v>-1800</v>
      </c>
    </row>
    <row r="28" spans="3:13" x14ac:dyDescent="0.25">
      <c r="C28" s="78" t="s">
        <v>109</v>
      </c>
      <c r="D28" s="25">
        <f>100*E5</f>
        <v>1800</v>
      </c>
      <c r="E28" s="64">
        <v>0</v>
      </c>
      <c r="F28" s="64"/>
      <c r="G28" s="65"/>
      <c r="I28" s="87"/>
      <c r="J28" s="149"/>
      <c r="K28" s="64">
        <v>-300</v>
      </c>
      <c r="L28" s="108">
        <v>20</v>
      </c>
      <c r="M28" s="65">
        <f t="shared" si="1"/>
        <v>-6000</v>
      </c>
    </row>
    <row r="29" spans="3:13" x14ac:dyDescent="0.25">
      <c r="I29" s="86"/>
      <c r="J29" s="25" t="s">
        <v>120</v>
      </c>
      <c r="K29" s="25">
        <v>0</v>
      </c>
      <c r="L29" s="112">
        <v>0</v>
      </c>
      <c r="M29" s="26">
        <f t="shared" si="1"/>
        <v>0</v>
      </c>
    </row>
    <row r="30" spans="3:13" x14ac:dyDescent="0.25">
      <c r="C30" s="88" t="s">
        <v>111</v>
      </c>
      <c r="D30" s="89" t="str">
        <f>+D24</f>
        <v>Mês 1</v>
      </c>
      <c r="E30" s="89" t="str">
        <f>+E24</f>
        <v>Mês 2</v>
      </c>
      <c r="F30" s="89" t="s">
        <v>41</v>
      </c>
      <c r="G30" s="48"/>
    </row>
    <row r="31" spans="3:13" x14ac:dyDescent="0.25">
      <c r="C31" s="104" t="s">
        <v>13</v>
      </c>
      <c r="D31" s="105">
        <f>400*20</f>
        <v>8000</v>
      </c>
      <c r="E31" s="105">
        <f>+E25</f>
        <v>10000</v>
      </c>
      <c r="F31" s="105">
        <f>SUM(D31:E31)</f>
        <v>18000</v>
      </c>
      <c r="G31" s="61"/>
      <c r="I31" s="145" t="s">
        <v>111</v>
      </c>
      <c r="J31" s="146"/>
      <c r="K31" s="146"/>
      <c r="L31" s="146"/>
      <c r="M31" s="147"/>
    </row>
    <row r="32" spans="3:13" x14ac:dyDescent="0.25">
      <c r="C32" s="35" t="s">
        <v>14</v>
      </c>
      <c r="D32" s="22">
        <f>-(D5*E5+100*E4)</f>
        <v>-6800</v>
      </c>
      <c r="E32" s="22">
        <f>+SUM(M43:M44)</f>
        <v>-7400</v>
      </c>
      <c r="F32" s="22">
        <f>SUM(D32:E32)</f>
        <v>-14200</v>
      </c>
      <c r="G32" s="23"/>
      <c r="I32" s="50" t="s">
        <v>112</v>
      </c>
      <c r="J32" s="37" t="s">
        <v>117</v>
      </c>
      <c r="K32" s="37" t="s">
        <v>114</v>
      </c>
      <c r="L32" s="37" t="s">
        <v>115</v>
      </c>
      <c r="M32" s="38" t="s">
        <v>116</v>
      </c>
    </row>
    <row r="33" spans="3:13" x14ac:dyDescent="0.25">
      <c r="C33" s="78" t="s">
        <v>55</v>
      </c>
      <c r="D33" s="25">
        <f>SUM(D31:D32)</f>
        <v>1200</v>
      </c>
      <c r="E33" s="25">
        <f>SUM(E31:E32)</f>
        <v>2600</v>
      </c>
      <c r="F33" s="25">
        <f>SUM(F31:F32)</f>
        <v>3800</v>
      </c>
      <c r="G33" s="65"/>
      <c r="I33" s="128" t="str">
        <f>+I17</f>
        <v>MÊS 1</v>
      </c>
      <c r="J33" s="60" t="s">
        <v>119</v>
      </c>
      <c r="K33" s="60">
        <v>0</v>
      </c>
      <c r="L33" s="106">
        <v>0</v>
      </c>
      <c r="M33" s="61">
        <v>0</v>
      </c>
    </row>
    <row r="34" spans="3:13" x14ac:dyDescent="0.25">
      <c r="C34" s="78" t="s">
        <v>109</v>
      </c>
      <c r="D34" s="25">
        <f>100*E4</f>
        <v>1400</v>
      </c>
      <c r="E34" s="25">
        <v>0</v>
      </c>
      <c r="F34" s="64"/>
      <c r="G34" s="65"/>
      <c r="I34" s="130"/>
      <c r="J34" s="60" t="s">
        <v>118</v>
      </c>
      <c r="K34" s="60">
        <v>200</v>
      </c>
      <c r="L34" s="106">
        <v>14</v>
      </c>
      <c r="M34" s="61">
        <f t="shared" ref="M34:M45" si="2">+K34*L34</f>
        <v>2800</v>
      </c>
    </row>
    <row r="35" spans="3:13" x14ac:dyDescent="0.25">
      <c r="I35" s="130"/>
      <c r="J35" s="64" t="s">
        <v>118</v>
      </c>
      <c r="K35" s="64">
        <v>300</v>
      </c>
      <c r="L35" s="108">
        <v>18</v>
      </c>
      <c r="M35" s="65">
        <f t="shared" si="2"/>
        <v>5400</v>
      </c>
    </row>
    <row r="36" spans="3:13" x14ac:dyDescent="0.25">
      <c r="I36" s="130"/>
      <c r="J36" s="60" t="s">
        <v>121</v>
      </c>
      <c r="K36" s="60">
        <v>-300</v>
      </c>
      <c r="L36" s="106">
        <v>18</v>
      </c>
      <c r="M36" s="61">
        <f t="shared" si="2"/>
        <v>-5400</v>
      </c>
    </row>
    <row r="37" spans="3:13" x14ac:dyDescent="0.25">
      <c r="I37" s="130"/>
      <c r="J37" s="64" t="s">
        <v>121</v>
      </c>
      <c r="K37" s="64">
        <v>-100</v>
      </c>
      <c r="L37" s="108">
        <v>14</v>
      </c>
      <c r="M37" s="65">
        <f t="shared" si="2"/>
        <v>-1400</v>
      </c>
    </row>
    <row r="38" spans="3:13" x14ac:dyDescent="0.25">
      <c r="I38" s="130"/>
      <c r="J38" s="105" t="s">
        <v>120</v>
      </c>
      <c r="K38" s="105">
        <v>100</v>
      </c>
      <c r="L38" s="110">
        <v>14</v>
      </c>
      <c r="M38" s="111">
        <f t="shared" si="2"/>
        <v>1400</v>
      </c>
    </row>
    <row r="39" spans="3:13" x14ac:dyDescent="0.25">
      <c r="I39" s="128" t="str">
        <f>+I23</f>
        <v>MÊS 2</v>
      </c>
      <c r="J39" s="81" t="s">
        <v>119</v>
      </c>
      <c r="K39" s="81">
        <f>+K38</f>
        <v>100</v>
      </c>
      <c r="L39" s="114">
        <f>+L38</f>
        <v>14</v>
      </c>
      <c r="M39" s="82">
        <f t="shared" si="2"/>
        <v>1400</v>
      </c>
    </row>
    <row r="40" spans="3:13" x14ac:dyDescent="0.25">
      <c r="I40" s="130"/>
      <c r="J40" s="68" t="s">
        <v>118</v>
      </c>
      <c r="K40" s="68">
        <v>300</v>
      </c>
      <c r="L40" s="113">
        <v>20</v>
      </c>
      <c r="M40" s="69">
        <f t="shared" si="2"/>
        <v>6000</v>
      </c>
    </row>
    <row r="41" spans="3:13" x14ac:dyDescent="0.25">
      <c r="I41" s="130"/>
      <c r="J41" s="22" t="s">
        <v>102</v>
      </c>
      <c r="K41" s="22">
        <f>+K39</f>
        <v>100</v>
      </c>
      <c r="L41" s="107">
        <f>+L39</f>
        <v>14</v>
      </c>
      <c r="M41" s="23">
        <f t="shared" si="2"/>
        <v>1400</v>
      </c>
    </row>
    <row r="42" spans="3:13" x14ac:dyDescent="0.25">
      <c r="I42" s="130"/>
      <c r="J42" s="64"/>
      <c r="K42" s="64">
        <f>+K40</f>
        <v>300</v>
      </c>
      <c r="L42" s="108">
        <f>+L40</f>
        <v>20</v>
      </c>
      <c r="M42" s="65">
        <f t="shared" si="2"/>
        <v>6000</v>
      </c>
    </row>
    <row r="43" spans="3:13" x14ac:dyDescent="0.25">
      <c r="I43" s="130"/>
      <c r="J43" s="60" t="s">
        <v>121</v>
      </c>
      <c r="K43" s="22">
        <f>-K42</f>
        <v>-300</v>
      </c>
      <c r="L43" s="107">
        <f>+L42</f>
        <v>20</v>
      </c>
      <c r="M43" s="23">
        <f t="shared" si="2"/>
        <v>-6000</v>
      </c>
    </row>
    <row r="44" spans="3:13" x14ac:dyDescent="0.25">
      <c r="I44" s="130"/>
      <c r="J44" s="64" t="s">
        <v>121</v>
      </c>
      <c r="K44" s="64">
        <f>-K41</f>
        <v>-100</v>
      </c>
      <c r="L44" s="108">
        <f>+L41</f>
        <v>14</v>
      </c>
      <c r="M44" s="65">
        <f t="shared" si="2"/>
        <v>-1400</v>
      </c>
    </row>
    <row r="45" spans="3:13" x14ac:dyDescent="0.25">
      <c r="I45" s="129"/>
      <c r="J45" s="25" t="s">
        <v>120</v>
      </c>
      <c r="K45" s="25">
        <v>0</v>
      </c>
      <c r="L45" s="112">
        <v>0</v>
      </c>
      <c r="M45" s="26">
        <f t="shared" si="2"/>
        <v>0</v>
      </c>
    </row>
  </sheetData>
  <mergeCells count="15">
    <mergeCell ref="C14:F14"/>
    <mergeCell ref="I2:M2"/>
    <mergeCell ref="I4:I8"/>
    <mergeCell ref="I15:M15"/>
    <mergeCell ref="I17:I22"/>
    <mergeCell ref="C7:F7"/>
    <mergeCell ref="B2:C2"/>
    <mergeCell ref="B3:B7"/>
    <mergeCell ref="B9:C9"/>
    <mergeCell ref="B10:B14"/>
    <mergeCell ref="I39:I45"/>
    <mergeCell ref="I31:M31"/>
    <mergeCell ref="I33:I38"/>
    <mergeCell ref="I9:I13"/>
    <mergeCell ref="J27:J2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Exemplo lucro x caixa</vt:lpstr>
      <vt:lpstr>Exercício inicial - lançamentos</vt:lpstr>
      <vt:lpstr>Exercício inicial - Demonstr</vt:lpstr>
      <vt:lpstr>PEPS, UEPS e Média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Roni Cleber Bonizio</cp:lastModifiedBy>
  <dcterms:created xsi:type="dcterms:W3CDTF">2014-02-27T00:52:28Z</dcterms:created>
  <dcterms:modified xsi:type="dcterms:W3CDTF">2014-04-03T21:55:17Z</dcterms:modified>
</cp:coreProperties>
</file>