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09"/>
  <workbookPr/>
  <mc:AlternateContent xmlns:mc="http://schemas.openxmlformats.org/markup-compatibility/2006">
    <mc:Choice Requires="x15">
      <x15ac:absPath xmlns:x15ac="http://schemas.microsoft.com/office/spreadsheetml/2010/11/ac" url="https://d.docs.live.net/a511f876703f34ac/Documentos/"/>
    </mc:Choice>
  </mc:AlternateContent>
  <xr:revisionPtr revIDLastSave="0" documentId="8_{3C9FA0B5-3F3D-46A2-821F-A45342B9FD4F}" xr6:coauthVersionLast="47" xr6:coauthVersionMax="47" xr10:uidLastSave="{00000000-0000-0000-0000-000000000000}"/>
  <bookViews>
    <workbookView minimized="1" xWindow="2280" yWindow="2280" windowWidth="14400" windowHeight="7270" xr2:uid="{00000000-000D-0000-FFFF-FFFF00000000}"/>
  </bookViews>
  <sheets>
    <sheet name="Respostas ao formulário" sheetId="1" r:id="rId1"/>
    <sheet name="Classes Sociais" sheetId="2" state="hidden" r:id="rId2"/>
    <sheet name="Dados cruzados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6" i="1" l="1"/>
  <c r="C254" i="1"/>
  <c r="C255" i="1"/>
  <c r="C253" i="1"/>
  <c r="B256" i="1"/>
  <c r="B255" i="1"/>
  <c r="B254" i="1"/>
  <c r="B253" i="1"/>
  <c r="B131" i="1"/>
  <c r="CS45" i="3"/>
  <c r="CJ45" i="3"/>
  <c r="BP45" i="3"/>
  <c r="AU45" i="3"/>
  <c r="AL45" i="3"/>
  <c r="AC45" i="3"/>
  <c r="T45" i="3"/>
  <c r="K45" i="3"/>
  <c r="C8" i="3"/>
  <c r="CX20" i="3"/>
  <c r="CX21" i="3" s="1"/>
  <c r="CW20" i="3"/>
  <c r="CV20" i="3"/>
  <c r="CU20" i="3"/>
  <c r="CT20" i="3"/>
  <c r="CX19" i="3"/>
  <c r="CW19" i="3"/>
  <c r="CV19" i="3"/>
  <c r="CU19" i="3"/>
  <c r="CT19" i="3"/>
  <c r="CX18" i="3"/>
  <c r="CW18" i="3"/>
  <c r="CV18" i="3"/>
  <c r="CU18" i="3"/>
  <c r="CT18" i="3"/>
  <c r="CX17" i="3"/>
  <c r="CW17" i="3"/>
  <c r="CV17" i="3"/>
  <c r="CU17" i="3"/>
  <c r="CT17" i="3"/>
  <c r="CX16" i="3"/>
  <c r="CW16" i="3"/>
  <c r="CV16" i="3"/>
  <c r="CU16" i="3"/>
  <c r="CT16" i="3"/>
  <c r="CX13" i="3"/>
  <c r="CW13" i="3"/>
  <c r="CV13" i="3"/>
  <c r="CU13" i="3"/>
  <c r="CT13" i="3"/>
  <c r="CX12" i="3"/>
  <c r="CW12" i="3"/>
  <c r="CV12" i="3"/>
  <c r="CU12" i="3"/>
  <c r="CT12" i="3"/>
  <c r="CX11" i="3"/>
  <c r="CW11" i="3"/>
  <c r="CV11" i="3"/>
  <c r="CU11" i="3"/>
  <c r="CT11" i="3"/>
  <c r="CX10" i="3"/>
  <c r="CW10" i="3"/>
  <c r="CV10" i="3"/>
  <c r="CU10" i="3"/>
  <c r="CT10" i="3"/>
  <c r="CX9" i="3"/>
  <c r="CW9" i="3"/>
  <c r="CV9" i="3"/>
  <c r="CU9" i="3"/>
  <c r="CT9" i="3"/>
  <c r="CX8" i="3"/>
  <c r="CW8" i="3"/>
  <c r="CV8" i="3"/>
  <c r="CU8" i="3"/>
  <c r="CT8" i="3"/>
  <c r="CX5" i="3"/>
  <c r="CW5" i="3"/>
  <c r="CV5" i="3"/>
  <c r="CU5" i="3"/>
  <c r="CT5" i="3"/>
  <c r="CX4" i="3"/>
  <c r="CW4" i="3"/>
  <c r="CV4" i="3"/>
  <c r="CU4" i="3"/>
  <c r="CT4" i="3"/>
  <c r="CX3" i="3"/>
  <c r="CW3" i="3"/>
  <c r="CV3" i="3"/>
  <c r="CU3" i="3"/>
  <c r="CT3" i="3"/>
  <c r="CO20" i="3"/>
  <c r="CN20" i="3"/>
  <c r="CM20" i="3"/>
  <c r="CL20" i="3"/>
  <c r="CK20" i="3"/>
  <c r="CO19" i="3"/>
  <c r="CN19" i="3"/>
  <c r="CM19" i="3"/>
  <c r="CL19" i="3"/>
  <c r="CK19" i="3"/>
  <c r="CO18" i="3"/>
  <c r="CN18" i="3"/>
  <c r="CM18" i="3"/>
  <c r="CL18" i="3"/>
  <c r="CK18" i="3"/>
  <c r="CO17" i="3"/>
  <c r="CN17" i="3"/>
  <c r="CM17" i="3"/>
  <c r="CL17" i="3"/>
  <c r="CK17" i="3"/>
  <c r="CO16" i="3"/>
  <c r="CN16" i="3"/>
  <c r="CM16" i="3"/>
  <c r="CL16" i="3"/>
  <c r="CK16" i="3"/>
  <c r="CO13" i="3"/>
  <c r="CN13" i="3"/>
  <c r="CM13" i="3"/>
  <c r="CL13" i="3"/>
  <c r="CK13" i="3"/>
  <c r="CO12" i="3"/>
  <c r="CN12" i="3"/>
  <c r="CM12" i="3"/>
  <c r="CL12" i="3"/>
  <c r="CK12" i="3"/>
  <c r="CO11" i="3"/>
  <c r="CN11" i="3"/>
  <c r="CM11" i="3"/>
  <c r="CL11" i="3"/>
  <c r="CK11" i="3"/>
  <c r="CO10" i="3"/>
  <c r="CN10" i="3"/>
  <c r="CM10" i="3"/>
  <c r="CL10" i="3"/>
  <c r="CK10" i="3"/>
  <c r="CO9" i="3"/>
  <c r="CN9" i="3"/>
  <c r="CM9" i="3"/>
  <c r="CL9" i="3"/>
  <c r="CK9" i="3"/>
  <c r="CO8" i="3"/>
  <c r="CN8" i="3"/>
  <c r="CM8" i="3"/>
  <c r="CL8" i="3"/>
  <c r="CK8" i="3"/>
  <c r="CK3" i="3"/>
  <c r="CO5" i="3"/>
  <c r="CN5" i="3"/>
  <c r="CM5" i="3"/>
  <c r="CL5" i="3"/>
  <c r="CK5" i="3"/>
  <c r="CO4" i="3"/>
  <c r="CN4" i="3"/>
  <c r="CM4" i="3"/>
  <c r="CL4" i="3"/>
  <c r="CK4" i="3"/>
  <c r="CO3" i="3"/>
  <c r="CN3" i="3"/>
  <c r="CM3" i="3"/>
  <c r="CL3" i="3"/>
  <c r="CP19" i="3"/>
  <c r="CF17" i="3"/>
  <c r="CF13" i="3"/>
  <c r="CF12" i="3"/>
  <c r="CF11" i="3"/>
  <c r="CF10" i="3"/>
  <c r="CF9" i="3"/>
  <c r="CF20" i="3"/>
  <c r="CE20" i="3"/>
  <c r="CD20" i="3"/>
  <c r="CC20" i="3"/>
  <c r="CB20" i="3"/>
  <c r="CA20" i="3"/>
  <c r="BZ20" i="3"/>
  <c r="CF19" i="3"/>
  <c r="CE19" i="3"/>
  <c r="CD19" i="3"/>
  <c r="CC19" i="3"/>
  <c r="CB19" i="3"/>
  <c r="CA19" i="3"/>
  <c r="BZ19" i="3"/>
  <c r="CF18" i="3"/>
  <c r="CE18" i="3"/>
  <c r="CD18" i="3"/>
  <c r="CC18" i="3"/>
  <c r="CB18" i="3"/>
  <c r="CA18" i="3"/>
  <c r="BZ18" i="3"/>
  <c r="CE17" i="3"/>
  <c r="CD17" i="3"/>
  <c r="CC17" i="3"/>
  <c r="CB17" i="3"/>
  <c r="CA17" i="3"/>
  <c r="BZ17" i="3"/>
  <c r="CE16" i="3"/>
  <c r="CD16" i="3"/>
  <c r="CC16" i="3"/>
  <c r="CB16" i="3"/>
  <c r="CA16" i="3"/>
  <c r="BZ16" i="3"/>
  <c r="CE13" i="3"/>
  <c r="CD13" i="3"/>
  <c r="CC13" i="3"/>
  <c r="CB13" i="3"/>
  <c r="CA13" i="3"/>
  <c r="BZ13" i="3"/>
  <c r="CE12" i="3"/>
  <c r="CD12" i="3"/>
  <c r="CC12" i="3"/>
  <c r="CB12" i="3"/>
  <c r="CA12" i="3"/>
  <c r="BZ12" i="3"/>
  <c r="CE11" i="3"/>
  <c r="CD11" i="3"/>
  <c r="CC11" i="3"/>
  <c r="CB11" i="3"/>
  <c r="CA11" i="3"/>
  <c r="BZ11" i="3"/>
  <c r="CE10" i="3"/>
  <c r="CD10" i="3"/>
  <c r="CC10" i="3"/>
  <c r="CB10" i="3"/>
  <c r="CA10" i="3"/>
  <c r="BZ10" i="3"/>
  <c r="CE9" i="3"/>
  <c r="CD9" i="3"/>
  <c r="CC9" i="3"/>
  <c r="CB9" i="3"/>
  <c r="CA9" i="3"/>
  <c r="BZ9" i="3"/>
  <c r="CF8" i="3"/>
  <c r="CE8" i="3"/>
  <c r="CD8" i="3"/>
  <c r="CC8" i="3"/>
  <c r="CB8" i="3"/>
  <c r="CA8" i="3"/>
  <c r="BZ8" i="3"/>
  <c r="CF5" i="3"/>
  <c r="CE5" i="3"/>
  <c r="CD5" i="3"/>
  <c r="CC5" i="3"/>
  <c r="CB5" i="3"/>
  <c r="CA5" i="3"/>
  <c r="BZ5" i="3"/>
  <c r="CE4" i="3"/>
  <c r="CD4" i="3"/>
  <c r="CC4" i="3"/>
  <c r="CB4" i="3"/>
  <c r="CA4" i="3"/>
  <c r="BZ4" i="3"/>
  <c r="CE3" i="3"/>
  <c r="CD3" i="3"/>
  <c r="CC3" i="3"/>
  <c r="CB3" i="3"/>
  <c r="CA3" i="3"/>
  <c r="BZ3" i="3"/>
  <c r="BT20" i="3"/>
  <c r="BU20" i="3"/>
  <c r="BS20" i="3"/>
  <c r="BR20" i="3"/>
  <c r="BQ20" i="3"/>
  <c r="BU19" i="3"/>
  <c r="BT19" i="3"/>
  <c r="BS19" i="3"/>
  <c r="BR19" i="3"/>
  <c r="BQ19" i="3"/>
  <c r="BU18" i="3"/>
  <c r="BT18" i="3"/>
  <c r="BS18" i="3"/>
  <c r="BR18" i="3"/>
  <c r="BQ18" i="3"/>
  <c r="BU17" i="3"/>
  <c r="BT17" i="3"/>
  <c r="BS17" i="3"/>
  <c r="BR17" i="3"/>
  <c r="BQ17" i="3"/>
  <c r="BU16" i="3"/>
  <c r="BT16" i="3"/>
  <c r="BS16" i="3"/>
  <c r="BR16" i="3"/>
  <c r="BQ16" i="3"/>
  <c r="BU13" i="3"/>
  <c r="BT13" i="3"/>
  <c r="BS13" i="3"/>
  <c r="BR13" i="3"/>
  <c r="BQ13" i="3"/>
  <c r="BU12" i="3"/>
  <c r="BT12" i="3"/>
  <c r="BS12" i="3"/>
  <c r="BR12" i="3"/>
  <c r="BQ12" i="3"/>
  <c r="BU11" i="3"/>
  <c r="BT11" i="3"/>
  <c r="BS11" i="3"/>
  <c r="BR11" i="3"/>
  <c r="BQ11" i="3"/>
  <c r="BU10" i="3"/>
  <c r="BT10" i="3"/>
  <c r="BS10" i="3"/>
  <c r="BR10" i="3"/>
  <c r="BQ10" i="3"/>
  <c r="BU9" i="3"/>
  <c r="BT9" i="3"/>
  <c r="BS9" i="3"/>
  <c r="BR9" i="3"/>
  <c r="BQ9" i="3"/>
  <c r="BU8" i="3"/>
  <c r="BT8" i="3"/>
  <c r="BS8" i="3"/>
  <c r="BR8" i="3"/>
  <c r="BQ8" i="3"/>
  <c r="BU5" i="3"/>
  <c r="BT5" i="3"/>
  <c r="BS5" i="3"/>
  <c r="BR5" i="3"/>
  <c r="BQ5" i="3"/>
  <c r="BU4" i="3"/>
  <c r="BT4" i="3"/>
  <c r="BS4" i="3"/>
  <c r="BR4" i="3"/>
  <c r="BQ4" i="3"/>
  <c r="BU3" i="3"/>
  <c r="BT3" i="3"/>
  <c r="BS3" i="3"/>
  <c r="BR3" i="3"/>
  <c r="BQ3" i="3"/>
  <c r="BL20" i="3"/>
  <c r="BL19" i="3"/>
  <c r="BL18" i="3"/>
  <c r="BL16" i="3"/>
  <c r="BL10" i="3"/>
  <c r="BL9" i="3"/>
  <c r="BL8" i="3"/>
  <c r="BL5" i="3"/>
  <c r="BL4" i="3"/>
  <c r="BL3" i="3"/>
  <c r="BK20" i="3"/>
  <c r="BJ20" i="3"/>
  <c r="BI20" i="3"/>
  <c r="BH20" i="3"/>
  <c r="BG20" i="3"/>
  <c r="BF20" i="3"/>
  <c r="BE20" i="3"/>
  <c r="BM20" i="3" s="1"/>
  <c r="BK42" i="3" s="1"/>
  <c r="BK19" i="3"/>
  <c r="BJ19" i="3"/>
  <c r="BI19" i="3"/>
  <c r="BH19" i="3"/>
  <c r="BG19" i="3"/>
  <c r="BF19" i="3"/>
  <c r="BE19" i="3"/>
  <c r="BK18" i="3"/>
  <c r="BJ18" i="3"/>
  <c r="BI18" i="3"/>
  <c r="BH18" i="3"/>
  <c r="BG18" i="3"/>
  <c r="BF18" i="3"/>
  <c r="BE18" i="3"/>
  <c r="BK17" i="3"/>
  <c r="BJ17" i="3"/>
  <c r="BI17" i="3"/>
  <c r="BH17" i="3"/>
  <c r="BG17" i="3"/>
  <c r="BF17" i="3"/>
  <c r="BE17" i="3"/>
  <c r="BK16" i="3"/>
  <c r="BJ16" i="3"/>
  <c r="BI16" i="3"/>
  <c r="BH16" i="3"/>
  <c r="BG16" i="3"/>
  <c r="BF16" i="3"/>
  <c r="BE16" i="3"/>
  <c r="BL13" i="3"/>
  <c r="BK13" i="3"/>
  <c r="BJ13" i="3"/>
  <c r="BI13" i="3"/>
  <c r="BH13" i="3"/>
  <c r="BG13" i="3"/>
  <c r="BF13" i="3"/>
  <c r="BE13" i="3"/>
  <c r="BL12" i="3"/>
  <c r="BK12" i="3"/>
  <c r="BJ12" i="3"/>
  <c r="BI12" i="3"/>
  <c r="BH12" i="3"/>
  <c r="BG12" i="3"/>
  <c r="BF12" i="3"/>
  <c r="BE12" i="3"/>
  <c r="BL11" i="3"/>
  <c r="BK11" i="3"/>
  <c r="BJ11" i="3"/>
  <c r="BI11" i="3"/>
  <c r="BH11" i="3"/>
  <c r="BG11" i="3"/>
  <c r="BF11" i="3"/>
  <c r="BE11" i="3"/>
  <c r="BK10" i="3"/>
  <c r="BJ10" i="3"/>
  <c r="BI10" i="3"/>
  <c r="BH10" i="3"/>
  <c r="BG10" i="3"/>
  <c r="BF10" i="3"/>
  <c r="BE10" i="3"/>
  <c r="BK9" i="3"/>
  <c r="BJ9" i="3"/>
  <c r="BI9" i="3"/>
  <c r="BH9" i="3"/>
  <c r="BG9" i="3"/>
  <c r="BF9" i="3"/>
  <c r="BE9" i="3"/>
  <c r="BK8" i="3"/>
  <c r="BJ8" i="3"/>
  <c r="BI8" i="3"/>
  <c r="BH8" i="3"/>
  <c r="BG8" i="3"/>
  <c r="BF8" i="3"/>
  <c r="BE8" i="3"/>
  <c r="BK5" i="3"/>
  <c r="BJ5" i="3"/>
  <c r="BI5" i="3"/>
  <c r="BH5" i="3"/>
  <c r="BG5" i="3"/>
  <c r="BF5" i="3"/>
  <c r="BE5" i="3"/>
  <c r="BK4" i="3"/>
  <c r="BJ4" i="3"/>
  <c r="BI4" i="3"/>
  <c r="BH4" i="3"/>
  <c r="BG4" i="3"/>
  <c r="BF4" i="3"/>
  <c r="BE4" i="3"/>
  <c r="BK3" i="3"/>
  <c r="BJ3" i="3"/>
  <c r="BI3" i="3"/>
  <c r="BH3" i="3"/>
  <c r="BG3" i="3"/>
  <c r="BF3" i="3"/>
  <c r="BE3" i="3"/>
  <c r="AZ20" i="3"/>
  <c r="AY20" i="3"/>
  <c r="AX20" i="3"/>
  <c r="AW20" i="3"/>
  <c r="AV20" i="3"/>
  <c r="AZ19" i="3"/>
  <c r="AY19" i="3"/>
  <c r="AX19" i="3"/>
  <c r="AW19" i="3"/>
  <c r="AV19" i="3"/>
  <c r="AZ18" i="3"/>
  <c r="AY18" i="3"/>
  <c r="AX18" i="3"/>
  <c r="AW18" i="3"/>
  <c r="AV18" i="3"/>
  <c r="AZ17" i="3"/>
  <c r="AY17" i="3"/>
  <c r="AX17" i="3"/>
  <c r="AW17" i="3"/>
  <c r="AV17" i="3"/>
  <c r="AZ16" i="3"/>
  <c r="AY16" i="3"/>
  <c r="AX16" i="3"/>
  <c r="AW16" i="3"/>
  <c r="AZ13" i="3"/>
  <c r="AY13" i="3"/>
  <c r="AX13" i="3"/>
  <c r="AW13" i="3"/>
  <c r="AV13" i="3"/>
  <c r="AZ12" i="3"/>
  <c r="AY12" i="3"/>
  <c r="AX12" i="3"/>
  <c r="AW12" i="3"/>
  <c r="AV12" i="3"/>
  <c r="AZ11" i="3"/>
  <c r="AY11" i="3"/>
  <c r="AX11" i="3"/>
  <c r="AW11" i="3"/>
  <c r="AV11" i="3"/>
  <c r="AZ10" i="3"/>
  <c r="AY10" i="3"/>
  <c r="AX10" i="3"/>
  <c r="AW10" i="3"/>
  <c r="AV10" i="3"/>
  <c r="AZ9" i="3"/>
  <c r="AY9" i="3"/>
  <c r="AX9" i="3"/>
  <c r="AW9" i="3"/>
  <c r="AV9" i="3"/>
  <c r="AZ8" i="3"/>
  <c r="AY8" i="3"/>
  <c r="AX8" i="3"/>
  <c r="AW8" i="3"/>
  <c r="AZ5" i="3"/>
  <c r="AY5" i="3"/>
  <c r="AX5" i="3"/>
  <c r="AW5" i="3"/>
  <c r="AV5" i="3"/>
  <c r="AZ4" i="3"/>
  <c r="AY4" i="3"/>
  <c r="AX4" i="3"/>
  <c r="AW4" i="3"/>
  <c r="AV4" i="3"/>
  <c r="AZ3" i="3"/>
  <c r="AY3" i="3"/>
  <c r="AX3" i="3"/>
  <c r="AW3" i="3"/>
  <c r="AV16" i="3"/>
  <c r="AV8" i="3"/>
  <c r="AV3" i="3"/>
  <c r="AQ20" i="3"/>
  <c r="AP20" i="3"/>
  <c r="AO20" i="3"/>
  <c r="AN20" i="3"/>
  <c r="AM20" i="3"/>
  <c r="AQ19" i="3"/>
  <c r="AP19" i="3"/>
  <c r="AO19" i="3"/>
  <c r="AN19" i="3"/>
  <c r="AM19" i="3"/>
  <c r="AQ18" i="3"/>
  <c r="AP18" i="3"/>
  <c r="AO18" i="3"/>
  <c r="AN18" i="3"/>
  <c r="AM18" i="3"/>
  <c r="AQ17" i="3"/>
  <c r="AP17" i="3"/>
  <c r="AO17" i="3"/>
  <c r="AN17" i="3"/>
  <c r="AM17" i="3"/>
  <c r="AQ16" i="3"/>
  <c r="AP16" i="3"/>
  <c r="AO16" i="3"/>
  <c r="AN16" i="3"/>
  <c r="AQ13" i="3"/>
  <c r="AP13" i="3"/>
  <c r="AO13" i="3"/>
  <c r="AN13" i="3"/>
  <c r="AM13" i="3"/>
  <c r="AQ12" i="3"/>
  <c r="AP12" i="3"/>
  <c r="AO12" i="3"/>
  <c r="AN12" i="3"/>
  <c r="AM12" i="3"/>
  <c r="AQ11" i="3"/>
  <c r="AP11" i="3"/>
  <c r="AO11" i="3"/>
  <c r="AN11" i="3"/>
  <c r="AM11" i="3"/>
  <c r="AQ10" i="3"/>
  <c r="AP10" i="3"/>
  <c r="AO10" i="3"/>
  <c r="AN10" i="3"/>
  <c r="AM10" i="3"/>
  <c r="AQ9" i="3"/>
  <c r="AP9" i="3"/>
  <c r="AO9" i="3"/>
  <c r="AN9" i="3"/>
  <c r="AM9" i="3"/>
  <c r="AQ8" i="3"/>
  <c r="AP8" i="3"/>
  <c r="AO8" i="3"/>
  <c r="AN8" i="3"/>
  <c r="AM8" i="3"/>
  <c r="AQ5" i="3"/>
  <c r="AP5" i="3"/>
  <c r="AO5" i="3"/>
  <c r="AN5" i="3"/>
  <c r="AM5" i="3"/>
  <c r="AQ4" i="3"/>
  <c r="AP4" i="3"/>
  <c r="AO4" i="3"/>
  <c r="AN4" i="3"/>
  <c r="AM4" i="3"/>
  <c r="AQ3" i="3"/>
  <c r="AP3" i="3"/>
  <c r="AO3" i="3"/>
  <c r="AN3" i="3"/>
  <c r="AM3" i="3"/>
  <c r="AM16" i="3"/>
  <c r="AH20" i="3"/>
  <c r="AG20" i="3"/>
  <c r="AF20" i="3"/>
  <c r="AE20" i="3"/>
  <c r="AD20" i="3"/>
  <c r="AH19" i="3"/>
  <c r="AG19" i="3"/>
  <c r="AF19" i="3"/>
  <c r="AE19" i="3"/>
  <c r="AD19" i="3"/>
  <c r="AH18" i="3"/>
  <c r="AG18" i="3"/>
  <c r="AF18" i="3"/>
  <c r="AE18" i="3"/>
  <c r="AD18" i="3"/>
  <c r="AH17" i="3"/>
  <c r="AG17" i="3"/>
  <c r="AF17" i="3"/>
  <c r="AE17" i="3"/>
  <c r="AD17" i="3"/>
  <c r="AH16" i="3"/>
  <c r="AG16" i="3"/>
  <c r="AF16" i="3"/>
  <c r="AE16" i="3"/>
  <c r="AD16" i="3"/>
  <c r="AH13" i="3"/>
  <c r="AG13" i="3"/>
  <c r="AF13" i="3"/>
  <c r="AE13" i="3"/>
  <c r="AD13" i="3"/>
  <c r="AH12" i="3"/>
  <c r="AG12" i="3"/>
  <c r="AF12" i="3"/>
  <c r="AE12" i="3"/>
  <c r="AD12" i="3"/>
  <c r="AH11" i="3"/>
  <c r="AG11" i="3"/>
  <c r="AF11" i="3"/>
  <c r="AE11" i="3"/>
  <c r="AD11" i="3"/>
  <c r="AH10" i="3"/>
  <c r="AG10" i="3"/>
  <c r="AF10" i="3"/>
  <c r="AE10" i="3"/>
  <c r="AD10" i="3"/>
  <c r="AH9" i="3"/>
  <c r="AG9" i="3"/>
  <c r="AF9" i="3"/>
  <c r="AE9" i="3"/>
  <c r="AD9" i="3"/>
  <c r="AH8" i="3"/>
  <c r="AG8" i="3"/>
  <c r="AF8" i="3"/>
  <c r="AE8" i="3"/>
  <c r="AD8" i="3"/>
  <c r="AH5" i="3"/>
  <c r="AG5" i="3"/>
  <c r="AF5" i="3"/>
  <c r="AE5" i="3"/>
  <c r="AD5" i="3"/>
  <c r="AH4" i="3"/>
  <c r="AG4" i="3"/>
  <c r="AF4" i="3"/>
  <c r="AE4" i="3"/>
  <c r="AD4" i="3"/>
  <c r="AH3" i="3"/>
  <c r="AG3" i="3"/>
  <c r="AF3" i="3"/>
  <c r="AE3" i="3"/>
  <c r="AD3" i="3"/>
  <c r="Y20" i="3"/>
  <c r="X20" i="3"/>
  <c r="W20" i="3"/>
  <c r="V20" i="3"/>
  <c r="U20" i="3"/>
  <c r="Y19" i="3"/>
  <c r="X19" i="3"/>
  <c r="W19" i="3"/>
  <c r="V19" i="3"/>
  <c r="U19" i="3"/>
  <c r="Y18" i="3"/>
  <c r="X18" i="3"/>
  <c r="W18" i="3"/>
  <c r="V18" i="3"/>
  <c r="U18" i="3"/>
  <c r="Y17" i="3"/>
  <c r="X17" i="3"/>
  <c r="W17" i="3"/>
  <c r="V17" i="3"/>
  <c r="U17" i="3"/>
  <c r="Y16" i="3"/>
  <c r="X16" i="3"/>
  <c r="W16" i="3"/>
  <c r="V16" i="3"/>
  <c r="U16" i="3"/>
  <c r="W11" i="3"/>
  <c r="Y13" i="3"/>
  <c r="X13" i="3"/>
  <c r="W13" i="3"/>
  <c r="V13" i="3"/>
  <c r="U13" i="3"/>
  <c r="Y12" i="3"/>
  <c r="X12" i="3"/>
  <c r="W12" i="3"/>
  <c r="V12" i="3"/>
  <c r="U12" i="3"/>
  <c r="Y11" i="3"/>
  <c r="X11" i="3"/>
  <c r="V11" i="3"/>
  <c r="U11" i="3"/>
  <c r="Y10" i="3"/>
  <c r="X10" i="3"/>
  <c r="W10" i="3"/>
  <c r="V10" i="3"/>
  <c r="U10" i="3"/>
  <c r="Y9" i="3"/>
  <c r="X9" i="3"/>
  <c r="W9" i="3"/>
  <c r="V9" i="3"/>
  <c r="U9" i="3"/>
  <c r="Y8" i="3"/>
  <c r="X8" i="3"/>
  <c r="W8" i="3"/>
  <c r="V8" i="3"/>
  <c r="U8" i="3"/>
  <c r="U4" i="3"/>
  <c r="U3" i="3"/>
  <c r="Y5" i="3"/>
  <c r="X5" i="3"/>
  <c r="W5" i="3"/>
  <c r="V5" i="3"/>
  <c r="U5" i="3"/>
  <c r="Y4" i="3"/>
  <c r="X4" i="3"/>
  <c r="W4" i="3"/>
  <c r="V4" i="3"/>
  <c r="Y3" i="3"/>
  <c r="X3" i="3"/>
  <c r="W3" i="3"/>
  <c r="V3" i="3"/>
  <c r="P19" i="3"/>
  <c r="P20" i="3"/>
  <c r="O20" i="3"/>
  <c r="N20" i="3"/>
  <c r="M20" i="3"/>
  <c r="L20" i="3"/>
  <c r="O19" i="3"/>
  <c r="N19" i="3"/>
  <c r="M19" i="3"/>
  <c r="L19" i="3"/>
  <c r="P18" i="3"/>
  <c r="O18" i="3"/>
  <c r="N18" i="3"/>
  <c r="M18" i="3"/>
  <c r="L18" i="3"/>
  <c r="P17" i="3"/>
  <c r="O17" i="3"/>
  <c r="N17" i="3"/>
  <c r="M17" i="3"/>
  <c r="L17" i="3"/>
  <c r="P16" i="3"/>
  <c r="O16" i="3"/>
  <c r="N16" i="3"/>
  <c r="M16" i="3"/>
  <c r="L16" i="3"/>
  <c r="P13" i="3"/>
  <c r="O13" i="3"/>
  <c r="N13" i="3"/>
  <c r="M13" i="3"/>
  <c r="P12" i="3"/>
  <c r="O12" i="3"/>
  <c r="N12" i="3"/>
  <c r="M12" i="3"/>
  <c r="P11" i="3"/>
  <c r="O11" i="3"/>
  <c r="N11" i="3"/>
  <c r="M11" i="3"/>
  <c r="P10" i="3"/>
  <c r="O10" i="3"/>
  <c r="N10" i="3"/>
  <c r="M10" i="3"/>
  <c r="P9" i="3"/>
  <c r="O9" i="3"/>
  <c r="N9" i="3"/>
  <c r="M9" i="3"/>
  <c r="P8" i="3"/>
  <c r="O8" i="3"/>
  <c r="N8" i="3"/>
  <c r="M8" i="3"/>
  <c r="L13" i="3"/>
  <c r="L12" i="3"/>
  <c r="L11" i="3"/>
  <c r="L10" i="3"/>
  <c r="L9" i="3"/>
  <c r="L8" i="3"/>
  <c r="P5" i="3"/>
  <c r="O5" i="3"/>
  <c r="N5" i="3"/>
  <c r="M5" i="3"/>
  <c r="L5" i="3"/>
  <c r="P4" i="3"/>
  <c r="O4" i="3"/>
  <c r="N4" i="3"/>
  <c r="M4" i="3"/>
  <c r="L4" i="3"/>
  <c r="L3" i="3"/>
  <c r="P3" i="3"/>
  <c r="O3" i="3"/>
  <c r="N3" i="3"/>
  <c r="M3" i="3"/>
  <c r="G20" i="3"/>
  <c r="G19" i="3"/>
  <c r="G18" i="3"/>
  <c r="G17" i="3"/>
  <c r="F20" i="3"/>
  <c r="F19" i="3"/>
  <c r="F18" i="3"/>
  <c r="F17" i="3"/>
  <c r="E20" i="3"/>
  <c r="E19" i="3"/>
  <c r="E18" i="3"/>
  <c r="E17" i="3"/>
  <c r="D20" i="3"/>
  <c r="D19" i="3"/>
  <c r="D18" i="3"/>
  <c r="D17" i="3"/>
  <c r="C20" i="3"/>
  <c r="C19" i="3"/>
  <c r="C18" i="3"/>
  <c r="C17" i="3"/>
  <c r="C16" i="3"/>
  <c r="G16" i="3"/>
  <c r="F16" i="3"/>
  <c r="E16" i="3"/>
  <c r="D16" i="3"/>
  <c r="G13" i="3"/>
  <c r="G12" i="3"/>
  <c r="G11" i="3"/>
  <c r="G10" i="3"/>
  <c r="G9" i="3"/>
  <c r="G8" i="3"/>
  <c r="F13" i="3"/>
  <c r="F12" i="3"/>
  <c r="F11" i="3"/>
  <c r="F10" i="3"/>
  <c r="F9" i="3"/>
  <c r="F8" i="3"/>
  <c r="E13" i="3"/>
  <c r="E12" i="3"/>
  <c r="E11" i="3"/>
  <c r="E10" i="3"/>
  <c r="E9" i="3"/>
  <c r="E8" i="3"/>
  <c r="D13" i="3"/>
  <c r="D12" i="3"/>
  <c r="D11" i="3"/>
  <c r="D10" i="3"/>
  <c r="D9" i="3"/>
  <c r="D8" i="3"/>
  <c r="C13" i="3"/>
  <c r="C12" i="3"/>
  <c r="C11" i="3"/>
  <c r="C10" i="3"/>
  <c r="C9" i="3"/>
  <c r="G5" i="3"/>
  <c r="F5" i="3"/>
  <c r="E5" i="3"/>
  <c r="D5" i="3"/>
  <c r="C5" i="3"/>
  <c r="C4" i="3"/>
  <c r="G4" i="3"/>
  <c r="F4" i="3"/>
  <c r="E4" i="3"/>
  <c r="D4" i="3"/>
  <c r="G3" i="3"/>
  <c r="F3" i="3"/>
  <c r="E3" i="3"/>
  <c r="D3" i="3"/>
  <c r="C3" i="3"/>
  <c r="C132" i="1"/>
  <c r="B245" i="1"/>
  <c r="B246" i="1"/>
  <c r="B247" i="1"/>
  <c r="B248" i="1"/>
  <c r="B249" i="1"/>
  <c r="B244" i="1"/>
  <c r="AN3" i="2"/>
  <c r="AN4" i="2"/>
  <c r="AN5" i="2"/>
  <c r="AN6" i="2"/>
  <c r="AN7" i="2"/>
  <c r="AN8" i="2"/>
  <c r="AN9" i="2"/>
  <c r="AN1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2" i="2"/>
  <c r="AL3" i="2"/>
  <c r="AL4" i="2"/>
  <c r="AL5" i="2"/>
  <c r="AL6" i="2"/>
  <c r="AL7" i="2"/>
  <c r="AL8" i="2"/>
  <c r="AL9" i="2"/>
  <c r="AL10" i="2"/>
  <c r="AL11" i="2"/>
  <c r="AL12" i="2"/>
  <c r="AL13" i="2"/>
  <c r="AL14" i="2"/>
  <c r="AL15" i="2"/>
  <c r="AL16" i="2"/>
  <c r="AL17" i="2"/>
  <c r="AL18" i="2"/>
  <c r="AL19" i="2"/>
  <c r="AL20" i="2"/>
  <c r="AL21" i="2"/>
  <c r="AL22" i="2"/>
  <c r="AL23" i="2"/>
  <c r="AL24" i="2"/>
  <c r="AL25" i="2"/>
  <c r="AL26" i="2"/>
  <c r="AL27" i="2"/>
  <c r="AL28" i="2"/>
  <c r="AL29" i="2"/>
  <c r="AL30" i="2"/>
  <c r="AL31" i="2"/>
  <c r="AL32" i="2"/>
  <c r="AL33" i="2"/>
  <c r="AL34" i="2"/>
  <c r="AL35" i="2"/>
  <c r="AL36" i="2"/>
  <c r="AL37" i="2"/>
  <c r="AL38" i="2"/>
  <c r="AL39" i="2"/>
  <c r="AL40" i="2"/>
  <c r="AL41" i="2"/>
  <c r="AL42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2" i="2"/>
  <c r="B240" i="1"/>
  <c r="B239" i="1"/>
  <c r="B238" i="1"/>
  <c r="B241" i="1" s="1"/>
  <c r="B228" i="1"/>
  <c r="B229" i="1"/>
  <c r="B230" i="1"/>
  <c r="B231" i="1"/>
  <c r="B227" i="1"/>
  <c r="B217" i="1"/>
  <c r="B218" i="1"/>
  <c r="B219" i="1"/>
  <c r="B220" i="1"/>
  <c r="B216" i="1"/>
  <c r="B209" i="1"/>
  <c r="B208" i="1"/>
  <c r="B207" i="1"/>
  <c r="B206" i="1"/>
  <c r="B205" i="1"/>
  <c r="B204" i="1"/>
  <c r="B194" i="1"/>
  <c r="B195" i="1"/>
  <c r="B196" i="1"/>
  <c r="B197" i="1"/>
  <c r="B193" i="1"/>
  <c r="B185" i="1"/>
  <c r="B184" i="1"/>
  <c r="B183" i="1"/>
  <c r="B182" i="1"/>
  <c r="B181" i="1"/>
  <c r="B180" i="1"/>
  <c r="B179" i="1"/>
  <c r="B169" i="1"/>
  <c r="B170" i="1"/>
  <c r="B171" i="1"/>
  <c r="B172" i="1"/>
  <c r="B168" i="1"/>
  <c r="B158" i="1"/>
  <c r="B159" i="1"/>
  <c r="B160" i="1"/>
  <c r="B161" i="1"/>
  <c r="B157" i="1"/>
  <c r="B147" i="1"/>
  <c r="B148" i="1"/>
  <c r="B149" i="1"/>
  <c r="B150" i="1"/>
  <c r="B146" i="1"/>
  <c r="B136" i="1"/>
  <c r="B137" i="1"/>
  <c r="B138" i="1"/>
  <c r="B139" i="1"/>
  <c r="B135" i="1"/>
  <c r="B125" i="1"/>
  <c r="B126" i="1"/>
  <c r="B127" i="1"/>
  <c r="B128" i="1"/>
  <c r="B124" i="1"/>
  <c r="B117" i="1"/>
  <c r="B118" i="1"/>
  <c r="B119" i="1"/>
  <c r="B120" i="1"/>
  <c r="B116" i="1"/>
  <c r="B108" i="1"/>
  <c r="B109" i="1"/>
  <c r="B110" i="1"/>
  <c r="B111" i="1"/>
  <c r="B112" i="1"/>
  <c r="B107" i="1"/>
  <c r="CY11" i="3" l="1"/>
  <c r="CT33" i="3" s="1"/>
  <c r="CP8" i="3"/>
  <c r="CN30" i="3" s="1"/>
  <c r="CY12" i="3"/>
  <c r="CV34" i="3" s="1"/>
  <c r="CY19" i="3"/>
  <c r="CN6" i="3"/>
  <c r="CM41" i="3"/>
  <c r="CO41" i="3"/>
  <c r="AR19" i="3"/>
  <c r="AP41" i="3" s="1"/>
  <c r="BM5" i="3"/>
  <c r="BE27" i="3" s="1"/>
  <c r="BJ21" i="3"/>
  <c r="C6" i="3"/>
  <c r="CN21" i="3"/>
  <c r="F6" i="3"/>
  <c r="CO6" i="3"/>
  <c r="BK6" i="3"/>
  <c r="CT41" i="3"/>
  <c r="CY41" i="3" s="1"/>
  <c r="CW41" i="3"/>
  <c r="CX41" i="3"/>
  <c r="CV41" i="3"/>
  <c r="BM4" i="3"/>
  <c r="BJ26" i="3" s="1"/>
  <c r="CA33" i="3"/>
  <c r="BJ27" i="3"/>
  <c r="CT27" i="3"/>
  <c r="D21" i="3"/>
  <c r="BM18" i="3"/>
  <c r="CM6" i="3"/>
  <c r="G21" i="3"/>
  <c r="BV13" i="3"/>
  <c r="BT35" i="3" s="1"/>
  <c r="CW34" i="3"/>
  <c r="BI14" i="3"/>
  <c r="CK30" i="3"/>
  <c r="CP30" i="3" s="1"/>
  <c r="CY4" i="3"/>
  <c r="AI5" i="3"/>
  <c r="BV5" i="3"/>
  <c r="CE21" i="3"/>
  <c r="CL14" i="3"/>
  <c r="BJ6" i="3"/>
  <c r="BU14" i="3"/>
  <c r="CG11" i="3"/>
  <c r="CF33" i="3" s="1"/>
  <c r="CY5" i="3"/>
  <c r="CU27" i="3" s="1"/>
  <c r="BU39" i="3"/>
  <c r="C38" i="3"/>
  <c r="H10" i="3"/>
  <c r="D32" i="3" s="1"/>
  <c r="E14" i="3"/>
  <c r="G14" i="3"/>
  <c r="Q12" i="3"/>
  <c r="O34" i="3" s="1"/>
  <c r="AI12" i="3"/>
  <c r="AE34" i="3" s="1"/>
  <c r="BM9" i="3"/>
  <c r="E6" i="3"/>
  <c r="BL42" i="3"/>
  <c r="BU6" i="3"/>
  <c r="AY6" i="3"/>
  <c r="BJ14" i="3"/>
  <c r="BT6" i="3"/>
  <c r="BV10" i="3"/>
  <c r="BQ32" i="3" s="1"/>
  <c r="BU21" i="3"/>
  <c r="BV19" i="3"/>
  <c r="BS41" i="3" s="1"/>
  <c r="BR41" i="3"/>
  <c r="CP9" i="3"/>
  <c r="CK31" i="3" s="1"/>
  <c r="BM19" i="3"/>
  <c r="BE41" i="3" s="1"/>
  <c r="BG41" i="3"/>
  <c r="BM8" i="3"/>
  <c r="BT14" i="3"/>
  <c r="BV17" i="3"/>
  <c r="BT39" i="3" s="1"/>
  <c r="CB33" i="3"/>
  <c r="CP5" i="3"/>
  <c r="CM27" i="3" s="1"/>
  <c r="CO21" i="3"/>
  <c r="BM17" i="3"/>
  <c r="BI39" i="3" s="1"/>
  <c r="CY13" i="3"/>
  <c r="CW35" i="3" s="1"/>
  <c r="N34" i="3"/>
  <c r="BE42" i="3"/>
  <c r="H16" i="3"/>
  <c r="E38" i="3" s="1"/>
  <c r="AO6" i="3"/>
  <c r="BH14" i="3"/>
  <c r="BF42" i="3"/>
  <c r="CG19" i="3"/>
  <c r="CF41" i="3" s="1"/>
  <c r="CG3" i="3"/>
  <c r="CD25" i="3" s="1"/>
  <c r="CW33" i="3"/>
  <c r="CC33" i="3"/>
  <c r="CD33" i="3"/>
  <c r="CE33" i="3"/>
  <c r="CY17" i="3"/>
  <c r="CX39" i="3" s="1"/>
  <c r="CW39" i="3"/>
  <c r="Q17" i="3"/>
  <c r="O39" i="3" s="1"/>
  <c r="H3" i="3"/>
  <c r="F25" i="3" s="1"/>
  <c r="G6" i="3"/>
  <c r="X6" i="3"/>
  <c r="AI9" i="3"/>
  <c r="AG31" i="3" s="1"/>
  <c r="AD31" i="3"/>
  <c r="AR9" i="3"/>
  <c r="AP31" i="3" s="1"/>
  <c r="AR11" i="3"/>
  <c r="AN33" i="3" s="1"/>
  <c r="BG42" i="3"/>
  <c r="AR10" i="3"/>
  <c r="AN32" i="3" s="1"/>
  <c r="AR17" i="3"/>
  <c r="AP39" i="3" s="1"/>
  <c r="AM39" i="3"/>
  <c r="D6" i="3"/>
  <c r="Q10" i="3"/>
  <c r="Q20" i="3"/>
  <c r="M42" i="3"/>
  <c r="U40" i="3"/>
  <c r="AE14" i="3"/>
  <c r="BR6" i="3"/>
  <c r="BV11" i="3"/>
  <c r="BS33" i="3" s="1"/>
  <c r="BV20" i="3"/>
  <c r="CG4" i="3"/>
  <c r="CG8" i="3"/>
  <c r="CE30" i="3" s="1"/>
  <c r="CG10" i="3"/>
  <c r="CF32" i="3" s="1"/>
  <c r="BK26" i="3"/>
  <c r="Z5" i="3"/>
  <c r="Y27" i="3" s="1"/>
  <c r="Z18" i="3"/>
  <c r="X40" i="3" s="1"/>
  <c r="AR4" i="3"/>
  <c r="AQ26" i="3"/>
  <c r="AR18" i="3"/>
  <c r="AP40" i="3" s="1"/>
  <c r="BA9" i="3"/>
  <c r="AY31" i="3" s="1"/>
  <c r="AZ31" i="3"/>
  <c r="BM12" i="3"/>
  <c r="BG34" i="3" s="1"/>
  <c r="CG18" i="3"/>
  <c r="CX34" i="3"/>
  <c r="CU34" i="3"/>
  <c r="CU6" i="3"/>
  <c r="AW6" i="3"/>
  <c r="BA5" i="3"/>
  <c r="AZ21" i="3"/>
  <c r="BK21" i="3"/>
  <c r="CV6" i="3"/>
  <c r="CY8" i="3"/>
  <c r="CX30" i="3" s="1"/>
  <c r="CX14" i="3"/>
  <c r="CY20" i="3"/>
  <c r="CX42" i="3" s="1"/>
  <c r="BV18" i="3"/>
  <c r="CG20" i="3"/>
  <c r="CA42" i="3" s="1"/>
  <c r="BZ42" i="3"/>
  <c r="CG12" i="3"/>
  <c r="CF34" i="3" s="1"/>
  <c r="CP3" i="3"/>
  <c r="CK25" i="3" s="1"/>
  <c r="CP17" i="3"/>
  <c r="CK39" i="3" s="1"/>
  <c r="CM21" i="3"/>
  <c r="CY9" i="3"/>
  <c r="CV33" i="3"/>
  <c r="CW42" i="3"/>
  <c r="F14" i="3"/>
  <c r="BM11" i="3"/>
  <c r="BM13" i="3"/>
  <c r="BL35" i="3" s="1"/>
  <c r="CG5" i="3"/>
  <c r="BZ27" i="3" s="1"/>
  <c r="CG13" i="3"/>
  <c r="CA35" i="3" s="1"/>
  <c r="CN41" i="3"/>
  <c r="W6" i="3"/>
  <c r="AG6" i="3"/>
  <c r="BA13" i="3"/>
  <c r="AZ35" i="3" s="1"/>
  <c r="BA20" i="3"/>
  <c r="AV42" i="3" s="1"/>
  <c r="BK14" i="3"/>
  <c r="BV12" i="3"/>
  <c r="BU34" i="3" s="1"/>
  <c r="CA27" i="3"/>
  <c r="CP4" i="3"/>
  <c r="CM26" i="3" s="1"/>
  <c r="CL30" i="3"/>
  <c r="CP13" i="3"/>
  <c r="CY18" i="3"/>
  <c r="CW40" i="3" s="1"/>
  <c r="H8" i="3"/>
  <c r="D30" i="3" s="1"/>
  <c r="Y21" i="3"/>
  <c r="Z13" i="3"/>
  <c r="U35" i="3" s="1"/>
  <c r="AR20" i="3"/>
  <c r="AM42" i="3" s="1"/>
  <c r="BG14" i="3"/>
  <c r="BV3" i="3"/>
  <c r="BQ41" i="3"/>
  <c r="CG9" i="3"/>
  <c r="CB31" i="3" s="1"/>
  <c r="CM30" i="3"/>
  <c r="CM14" i="3"/>
  <c r="CO14" i="3"/>
  <c r="CP20" i="3"/>
  <c r="CW14" i="3"/>
  <c r="CT34" i="3"/>
  <c r="BA11" i="3"/>
  <c r="BA18" i="3"/>
  <c r="AV40" i="3" s="1"/>
  <c r="BH42" i="3"/>
  <c r="BS6" i="3"/>
  <c r="CD39" i="3"/>
  <c r="CC41" i="3"/>
  <c r="CN14" i="3"/>
  <c r="CP11" i="3"/>
  <c r="Q19" i="3"/>
  <c r="M41" i="3" s="1"/>
  <c r="O41" i="3"/>
  <c r="Z20" i="3"/>
  <c r="X42" i="3" s="1"/>
  <c r="BH26" i="3"/>
  <c r="BI42" i="3"/>
  <c r="BV9" i="3"/>
  <c r="BS31" i="3" s="1"/>
  <c r="BU35" i="3"/>
  <c r="CO30" i="3"/>
  <c r="CP18" i="3"/>
  <c r="CK40" i="3" s="1"/>
  <c r="CW6" i="3"/>
  <c r="CY10" i="3"/>
  <c r="CT32" i="3"/>
  <c r="CU41" i="3"/>
  <c r="H11" i="3"/>
  <c r="Q13" i="3"/>
  <c r="M35" i="3" s="1"/>
  <c r="AD6" i="3"/>
  <c r="AR5" i="3"/>
  <c r="BF14" i="3"/>
  <c r="BM10" i="3"/>
  <c r="BV8" i="3"/>
  <c r="BU30" i="3" s="1"/>
  <c r="CG17" i="3"/>
  <c r="CP12" i="3"/>
  <c r="CO34" i="3" s="1"/>
  <c r="CF39" i="3"/>
  <c r="H4" i="3"/>
  <c r="H12" i="3"/>
  <c r="G34" i="3"/>
  <c r="N40" i="3"/>
  <c r="X27" i="3"/>
  <c r="Y40" i="3"/>
  <c r="AE6" i="3"/>
  <c r="AM21" i="3"/>
  <c r="AR12" i="3"/>
  <c r="AO34" i="3" s="1"/>
  <c r="BS39" i="3"/>
  <c r="CL6" i="3"/>
  <c r="CK21" i="3"/>
  <c r="CK41" i="3"/>
  <c r="CM25" i="3"/>
  <c r="H5" i="3"/>
  <c r="C27" i="3" s="1"/>
  <c r="H13" i="3"/>
  <c r="D35" i="3" s="1"/>
  <c r="V6" i="3"/>
  <c r="AF6" i="3"/>
  <c r="AH6" i="3"/>
  <c r="AQ21" i="3"/>
  <c r="BA12" i="3"/>
  <c r="AW34" i="3" s="1"/>
  <c r="BA19" i="3"/>
  <c r="AW41" i="3" s="1"/>
  <c r="BJ42" i="3"/>
  <c r="CP10" i="3"/>
  <c r="CM32" i="3" s="1"/>
  <c r="CL21" i="3"/>
  <c r="CL41" i="3"/>
  <c r="CX6" i="3"/>
  <c r="H9" i="3"/>
  <c r="BA10" i="3"/>
  <c r="AY32" i="3" s="1"/>
  <c r="BV4" i="3"/>
  <c r="BT21" i="3"/>
  <c r="CY3" i="3"/>
  <c r="CW21" i="3"/>
  <c r="CT21" i="3"/>
  <c r="CU21" i="3"/>
  <c r="CV21" i="3"/>
  <c r="CU14" i="3"/>
  <c r="CV14" i="3"/>
  <c r="CT6" i="3"/>
  <c r="CY16" i="3"/>
  <c r="CT38" i="3" s="1"/>
  <c r="CT14" i="3"/>
  <c r="CK14" i="3"/>
  <c r="CK6" i="3"/>
  <c r="CP16" i="3"/>
  <c r="CL38" i="3" s="1"/>
  <c r="CG16" i="3"/>
  <c r="CE14" i="3"/>
  <c r="CE6" i="3"/>
  <c r="CB14" i="3"/>
  <c r="CA6" i="3"/>
  <c r="CB6" i="3"/>
  <c r="CF21" i="3"/>
  <c r="CC6" i="3"/>
  <c r="CD6" i="3"/>
  <c r="CC14" i="3"/>
  <c r="CD14" i="3"/>
  <c r="CF14" i="3"/>
  <c r="BZ21" i="3"/>
  <c r="CA21" i="3"/>
  <c r="CB21" i="3"/>
  <c r="BZ14" i="3"/>
  <c r="CC21" i="3"/>
  <c r="CF6" i="3"/>
  <c r="CA14" i="3"/>
  <c r="CD21" i="3"/>
  <c r="BZ6" i="3"/>
  <c r="BR21" i="3"/>
  <c r="BS21" i="3"/>
  <c r="BQ21" i="3"/>
  <c r="BR14" i="3"/>
  <c r="BS14" i="3"/>
  <c r="BQ6" i="3"/>
  <c r="BV16" i="3"/>
  <c r="BQ14" i="3"/>
  <c r="BL21" i="3"/>
  <c r="BL14" i="3"/>
  <c r="BL6" i="3"/>
  <c r="BM3" i="3"/>
  <c r="BL25" i="3" s="1"/>
  <c r="BF21" i="3"/>
  <c r="BG21" i="3"/>
  <c r="BM16" i="3"/>
  <c r="BL38" i="3" s="1"/>
  <c r="BE21" i="3"/>
  <c r="BF6" i="3"/>
  <c r="AZ14" i="3"/>
  <c r="BE14" i="3"/>
  <c r="BH21" i="3"/>
  <c r="E21" i="3"/>
  <c r="BI21" i="3"/>
  <c r="AG21" i="3"/>
  <c r="AY21" i="3"/>
  <c r="Y14" i="3"/>
  <c r="AI10" i="3"/>
  <c r="AE32" i="3" s="1"/>
  <c r="AH21" i="3"/>
  <c r="AI19" i="3"/>
  <c r="BG6" i="3"/>
  <c r="Z9" i="3"/>
  <c r="V31" i="3" s="1"/>
  <c r="AI17" i="3"/>
  <c r="AH39" i="3" s="1"/>
  <c r="AV6" i="3"/>
  <c r="BH6" i="3"/>
  <c r="H17" i="3"/>
  <c r="F21" i="3"/>
  <c r="AR13" i="3"/>
  <c r="AM35" i="3" s="1"/>
  <c r="AP21" i="3"/>
  <c r="BI6" i="3"/>
  <c r="H18" i="3"/>
  <c r="D40" i="3" s="1"/>
  <c r="Z12" i="3"/>
  <c r="AI13" i="3"/>
  <c r="H19" i="3"/>
  <c r="E41" i="3" s="1"/>
  <c r="Q5" i="3"/>
  <c r="AI20" i="3"/>
  <c r="AH42" i="3" s="1"/>
  <c r="AP14" i="3"/>
  <c r="B187" i="1"/>
  <c r="B211" i="1"/>
  <c r="H20" i="3"/>
  <c r="E42" i="3" s="1"/>
  <c r="Q8" i="3"/>
  <c r="L30" i="3" s="1"/>
  <c r="Q30" i="3" s="1"/>
  <c r="N21" i="3"/>
  <c r="Y6" i="3"/>
  <c r="AI8" i="3"/>
  <c r="AG30" i="3" s="1"/>
  <c r="AI11" i="3"/>
  <c r="AF33" i="3" s="1"/>
  <c r="AQ14" i="3"/>
  <c r="Z19" i="3"/>
  <c r="X41" i="3" s="1"/>
  <c r="AI18" i="3"/>
  <c r="AF40" i="3" s="1"/>
  <c r="Z4" i="3"/>
  <c r="X26" i="3" s="1"/>
  <c r="Z10" i="3"/>
  <c r="W32" i="3" s="1"/>
  <c r="B250" i="1"/>
  <c r="C245" i="1" s="1"/>
  <c r="BE6" i="3"/>
  <c r="AV21" i="3"/>
  <c r="AW21" i="3"/>
  <c r="AX21" i="3"/>
  <c r="BA17" i="3"/>
  <c r="AV39" i="3" s="1"/>
  <c r="AX14" i="3"/>
  <c r="AW14" i="3"/>
  <c r="AY14" i="3"/>
  <c r="BA8" i="3"/>
  <c r="AZ30" i="3" s="1"/>
  <c r="AZ6" i="3"/>
  <c r="BA3" i="3"/>
  <c r="AZ25" i="3" s="1"/>
  <c r="AX6" i="3"/>
  <c r="BA4" i="3"/>
  <c r="AZ26" i="3" s="1"/>
  <c r="BA16" i="3"/>
  <c r="AV14" i="3"/>
  <c r="AN21" i="3"/>
  <c r="AO21" i="3"/>
  <c r="AO14" i="3"/>
  <c r="AN14" i="3"/>
  <c r="AR8" i="3"/>
  <c r="AO30" i="3" s="1"/>
  <c r="AQ6" i="3"/>
  <c r="AP6" i="3"/>
  <c r="AN6" i="3"/>
  <c r="AR3" i="3"/>
  <c r="AQ25" i="3" s="1"/>
  <c r="AM6" i="3"/>
  <c r="AR16" i="3"/>
  <c r="AM14" i="3"/>
  <c r="AE21" i="3"/>
  <c r="AD21" i="3"/>
  <c r="AF21" i="3"/>
  <c r="AF14" i="3"/>
  <c r="AH14" i="3"/>
  <c r="AG14" i="3"/>
  <c r="AI3" i="3"/>
  <c r="AG25" i="3" s="1"/>
  <c r="AI4" i="3"/>
  <c r="AH26" i="3" s="1"/>
  <c r="AI16" i="3"/>
  <c r="AF38" i="3" s="1"/>
  <c r="AD14" i="3"/>
  <c r="U21" i="3"/>
  <c r="V21" i="3"/>
  <c r="Z17" i="3"/>
  <c r="W39" i="3" s="1"/>
  <c r="W21" i="3"/>
  <c r="X21" i="3"/>
  <c r="Z11" i="3"/>
  <c r="U33" i="3" s="1"/>
  <c r="X14" i="3"/>
  <c r="V14" i="3"/>
  <c r="W14" i="3"/>
  <c r="Z8" i="3"/>
  <c r="U6" i="3"/>
  <c r="Z3" i="3"/>
  <c r="Y25" i="3" s="1"/>
  <c r="Z16" i="3"/>
  <c r="Y38" i="3" s="1"/>
  <c r="U14" i="3"/>
  <c r="M21" i="3"/>
  <c r="Q4" i="3"/>
  <c r="M26" i="3" s="1"/>
  <c r="Q3" i="3"/>
  <c r="P21" i="3"/>
  <c r="P14" i="3"/>
  <c r="Q11" i="3"/>
  <c r="N33" i="3" s="1"/>
  <c r="P6" i="3"/>
  <c r="O21" i="3"/>
  <c r="O14" i="3"/>
  <c r="Q18" i="3"/>
  <c r="M40" i="3" s="1"/>
  <c r="O6" i="3"/>
  <c r="N14" i="3"/>
  <c r="N6" i="3"/>
  <c r="Q9" i="3"/>
  <c r="M14" i="3"/>
  <c r="M6" i="3"/>
  <c r="L21" i="3"/>
  <c r="L6" i="3"/>
  <c r="Q16" i="3"/>
  <c r="N38" i="3" s="1"/>
  <c r="L14" i="3"/>
  <c r="C21" i="3"/>
  <c r="D14" i="3"/>
  <c r="C14" i="3"/>
  <c r="B232" i="1"/>
  <c r="C231" i="1" s="1"/>
  <c r="C205" i="1"/>
  <c r="C206" i="1"/>
  <c r="C209" i="1"/>
  <c r="B221" i="1"/>
  <c r="C220" i="1" s="1"/>
  <c r="C240" i="1"/>
  <c r="C241" i="1"/>
  <c r="C239" i="1"/>
  <c r="C238" i="1"/>
  <c r="C227" i="1"/>
  <c r="C230" i="1"/>
  <c r="C228" i="1"/>
  <c r="C229" i="1"/>
  <c r="C232" i="1"/>
  <c r="C211" i="1"/>
  <c r="C210" i="1"/>
  <c r="B213" i="1"/>
  <c r="C207" i="1"/>
  <c r="C208" i="1"/>
  <c r="B198" i="1"/>
  <c r="C204" i="1"/>
  <c r="B151" i="1"/>
  <c r="C147" i="1" s="1"/>
  <c r="C148" i="1"/>
  <c r="B162" i="1"/>
  <c r="B173" i="1"/>
  <c r="C169" i="1" s="1"/>
  <c r="B113" i="1"/>
  <c r="B121" i="1"/>
  <c r="B129" i="1"/>
  <c r="B140" i="1"/>
  <c r="C247" i="1" l="1"/>
  <c r="C244" i="1"/>
  <c r="C250" i="1"/>
  <c r="C246" i="1"/>
  <c r="C248" i="1"/>
  <c r="C249" i="1"/>
  <c r="CF35" i="3"/>
  <c r="F30" i="3"/>
  <c r="G30" i="3"/>
  <c r="AH31" i="3"/>
  <c r="AM31" i="3"/>
  <c r="C32" i="3"/>
  <c r="AM30" i="3"/>
  <c r="AR30" i="3" s="1"/>
  <c r="BQ34" i="3"/>
  <c r="BG27" i="3"/>
  <c r="BS35" i="3"/>
  <c r="C30" i="3"/>
  <c r="H30" i="3" s="1"/>
  <c r="BR35" i="3"/>
  <c r="BS34" i="3"/>
  <c r="U27" i="3"/>
  <c r="AZ42" i="3"/>
  <c r="CU33" i="3"/>
  <c r="M34" i="3"/>
  <c r="CV27" i="3"/>
  <c r="AF31" i="3"/>
  <c r="CX33" i="3"/>
  <c r="AD42" i="3"/>
  <c r="V27" i="3"/>
  <c r="BI41" i="3"/>
  <c r="CO26" i="3"/>
  <c r="AZ40" i="3"/>
  <c r="CT40" i="3"/>
  <c r="V40" i="3"/>
  <c r="AE31" i="3"/>
  <c r="BT41" i="3"/>
  <c r="BL27" i="3"/>
  <c r="L34" i="3"/>
  <c r="BF27" i="3"/>
  <c r="BM27" i="3" s="1"/>
  <c r="AX39" i="3"/>
  <c r="BE26" i="3"/>
  <c r="BF41" i="3"/>
  <c r="CU40" i="3"/>
  <c r="AO33" i="3"/>
  <c r="BK27" i="3"/>
  <c r="BI38" i="3"/>
  <c r="CA41" i="3"/>
  <c r="E40" i="3"/>
  <c r="C40" i="3"/>
  <c r="CB25" i="3"/>
  <c r="BG26" i="3"/>
  <c r="BM26" i="3" s="1"/>
  <c r="AW30" i="3"/>
  <c r="BI26" i="3"/>
  <c r="O35" i="3"/>
  <c r="AG32" i="3"/>
  <c r="BH41" i="3"/>
  <c r="AO41" i="3"/>
  <c r="AO32" i="3"/>
  <c r="AN41" i="3"/>
  <c r="AE25" i="3"/>
  <c r="AY40" i="3"/>
  <c r="AW42" i="3"/>
  <c r="AP25" i="3"/>
  <c r="CL25" i="3"/>
  <c r="CD27" i="3"/>
  <c r="BH27" i="3"/>
  <c r="CA25" i="3"/>
  <c r="CP41" i="3"/>
  <c r="CT42" i="3"/>
  <c r="AP35" i="3"/>
  <c r="AO35" i="3"/>
  <c r="CX35" i="3"/>
  <c r="BZ25" i="3"/>
  <c r="BJ34" i="3"/>
  <c r="D42" i="3"/>
  <c r="L40" i="3"/>
  <c r="BE38" i="3"/>
  <c r="CB35" i="3"/>
  <c r="G42" i="3"/>
  <c r="AQ41" i="3"/>
  <c r="AM41" i="3"/>
  <c r="AN31" i="3"/>
  <c r="G38" i="3"/>
  <c r="AX30" i="3"/>
  <c r="BI27" i="3"/>
  <c r="AM32" i="3"/>
  <c r="G25" i="3"/>
  <c r="E32" i="3"/>
  <c r="BS27" i="3"/>
  <c r="BT27" i="3"/>
  <c r="BR27" i="3"/>
  <c r="BU27" i="3"/>
  <c r="AG27" i="3"/>
  <c r="AH27" i="3"/>
  <c r="AF27" i="3"/>
  <c r="AE27" i="3"/>
  <c r="AD27" i="3"/>
  <c r="BQ27" i="3"/>
  <c r="CT26" i="3"/>
  <c r="CU26" i="3"/>
  <c r="CW26" i="3"/>
  <c r="CX26" i="3"/>
  <c r="AD35" i="3"/>
  <c r="AF35" i="3"/>
  <c r="AG35" i="3"/>
  <c r="M31" i="3"/>
  <c r="N31" i="3"/>
  <c r="Y34" i="3"/>
  <c r="X34" i="3"/>
  <c r="U34" i="3"/>
  <c r="CD38" i="3"/>
  <c r="CA38" i="3"/>
  <c r="BE40" i="3"/>
  <c r="BF40" i="3"/>
  <c r="BI40" i="3"/>
  <c r="BH40" i="3"/>
  <c r="BK40" i="3"/>
  <c r="BL40" i="3"/>
  <c r="AO27" i="3"/>
  <c r="AP27" i="3"/>
  <c r="CA40" i="3"/>
  <c r="CC40" i="3"/>
  <c r="BS25" i="3"/>
  <c r="BR25" i="3"/>
  <c r="CB38" i="3"/>
  <c r="BE34" i="3"/>
  <c r="BH34" i="3"/>
  <c r="BI34" i="3"/>
  <c r="BL34" i="3"/>
  <c r="BF34" i="3"/>
  <c r="AG33" i="3"/>
  <c r="AD30" i="3"/>
  <c r="AI30" i="3" s="1"/>
  <c r="AG34" i="3"/>
  <c r="AD34" i="3"/>
  <c r="AF34" i="3"/>
  <c r="CL32" i="3"/>
  <c r="CO32" i="3"/>
  <c r="CK32" i="3"/>
  <c r="CM35" i="3"/>
  <c r="CK35" i="3"/>
  <c r="CN35" i="3"/>
  <c r="CC38" i="3"/>
  <c r="CE32" i="3"/>
  <c r="CB32" i="3"/>
  <c r="CA32" i="3"/>
  <c r="CC32" i="3"/>
  <c r="BG40" i="3"/>
  <c r="CD40" i="3"/>
  <c r="BQ31" i="3"/>
  <c r="CN32" i="3"/>
  <c r="CF30" i="3"/>
  <c r="CB30" i="3"/>
  <c r="C33" i="3"/>
  <c r="F33" i="3"/>
  <c r="CD26" i="3"/>
  <c r="CE26" i="3"/>
  <c r="CC26" i="3"/>
  <c r="CB26" i="3"/>
  <c r="BU41" i="3"/>
  <c r="BK34" i="3"/>
  <c r="CL35" i="3"/>
  <c r="CD30" i="3"/>
  <c r="AD40" i="3"/>
  <c r="AH40" i="3"/>
  <c r="AE42" i="3"/>
  <c r="AF42" i="3"/>
  <c r="AI42" i="3" s="1"/>
  <c r="CE34" i="3"/>
  <c r="CV30" i="3"/>
  <c r="CW30" i="3"/>
  <c r="L32" i="3"/>
  <c r="M32" i="3"/>
  <c r="M27" i="3"/>
  <c r="P27" i="3"/>
  <c r="CV26" i="3"/>
  <c r="AM26" i="3"/>
  <c r="AN26" i="3"/>
  <c r="AP26" i="3"/>
  <c r="BJ30" i="3"/>
  <c r="BK30" i="3"/>
  <c r="BL30" i="3"/>
  <c r="BJ32" i="3"/>
  <c r="BI32" i="3"/>
  <c r="BK32" i="3"/>
  <c r="BJ40" i="3"/>
  <c r="AH34" i="3"/>
  <c r="AV35" i="3"/>
  <c r="CU35" i="3"/>
  <c r="CP14" i="3"/>
  <c r="CL36" i="3" s="1"/>
  <c r="CT35" i="3"/>
  <c r="AQ32" i="3"/>
  <c r="AP32" i="3"/>
  <c r="BQ35" i="3"/>
  <c r="BQ39" i="3"/>
  <c r="BV39" i="3" s="1"/>
  <c r="W27" i="3"/>
  <c r="BZ33" i="3"/>
  <c r="CG33" i="3" s="1"/>
  <c r="AD26" i="3"/>
  <c r="W25" i="3"/>
  <c r="N35" i="3"/>
  <c r="BL26" i="3"/>
  <c r="BR39" i="3"/>
  <c r="U42" i="3"/>
  <c r="V39" i="3"/>
  <c r="BK38" i="3"/>
  <c r="BK41" i="3"/>
  <c r="P34" i="3"/>
  <c r="CV35" i="3"/>
  <c r="CX27" i="3"/>
  <c r="AE26" i="3"/>
  <c r="CB27" i="3"/>
  <c r="CW27" i="3"/>
  <c r="AN25" i="3"/>
  <c r="BF26" i="3"/>
  <c r="D31" i="3"/>
  <c r="F31" i="3"/>
  <c r="G31" i="3"/>
  <c r="C31" i="3"/>
  <c r="CX31" i="3"/>
  <c r="CV31" i="3"/>
  <c r="CW31" i="3"/>
  <c r="CT31" i="3"/>
  <c r="BR40" i="3"/>
  <c r="BQ40" i="3"/>
  <c r="BU40" i="3"/>
  <c r="BT40" i="3"/>
  <c r="BQ42" i="3"/>
  <c r="BU42" i="3"/>
  <c r="BS42" i="3"/>
  <c r="BT42" i="3"/>
  <c r="BI43" i="3"/>
  <c r="CK34" i="3"/>
  <c r="CL34" i="3"/>
  <c r="CM34" i="3"/>
  <c r="CN34" i="3"/>
  <c r="AY25" i="3"/>
  <c r="BR42" i="3"/>
  <c r="AO31" i="3"/>
  <c r="AQ31" i="3"/>
  <c r="O38" i="3"/>
  <c r="L38" i="3"/>
  <c r="M38" i="3"/>
  <c r="P38" i="3"/>
  <c r="AF25" i="3"/>
  <c r="AH25" i="3"/>
  <c r="AD25" i="3"/>
  <c r="U26" i="3"/>
  <c r="W26" i="3"/>
  <c r="Y26" i="3"/>
  <c r="V26" i="3"/>
  <c r="BM21" i="3"/>
  <c r="BL43" i="3" s="1"/>
  <c r="CG6" i="3"/>
  <c r="Y31" i="3"/>
  <c r="CN26" i="3"/>
  <c r="CL26" i="3"/>
  <c r="CK26" i="3"/>
  <c r="P39" i="3"/>
  <c r="AV34" i="3"/>
  <c r="AZ34" i="3"/>
  <c r="AY34" i="3"/>
  <c r="AX34" i="3"/>
  <c r="CN27" i="3"/>
  <c r="CO27" i="3"/>
  <c r="CK27" i="3"/>
  <c r="CL27" i="3"/>
  <c r="CM31" i="3"/>
  <c r="CN31" i="3"/>
  <c r="CO31" i="3"/>
  <c r="CL31" i="3"/>
  <c r="BI33" i="3"/>
  <c r="BJ33" i="3"/>
  <c r="BK33" i="3"/>
  <c r="BL33" i="3"/>
  <c r="BG33" i="3"/>
  <c r="BE33" i="3"/>
  <c r="BF33" i="3"/>
  <c r="BH33" i="3"/>
  <c r="G32" i="3"/>
  <c r="F32" i="3"/>
  <c r="W30" i="3"/>
  <c r="Y30" i="3"/>
  <c r="U30" i="3"/>
  <c r="Z30" i="3" s="1"/>
  <c r="V30" i="3"/>
  <c r="AV25" i="3"/>
  <c r="AW25" i="3"/>
  <c r="BM14" i="3"/>
  <c r="BI36" i="3" s="1"/>
  <c r="AX31" i="3"/>
  <c r="AW31" i="3"/>
  <c r="AV31" i="3"/>
  <c r="AN39" i="3"/>
  <c r="AO39" i="3"/>
  <c r="AQ39" i="3"/>
  <c r="BS40" i="3"/>
  <c r="AY30" i="3"/>
  <c r="AV30" i="3"/>
  <c r="BA30" i="3" s="1"/>
  <c r="AE40" i="3"/>
  <c r="AG40" i="3"/>
  <c r="CC35" i="3"/>
  <c r="CD35" i="3"/>
  <c r="CE35" i="3"/>
  <c r="BZ35" i="3"/>
  <c r="L42" i="3"/>
  <c r="N42" i="3"/>
  <c r="P42" i="3"/>
  <c r="AG42" i="3"/>
  <c r="O42" i="3"/>
  <c r="BK31" i="3"/>
  <c r="BH31" i="3"/>
  <c r="BI31" i="3"/>
  <c r="BF31" i="3"/>
  <c r="BJ31" i="3"/>
  <c r="BE31" i="3"/>
  <c r="BG31" i="3"/>
  <c r="CU31" i="3"/>
  <c r="G26" i="3"/>
  <c r="C26" i="3"/>
  <c r="F26" i="3"/>
  <c r="D26" i="3"/>
  <c r="E26" i="3"/>
  <c r="CT25" i="3"/>
  <c r="CU25" i="3"/>
  <c r="CV25" i="3"/>
  <c r="CW25" i="3"/>
  <c r="CX25" i="3"/>
  <c r="AM34" i="3"/>
  <c r="AQ34" i="3"/>
  <c r="AP34" i="3"/>
  <c r="AN34" i="3"/>
  <c r="H6" i="3"/>
  <c r="D28" i="3" s="1"/>
  <c r="AG26" i="3"/>
  <c r="AF26" i="3"/>
  <c r="V32" i="3"/>
  <c r="X32" i="3"/>
  <c r="Y32" i="3"/>
  <c r="U32" i="3"/>
  <c r="H21" i="3"/>
  <c r="F43" i="3" s="1"/>
  <c r="E39" i="3"/>
  <c r="G39" i="3"/>
  <c r="C39" i="3"/>
  <c r="D39" i="3"/>
  <c r="F39" i="3"/>
  <c r="CY6" i="3"/>
  <c r="P33" i="3"/>
  <c r="M33" i="3"/>
  <c r="L33" i="3"/>
  <c r="O33" i="3"/>
  <c r="AP30" i="3"/>
  <c r="AN30" i="3"/>
  <c r="AQ30" i="3"/>
  <c r="U41" i="3"/>
  <c r="W41" i="3"/>
  <c r="V41" i="3"/>
  <c r="Y41" i="3"/>
  <c r="N27" i="3"/>
  <c r="L27" i="3"/>
  <c r="O27" i="3"/>
  <c r="AD39" i="3"/>
  <c r="AE39" i="3"/>
  <c r="AF39" i="3"/>
  <c r="AG39" i="3"/>
  <c r="BV21" i="3"/>
  <c r="BT43" i="3" s="1"/>
  <c r="BS38" i="3"/>
  <c r="BR38" i="3"/>
  <c r="BQ38" i="3"/>
  <c r="BU38" i="3"/>
  <c r="BT38" i="3"/>
  <c r="BQ26" i="3"/>
  <c r="BU26" i="3"/>
  <c r="BS26" i="3"/>
  <c r="BR26" i="3"/>
  <c r="BT26" i="3"/>
  <c r="E35" i="3"/>
  <c r="C35" i="3"/>
  <c r="G35" i="3"/>
  <c r="F35" i="3"/>
  <c r="AN42" i="3"/>
  <c r="AO42" i="3"/>
  <c r="AQ42" i="3"/>
  <c r="CB34" i="3"/>
  <c r="CC34" i="3"/>
  <c r="CA34" i="3"/>
  <c r="BZ34" i="3"/>
  <c r="CD34" i="3"/>
  <c r="E31" i="3"/>
  <c r="AP42" i="3"/>
  <c r="CO33" i="3"/>
  <c r="CL33" i="3"/>
  <c r="CK33" i="3"/>
  <c r="CN33" i="3"/>
  <c r="V35" i="3"/>
  <c r="W35" i="3"/>
  <c r="X35" i="3"/>
  <c r="Y35" i="3"/>
  <c r="P43" i="3"/>
  <c r="G41" i="3"/>
  <c r="D41" i="3"/>
  <c r="F41" i="3"/>
  <c r="C41" i="3"/>
  <c r="U31" i="3"/>
  <c r="X31" i="3"/>
  <c r="W31" i="3"/>
  <c r="BV6" i="3"/>
  <c r="BS28" i="3" s="1"/>
  <c r="BQ28" i="3"/>
  <c r="CB43" i="3"/>
  <c r="E27" i="3"/>
  <c r="G27" i="3"/>
  <c r="D27" i="3"/>
  <c r="F27" i="3"/>
  <c r="CE31" i="3"/>
  <c r="CC31" i="3"/>
  <c r="CD31" i="3"/>
  <c r="CA31" i="3"/>
  <c r="CF31" i="3"/>
  <c r="L39" i="3"/>
  <c r="M39" i="3"/>
  <c r="N39" i="3"/>
  <c r="AN40" i="3"/>
  <c r="BE39" i="3"/>
  <c r="BF39" i="3"/>
  <c r="BG39" i="3"/>
  <c r="BH39" i="3"/>
  <c r="BL39" i="3"/>
  <c r="BK39" i="3"/>
  <c r="BJ39" i="3"/>
  <c r="BS32" i="3"/>
  <c r="BT32" i="3"/>
  <c r="BU32" i="3"/>
  <c r="BR32" i="3"/>
  <c r="CU32" i="3"/>
  <c r="CW32" i="3"/>
  <c r="CV32" i="3"/>
  <c r="CX32" i="3"/>
  <c r="BI35" i="3"/>
  <c r="BE35" i="3"/>
  <c r="BG35" i="3"/>
  <c r="BF35" i="3"/>
  <c r="BH35" i="3"/>
  <c r="BJ35" i="3"/>
  <c r="BK35" i="3"/>
  <c r="D34" i="3"/>
  <c r="F34" i="3"/>
  <c r="C34" i="3"/>
  <c r="E34" i="3"/>
  <c r="CL42" i="3"/>
  <c r="CM42" i="3"/>
  <c r="CK42" i="3"/>
  <c r="CN42" i="3"/>
  <c r="CO42" i="3"/>
  <c r="Z6" i="3"/>
  <c r="U28" i="3" s="1"/>
  <c r="M25" i="3"/>
  <c r="N25" i="3"/>
  <c r="O25" i="3"/>
  <c r="P25" i="3"/>
  <c r="L25" i="3"/>
  <c r="BM42" i="3"/>
  <c r="BR31" i="3"/>
  <c r="BU31" i="3"/>
  <c r="BT31" i="3"/>
  <c r="BZ31" i="3"/>
  <c r="CD42" i="3"/>
  <c r="CE42" i="3"/>
  <c r="CF42" i="3"/>
  <c r="CB42" i="3"/>
  <c r="CC42" i="3"/>
  <c r="AX25" i="3"/>
  <c r="AV27" i="3"/>
  <c r="AX27" i="3"/>
  <c r="AZ27" i="3"/>
  <c r="AY27" i="3"/>
  <c r="AW27" i="3"/>
  <c r="CY21" i="3"/>
  <c r="CX43" i="3" s="1"/>
  <c r="CW38" i="3"/>
  <c r="CX38" i="3"/>
  <c r="CU38" i="3"/>
  <c r="CV38" i="3"/>
  <c r="W33" i="3"/>
  <c r="Y33" i="3"/>
  <c r="V33" i="3"/>
  <c r="X33" i="3"/>
  <c r="AV41" i="3"/>
  <c r="AX41" i="3"/>
  <c r="AZ41" i="3"/>
  <c r="AY41" i="3"/>
  <c r="AQ40" i="3"/>
  <c r="AM40" i="3"/>
  <c r="AO40" i="3"/>
  <c r="X30" i="3"/>
  <c r="BL31" i="3"/>
  <c r="CM33" i="3"/>
  <c r="C25" i="3"/>
  <c r="D25" i="3"/>
  <c r="AD41" i="3"/>
  <c r="AE41" i="3"/>
  <c r="AF41" i="3"/>
  <c r="CF38" i="3"/>
  <c r="BZ38" i="3"/>
  <c r="CN40" i="3"/>
  <c r="CO40" i="3"/>
  <c r="BR34" i="3"/>
  <c r="BQ33" i="3"/>
  <c r="W42" i="3"/>
  <c r="P32" i="3"/>
  <c r="N32" i="3"/>
  <c r="O32" i="3"/>
  <c r="AW32" i="3"/>
  <c r="BG38" i="3"/>
  <c r="BZ41" i="3"/>
  <c r="CD41" i="3"/>
  <c r="AO26" i="3"/>
  <c r="CC27" i="3"/>
  <c r="AD33" i="3"/>
  <c r="AE33" i="3"/>
  <c r="CA39" i="3"/>
  <c r="BZ39" i="3"/>
  <c r="AH35" i="3"/>
  <c r="CE25" i="3"/>
  <c r="CF25" i="3"/>
  <c r="AE30" i="3"/>
  <c r="AH30" i="3"/>
  <c r="U39" i="3"/>
  <c r="X39" i="3"/>
  <c r="CG14" i="3"/>
  <c r="BZ36" i="3" s="1"/>
  <c r="CF36" i="3"/>
  <c r="CP21" i="3"/>
  <c r="CM43" i="3" s="1"/>
  <c r="CM38" i="3"/>
  <c r="CN38" i="3"/>
  <c r="CO38" i="3"/>
  <c r="AV32" i="3"/>
  <c r="V34" i="3"/>
  <c r="BS30" i="3"/>
  <c r="BQ30" i="3"/>
  <c r="BV30" i="3" s="1"/>
  <c r="BR30" i="3"/>
  <c r="AX32" i="3"/>
  <c r="CD32" i="3"/>
  <c r="CE41" i="3"/>
  <c r="CC30" i="3"/>
  <c r="BZ30" i="3"/>
  <c r="CG30" i="3" s="1"/>
  <c r="BT30" i="3"/>
  <c r="L26" i="3"/>
  <c r="P31" i="3"/>
  <c r="AX40" i="3"/>
  <c r="CB41" i="3"/>
  <c r="O31" i="3"/>
  <c r="D33" i="3"/>
  <c r="CM40" i="3"/>
  <c r="BJ41" i="3"/>
  <c r="CC25" i="3"/>
  <c r="AH33" i="3"/>
  <c r="N26" i="3"/>
  <c r="H14" i="3"/>
  <c r="D36" i="3" s="1"/>
  <c r="X38" i="3"/>
  <c r="V38" i="3"/>
  <c r="W38" i="3"/>
  <c r="BH32" i="3"/>
  <c r="BL32" i="3"/>
  <c r="BE32" i="3"/>
  <c r="BF32" i="3"/>
  <c r="AY33" i="3"/>
  <c r="AZ33" i="3"/>
  <c r="BT25" i="3"/>
  <c r="BU25" i="3"/>
  <c r="BQ25" i="3"/>
  <c r="O30" i="3"/>
  <c r="CN39" i="3"/>
  <c r="CO39" i="3"/>
  <c r="G33" i="3"/>
  <c r="CE40" i="3"/>
  <c r="CF40" i="3"/>
  <c r="F40" i="3"/>
  <c r="L31" i="3"/>
  <c r="BL41" i="3"/>
  <c r="CC39" i="3"/>
  <c r="CK38" i="3"/>
  <c r="BF30" i="3"/>
  <c r="BG30" i="3"/>
  <c r="BI30" i="3"/>
  <c r="BH30" i="3"/>
  <c r="Y42" i="3"/>
  <c r="F42" i="3"/>
  <c r="O26" i="3"/>
  <c r="P26" i="3"/>
  <c r="CP6" i="3"/>
  <c r="CK28" i="3" s="1"/>
  <c r="O40" i="3"/>
  <c r="P40" i="3"/>
  <c r="AR21" i="3"/>
  <c r="AM43" i="3" s="1"/>
  <c r="AO38" i="3"/>
  <c r="AP38" i="3"/>
  <c r="AQ38" i="3"/>
  <c r="AM38" i="3"/>
  <c r="AX38" i="3"/>
  <c r="AY38" i="3"/>
  <c r="AZ38" i="3"/>
  <c r="AV38" i="3"/>
  <c r="N30" i="3"/>
  <c r="P30" i="3"/>
  <c r="E30" i="3"/>
  <c r="AH41" i="3"/>
  <c r="L35" i="3"/>
  <c r="P35" i="3"/>
  <c r="AW40" i="3"/>
  <c r="P41" i="3"/>
  <c r="L41" i="3"/>
  <c r="AV33" i="3"/>
  <c r="CX40" i="3"/>
  <c r="AE35" i="3"/>
  <c r="AX42" i="3"/>
  <c r="AY42" i="3"/>
  <c r="AG41" i="3"/>
  <c r="CV40" i="3"/>
  <c r="BT33" i="3"/>
  <c r="CT30" i="3"/>
  <c r="CY30" i="3" s="1"/>
  <c r="CU30" i="3"/>
  <c r="E33" i="3"/>
  <c r="BZ40" i="3"/>
  <c r="BH38" i="3"/>
  <c r="BZ32" i="3"/>
  <c r="AQ35" i="3"/>
  <c r="V42" i="3"/>
  <c r="AX33" i="3"/>
  <c r="CT39" i="3"/>
  <c r="CU39" i="3"/>
  <c r="CV39" i="3"/>
  <c r="BT34" i="3"/>
  <c r="BE30" i="3"/>
  <c r="BM30" i="3" s="1"/>
  <c r="AZ39" i="3"/>
  <c r="W40" i="3"/>
  <c r="Z40" i="3" s="1"/>
  <c r="C42" i="3"/>
  <c r="AW39" i="3"/>
  <c r="CU42" i="3"/>
  <c r="CV42" i="3"/>
  <c r="AV26" i="3"/>
  <c r="AW26" i="3"/>
  <c r="AX26" i="3"/>
  <c r="AY26" i="3"/>
  <c r="BE25" i="3"/>
  <c r="BH25" i="3"/>
  <c r="BG25" i="3"/>
  <c r="BI25" i="3"/>
  <c r="BK25" i="3"/>
  <c r="CE39" i="3"/>
  <c r="AW33" i="3"/>
  <c r="CY34" i="3"/>
  <c r="AH32" i="3"/>
  <c r="AX35" i="3"/>
  <c r="AY35" i="3"/>
  <c r="CE27" i="3"/>
  <c r="CF27" i="3"/>
  <c r="CN25" i="3"/>
  <c r="CO25" i="3"/>
  <c r="AD32" i="3"/>
  <c r="CE38" i="3"/>
  <c r="BJ38" i="3"/>
  <c r="BG32" i="3"/>
  <c r="CA30" i="3"/>
  <c r="Y39" i="3"/>
  <c r="BJ25" i="3"/>
  <c r="BF38" i="3"/>
  <c r="CL40" i="3"/>
  <c r="AW35" i="3"/>
  <c r="CM39" i="3"/>
  <c r="U38" i="3"/>
  <c r="E25" i="3"/>
  <c r="V25" i="3"/>
  <c r="X25" i="3"/>
  <c r="U25" i="3"/>
  <c r="AE38" i="3"/>
  <c r="AG38" i="3"/>
  <c r="AH38" i="3"/>
  <c r="AD38" i="3"/>
  <c r="AM25" i="3"/>
  <c r="AO25" i="3"/>
  <c r="BA6" i="3"/>
  <c r="BM6" i="3"/>
  <c r="BG28" i="3" s="1"/>
  <c r="BL28" i="3"/>
  <c r="CY14" i="3"/>
  <c r="CT36" i="3" s="1"/>
  <c r="CB39" i="3"/>
  <c r="W34" i="3"/>
  <c r="BF25" i="3"/>
  <c r="G40" i="3"/>
  <c r="AM27" i="3"/>
  <c r="AN27" i="3"/>
  <c r="AQ27" i="3"/>
  <c r="BR33" i="3"/>
  <c r="AN35" i="3"/>
  <c r="AZ32" i="3"/>
  <c r="AF30" i="3"/>
  <c r="AF32" i="3"/>
  <c r="CL39" i="3"/>
  <c r="BU33" i="3"/>
  <c r="M30" i="3"/>
  <c r="CF26" i="3"/>
  <c r="BZ26" i="3"/>
  <c r="CA26" i="3"/>
  <c r="AN38" i="3"/>
  <c r="AM33" i="3"/>
  <c r="AP33" i="3"/>
  <c r="AQ33" i="3"/>
  <c r="N41" i="3"/>
  <c r="AW38" i="3"/>
  <c r="D38" i="3"/>
  <c r="F38" i="3"/>
  <c r="AY39" i="3"/>
  <c r="CO35" i="3"/>
  <c r="CB40" i="3"/>
  <c r="CG21" i="3"/>
  <c r="CD43" i="3" s="1"/>
  <c r="BV14" i="3"/>
  <c r="BU36" i="3" s="1"/>
  <c r="Z14" i="3"/>
  <c r="W36" i="3" s="1"/>
  <c r="AR14" i="3"/>
  <c r="AP36" i="3" s="1"/>
  <c r="BA14" i="3"/>
  <c r="AY36" i="3" s="1"/>
  <c r="AI21" i="3"/>
  <c r="AH43" i="3" s="1"/>
  <c r="BA21" i="3"/>
  <c r="AV43" i="3" s="1"/>
  <c r="AR6" i="3"/>
  <c r="AI14" i="3"/>
  <c r="AI6" i="3"/>
  <c r="AH28" i="3" s="1"/>
  <c r="Z21" i="3"/>
  <c r="Y43" i="3" s="1"/>
  <c r="Q6" i="3"/>
  <c r="M28" i="3" s="1"/>
  <c r="Q21" i="3"/>
  <c r="M43" i="3" s="1"/>
  <c r="Q14" i="3"/>
  <c r="M36" i="3" s="1"/>
  <c r="B235" i="1"/>
  <c r="C216" i="1"/>
  <c r="C219" i="1"/>
  <c r="B224" i="1" s="1"/>
  <c r="C218" i="1"/>
  <c r="C217" i="1"/>
  <c r="C146" i="1"/>
  <c r="C221" i="1"/>
  <c r="C151" i="1"/>
  <c r="C150" i="1"/>
  <c r="C149" i="1"/>
  <c r="B154" i="1" s="1"/>
  <c r="C197" i="1"/>
  <c r="C198" i="1"/>
  <c r="C193" i="1"/>
  <c r="C170" i="1"/>
  <c r="C171" i="1"/>
  <c r="B176" i="1" s="1"/>
  <c r="C195" i="1"/>
  <c r="C196" i="1"/>
  <c r="C194" i="1"/>
  <c r="B234" i="1"/>
  <c r="B153" i="1"/>
  <c r="B189" i="1"/>
  <c r="C186" i="1"/>
  <c r="C184" i="1"/>
  <c r="C185" i="1"/>
  <c r="C179" i="1"/>
  <c r="C172" i="1"/>
  <c r="C173" i="1"/>
  <c r="C168" i="1"/>
  <c r="B175" i="1" s="1"/>
  <c r="C159" i="1"/>
  <c r="C160" i="1"/>
  <c r="C161" i="1"/>
  <c r="C162" i="1"/>
  <c r="C157" i="1"/>
  <c r="C187" i="1"/>
  <c r="C180" i="1"/>
  <c r="C181" i="1"/>
  <c r="C182" i="1"/>
  <c r="C183" i="1"/>
  <c r="C158" i="1"/>
  <c r="C121" i="1"/>
  <c r="C117" i="1"/>
  <c r="C118" i="1"/>
  <c r="C113" i="1"/>
  <c r="C108" i="1"/>
  <c r="C109" i="1"/>
  <c r="C119" i="1"/>
  <c r="C120" i="1"/>
  <c r="C116" i="1"/>
  <c r="C110" i="1"/>
  <c r="C111" i="1"/>
  <c r="C112" i="1"/>
  <c r="C107" i="1"/>
  <c r="C125" i="1"/>
  <c r="C126" i="1"/>
  <c r="C127" i="1"/>
  <c r="C128" i="1"/>
  <c r="C129" i="1"/>
  <c r="C124" i="1"/>
  <c r="C136" i="1"/>
  <c r="C137" i="1"/>
  <c r="C138" i="1"/>
  <c r="C139" i="1"/>
  <c r="C140" i="1"/>
  <c r="C135" i="1"/>
  <c r="AI31" i="3" l="1"/>
  <c r="BG36" i="3"/>
  <c r="BV35" i="3"/>
  <c r="CY33" i="3"/>
  <c r="Q34" i="3"/>
  <c r="BL36" i="3"/>
  <c r="AR31" i="3"/>
  <c r="CY35" i="3"/>
  <c r="AI27" i="3"/>
  <c r="CO36" i="3"/>
  <c r="AR41" i="3"/>
  <c r="CY42" i="3"/>
  <c r="CY27" i="3"/>
  <c r="Q35" i="3"/>
  <c r="BM40" i="3"/>
  <c r="BH36" i="3"/>
  <c r="BU28" i="3"/>
  <c r="O43" i="3"/>
  <c r="BF36" i="3"/>
  <c r="AI25" i="3"/>
  <c r="BM34" i="3"/>
  <c r="AR33" i="3"/>
  <c r="BY46" i="3"/>
  <c r="Z42" i="3"/>
  <c r="CY32" i="3"/>
  <c r="H32" i="3"/>
  <c r="BI28" i="3"/>
  <c r="AR32" i="3"/>
  <c r="CG35" i="3"/>
  <c r="Z27" i="3"/>
  <c r="BV41" i="3"/>
  <c r="AD43" i="3"/>
  <c r="AC47" i="3" s="1"/>
  <c r="C43" i="3"/>
  <c r="AN36" i="3"/>
  <c r="CV43" i="3"/>
  <c r="Q32" i="3"/>
  <c r="H33" i="3"/>
  <c r="AI26" i="3"/>
  <c r="CP35" i="3"/>
  <c r="CE36" i="3"/>
  <c r="AM36" i="3"/>
  <c r="Q31" i="3"/>
  <c r="BK36" i="3"/>
  <c r="AN43" i="3"/>
  <c r="AL47" i="3" s="1"/>
  <c r="CA36" i="3"/>
  <c r="Z34" i="3"/>
  <c r="BV27" i="3"/>
  <c r="AI35" i="3"/>
  <c r="Q40" i="3"/>
  <c r="CP39" i="3"/>
  <c r="Q25" i="3"/>
  <c r="H26" i="3"/>
  <c r="AV36" i="3"/>
  <c r="CG42" i="3"/>
  <c r="AZ36" i="3"/>
  <c r="CE43" i="3"/>
  <c r="BY45" i="3"/>
  <c r="CU43" i="3"/>
  <c r="AR26" i="3"/>
  <c r="BJ43" i="3"/>
  <c r="BD45" i="3"/>
  <c r="H38" i="3"/>
  <c r="CD36" i="3"/>
  <c r="BG43" i="3"/>
  <c r="C36" i="3"/>
  <c r="AW36" i="3"/>
  <c r="CP31" i="3"/>
  <c r="AN28" i="3"/>
  <c r="AO28" i="3"/>
  <c r="AP28" i="3"/>
  <c r="AM28" i="3"/>
  <c r="CG27" i="3"/>
  <c r="CT28" i="3"/>
  <c r="CU28" i="3"/>
  <c r="CX28" i="3"/>
  <c r="AI34" i="3"/>
  <c r="CY26" i="3"/>
  <c r="CA28" i="3"/>
  <c r="CF28" i="3"/>
  <c r="CB28" i="3"/>
  <c r="BZ28" i="3"/>
  <c r="CD28" i="3"/>
  <c r="CC28" i="3"/>
  <c r="CE28" i="3"/>
  <c r="CW28" i="3"/>
  <c r="AW28" i="3"/>
  <c r="AZ28" i="3"/>
  <c r="AV28" i="3"/>
  <c r="AY28" i="3"/>
  <c r="AR39" i="3"/>
  <c r="BM41" i="3"/>
  <c r="CN43" i="3"/>
  <c r="CK43" i="3"/>
  <c r="CO43" i="3"/>
  <c r="CP40" i="3"/>
  <c r="AF36" i="3"/>
  <c r="AD36" i="3"/>
  <c r="AH36" i="3"/>
  <c r="BA39" i="3"/>
  <c r="BF43" i="3"/>
  <c r="AR25" i="3"/>
  <c r="AW43" i="3"/>
  <c r="AU47" i="3" s="1"/>
  <c r="BM38" i="3"/>
  <c r="BA42" i="3"/>
  <c r="CG38" i="3"/>
  <c r="BA27" i="3"/>
  <c r="BH43" i="3"/>
  <c r="BR28" i="3"/>
  <c r="CC36" i="3"/>
  <c r="BQ43" i="3"/>
  <c r="BV31" i="3"/>
  <c r="CG32" i="3"/>
  <c r="BR43" i="3"/>
  <c r="BP47" i="3" s="1"/>
  <c r="AX43" i="3"/>
  <c r="BE43" i="3"/>
  <c r="CY38" i="3"/>
  <c r="BV26" i="3"/>
  <c r="BA26" i="3"/>
  <c r="CY40" i="3"/>
  <c r="H40" i="3"/>
  <c r="Z31" i="3"/>
  <c r="X36" i="3"/>
  <c r="AI40" i="3"/>
  <c r="BU43" i="3"/>
  <c r="BP46" i="3" s="1"/>
  <c r="CK36" i="3"/>
  <c r="Y36" i="3"/>
  <c r="AE43" i="3"/>
  <c r="CB36" i="3"/>
  <c r="P36" i="3"/>
  <c r="AR35" i="3"/>
  <c r="L36" i="3"/>
  <c r="Q41" i="3"/>
  <c r="AP43" i="3"/>
  <c r="BA32" i="3"/>
  <c r="AI41" i="3"/>
  <c r="BV32" i="3"/>
  <c r="AR42" i="3"/>
  <c r="Q42" i="3"/>
  <c r="CP32" i="3"/>
  <c r="G36" i="3"/>
  <c r="Z25" i="3"/>
  <c r="CP25" i="3"/>
  <c r="O36" i="3"/>
  <c r="BJ36" i="3"/>
  <c r="CW43" i="3"/>
  <c r="CS46" i="3" s="1"/>
  <c r="BV34" i="3"/>
  <c r="CN36" i="3"/>
  <c r="AG43" i="3"/>
  <c r="AC46" i="3" s="1"/>
  <c r="BT36" i="3"/>
  <c r="BA40" i="3"/>
  <c r="BS43" i="3"/>
  <c r="CG25" i="3"/>
  <c r="U36" i="3"/>
  <c r="CM36" i="3"/>
  <c r="Q39" i="3"/>
  <c r="H27" i="3"/>
  <c r="X43" i="3"/>
  <c r="T46" i="3" s="1"/>
  <c r="CY25" i="3"/>
  <c r="CG40" i="3"/>
  <c r="CG26" i="3"/>
  <c r="BM32" i="3"/>
  <c r="Z38" i="3"/>
  <c r="AE36" i="3"/>
  <c r="AD28" i="3"/>
  <c r="V43" i="3"/>
  <c r="N36" i="3"/>
  <c r="CT43" i="3"/>
  <c r="CS47" i="3" s="1"/>
  <c r="AQ28" i="3"/>
  <c r="E36" i="3"/>
  <c r="BF28" i="3"/>
  <c r="BR36" i="3"/>
  <c r="H25" i="3"/>
  <c r="AZ43" i="3"/>
  <c r="G43" i="3"/>
  <c r="B46" i="3" s="1"/>
  <c r="D43" i="3"/>
  <c r="B47" i="3" s="1"/>
  <c r="V28" i="3"/>
  <c r="AG36" i="3"/>
  <c r="CP27" i="3"/>
  <c r="CX36" i="3"/>
  <c r="BM35" i="3"/>
  <c r="BA41" i="3"/>
  <c r="BA31" i="3"/>
  <c r="Z39" i="3"/>
  <c r="Q27" i="3"/>
  <c r="BM25" i="3"/>
  <c r="BV38" i="3"/>
  <c r="AR27" i="3"/>
  <c r="BA33" i="3"/>
  <c r="U43" i="3"/>
  <c r="T47" i="3" s="1"/>
  <c r="O28" i="3"/>
  <c r="CL28" i="3"/>
  <c r="Z33" i="3"/>
  <c r="CV28" i="3"/>
  <c r="AX28" i="3"/>
  <c r="BA35" i="3"/>
  <c r="BE28" i="3"/>
  <c r="CY39" i="3"/>
  <c r="F36" i="3"/>
  <c r="CL43" i="3"/>
  <c r="AX36" i="3"/>
  <c r="Q26" i="3"/>
  <c r="BS36" i="3"/>
  <c r="AG28" i="3"/>
  <c r="H34" i="3"/>
  <c r="Z35" i="3"/>
  <c r="CG34" i="3"/>
  <c r="Q33" i="3"/>
  <c r="Z32" i="3"/>
  <c r="V36" i="3"/>
  <c r="BK43" i="3"/>
  <c r="E43" i="3"/>
  <c r="CG41" i="3"/>
  <c r="F28" i="3"/>
  <c r="C28" i="3"/>
  <c r="CW36" i="3"/>
  <c r="N28" i="3"/>
  <c r="CP42" i="3"/>
  <c r="BJ28" i="3"/>
  <c r="BK28" i="3"/>
  <c r="L43" i="3"/>
  <c r="K47" i="3" s="1"/>
  <c r="AY43" i="3"/>
  <c r="AI32" i="3"/>
  <c r="AO36" i="3"/>
  <c r="CP38" i="3"/>
  <c r="AI33" i="3"/>
  <c r="BV33" i="3"/>
  <c r="BZ43" i="3"/>
  <c r="AF43" i="3"/>
  <c r="BM39" i="3"/>
  <c r="AQ43" i="3"/>
  <c r="Z41" i="3"/>
  <c r="AR34" i="3"/>
  <c r="CY31" i="3"/>
  <c r="CU36" i="3"/>
  <c r="L28" i="3"/>
  <c r="BA25" i="3"/>
  <c r="BM33" i="3"/>
  <c r="CP26" i="3"/>
  <c r="BH28" i="3"/>
  <c r="P28" i="3"/>
  <c r="CP34" i="3"/>
  <c r="AR38" i="3"/>
  <c r="AI39" i="3"/>
  <c r="CV36" i="3"/>
  <c r="W43" i="3"/>
  <c r="G28" i="3"/>
  <c r="K46" i="3"/>
  <c r="H35" i="3"/>
  <c r="AF28" i="3"/>
  <c r="BA38" i="3"/>
  <c r="AE28" i="3"/>
  <c r="CG39" i="3"/>
  <c r="BV25" i="3"/>
  <c r="N43" i="3"/>
  <c r="AO43" i="3"/>
  <c r="BT28" i="3"/>
  <c r="BV28" i="3" s="1"/>
  <c r="AQ36" i="3"/>
  <c r="H41" i="3"/>
  <c r="BE36" i="3"/>
  <c r="W28" i="3"/>
  <c r="X28" i="3"/>
  <c r="CF43" i="3"/>
  <c r="BV40" i="3"/>
  <c r="BM31" i="3"/>
  <c r="BA34" i="3"/>
  <c r="H39" i="3"/>
  <c r="AR40" i="3"/>
  <c r="H31" i="3"/>
  <c r="E28" i="3"/>
  <c r="H42" i="3"/>
  <c r="CA43" i="3"/>
  <c r="Y28" i="3"/>
  <c r="CG31" i="3"/>
  <c r="CP33" i="3"/>
  <c r="CC43" i="3"/>
  <c r="Z26" i="3"/>
  <c r="BV42" i="3"/>
  <c r="AI38" i="3"/>
  <c r="CM28" i="3"/>
  <c r="CO28" i="3"/>
  <c r="CN28" i="3"/>
  <c r="BQ36" i="3"/>
  <c r="Q38" i="3"/>
  <c r="B164" i="1"/>
  <c r="B223" i="1"/>
  <c r="B201" i="1"/>
  <c r="B200" i="1"/>
  <c r="B132" i="1"/>
  <c r="B142" i="1"/>
  <c r="B165" i="1"/>
  <c r="B143" i="1"/>
  <c r="BA36" i="3" l="1"/>
  <c r="CP36" i="3"/>
  <c r="CP28" i="3"/>
  <c r="BM43" i="3"/>
  <c r="AR28" i="3"/>
  <c r="CY28" i="3"/>
  <c r="CG28" i="3"/>
  <c r="H36" i="3"/>
  <c r="AL46" i="3"/>
  <c r="CG36" i="3"/>
  <c r="Q36" i="3"/>
  <c r="Z36" i="3"/>
  <c r="BM36" i="3"/>
  <c r="H43" i="3"/>
  <c r="CG43" i="3"/>
  <c r="BD46" i="3"/>
  <c r="AR36" i="3"/>
  <c r="Q43" i="3"/>
  <c r="CY43" i="3"/>
  <c r="CJ47" i="3"/>
  <c r="CY36" i="3"/>
  <c r="Z28" i="3"/>
  <c r="AI36" i="3"/>
  <c r="Z43" i="3"/>
  <c r="AI43" i="3"/>
  <c r="BA28" i="3"/>
  <c r="CJ46" i="3"/>
  <c r="CP43" i="3"/>
  <c r="AU46" i="3"/>
  <c r="Q28" i="3"/>
  <c r="H28" i="3"/>
  <c r="BV36" i="3"/>
  <c r="AR43" i="3"/>
  <c r="BV43" i="3"/>
  <c r="BA43" i="3"/>
  <c r="BM28" i="3"/>
  <c r="AI28" i="3"/>
</calcChain>
</file>

<file path=xl/sharedStrings.xml><?xml version="1.0" encoding="utf-8"?>
<sst xmlns="http://schemas.openxmlformats.org/spreadsheetml/2006/main" count="4416" uniqueCount="406">
  <si>
    <t>Carimbo de data/hora</t>
  </si>
  <si>
    <t>Em qual das faixas etárias abaixo você se encontra?</t>
  </si>
  <si>
    <t>Você mora na região metropolitana de São Paulo?</t>
  </si>
  <si>
    <t>Você costuma frequentar a região da Avenida Paulista, em São Paulo?</t>
  </si>
  <si>
    <t>Você consumiu os produtos da Olga RI, nos últimos 6 meses?</t>
  </si>
  <si>
    <t>Com que frequência você costuma consumir saladas na Olga Ri?</t>
  </si>
  <si>
    <t>Como você avalia o seu grau de importância do clima na escolha das refeições que você costuma adquirir?</t>
  </si>
  <si>
    <t>Como você avalia o seu grau interesse em comprar bowls* quentes?</t>
  </si>
  <si>
    <t>Como você avalia o seu grau de conhecimento sobre as opções de pratos quentes oferecidos pela Olga RI?</t>
  </si>
  <si>
    <t>"A Olga Ri é a primeira marca que vem à mente quando penso em comprar opções quentes,"
O quanto você concorda com essa afirmação?</t>
  </si>
  <si>
    <t>Considerando as opções de ingredientes quentes disponíveis para montar os bowls no Olga RI: 
Churrasco de Legumes com Cogumelos, Churrasco de Legumes com Frango, Gratinado e Salmão, Missô Bowl com Frango Crispy, Missô Bowl com Tofu.
Qual é o seu grau de</t>
  </si>
  <si>
    <t>Quando você considera experimentar pratos quentes na Olga Ri, quais aspectos são mais importantes para a sua decisão?</t>
  </si>
  <si>
    <t>Qual a probabilidade de mudanças realizadas no cardápio de opções quentes influenciarem a sua decisão de compra dos bowls quentes?</t>
  </si>
  <si>
    <t>Que tipo de ingredientes quentes você mais gostaria de ver nos bowls quentes da Olga RI no futuro?</t>
  </si>
  <si>
    <t xml:space="preserve">Levando em consideração que os ingredientes escolhidos por você estivessem disponíveis na próxima virada de cardápio da Olga RI, qual é a chance de você comprar esse bowl quente? </t>
  </si>
  <si>
    <t xml:space="preserve">Com a inclusão das novas opções de bowls quentes, qual é a probabilidade de você optar por essas opções da Olga RI em dias mais frios? </t>
  </si>
  <si>
    <t>Com qual gênero você se identifica?</t>
  </si>
  <si>
    <t>Dada a seguinte lista de itens, você poderia informar  a quantidade de cada um que há em sua casa? [Banheiros]</t>
  </si>
  <si>
    <t>Dada a seguinte lista de itens, você poderia informar  a quantidade de cada um que há em sua casa? [Trabalhadores domésticos]</t>
  </si>
  <si>
    <t>Dada a seguinte lista de itens, você poderia informar  a quantidade de cada um que há em sua casa? [Automóveis]</t>
  </si>
  <si>
    <t>Dada a seguinte lista de itens, você poderia informar  a quantidade de cada um que há em sua casa? [Microcomputador]</t>
  </si>
  <si>
    <t>Dada a seguinte lista de itens, você poderia informar  a quantidade de cada um que há em sua casa? [Lava louça]</t>
  </si>
  <si>
    <t>Dada a seguinte lista de itens, você poderia informar  a quantidade de cada um que há em sua casa? [Geladeira]</t>
  </si>
  <si>
    <t>Dada a seguinte lista de itens, você poderia informar  a quantidade de cada um que há em sua casa? [Freezer]</t>
  </si>
  <si>
    <t>Dada a seguinte lista de itens, você poderia informar  a quantidade de cada um que há em sua casa? [Lava-roupa]</t>
  </si>
  <si>
    <t>Dada a seguinte lista de itens, você poderia informar  a quantidade de cada um que há em sua casa? [DVD]</t>
  </si>
  <si>
    <t>Dada a seguinte lista de itens, você poderia informar  a quantidade de cada um que há em sua casa? [Micro-ondas]</t>
  </si>
  <si>
    <t>Dada a seguinte lista de itens, você poderia informar  a quantidade de cada um que há em sua casa? [Motocicleta]</t>
  </si>
  <si>
    <t>Dada a seguinte lista de itens, você poderia informar  a quantidade de cada um que há em sua casa? [Secadora de roupa]</t>
  </si>
  <si>
    <t>Poderia me informar o grau de instrução do chefe da família? Considerando o chefe da família como a pessoa de referência para a sustentação do domicílio.</t>
  </si>
  <si>
    <t>Sua casa tem acesso aos seguintes serviços públicos? [Água encanada]</t>
  </si>
  <si>
    <t>Sua casa tem acesso aos seguintes serviços públicos? [Rua pavimentada]</t>
  </si>
  <si>
    <t>Qual o seu nome completo?</t>
  </si>
  <si>
    <t>Qual o seu número de telefone?</t>
  </si>
  <si>
    <t>Qual o seu e-mail?</t>
  </si>
  <si>
    <t>Classe Social</t>
  </si>
  <si>
    <t>Entre 25 e 34 anos</t>
  </si>
  <si>
    <t>Sim</t>
  </si>
  <si>
    <t>Quatro ou mais vezes por semana</t>
  </si>
  <si>
    <t>Ambiente e atmosfera do restaurante, Preço das opções quentes, Variedade de opções quentes no cardápio</t>
  </si>
  <si>
    <t>Carne seca desfiada, Atum selado com gergelim, Salmão grelhado com molho teriyaki</t>
  </si>
  <si>
    <t>Feminino</t>
  </si>
  <si>
    <t>Tem 3</t>
  </si>
  <si>
    <t>Não Tem</t>
  </si>
  <si>
    <t>Tem 1</t>
  </si>
  <si>
    <t>Superior completo</t>
  </si>
  <si>
    <t>Sofia Casado</t>
  </si>
  <si>
    <t>soficasado1@gmail.com</t>
  </si>
  <si>
    <t>B1</t>
  </si>
  <si>
    <t>Uma a duas vezes nos últimos seis meses</t>
  </si>
  <si>
    <t>Opções vegetarianas e/ou veganas de pratos quentes, Tempo de espera para ser servido, Variedade de opções quentes no cardápio</t>
  </si>
  <si>
    <t>Atum selado com gergelim, Falafel, Filé mignon</t>
  </si>
  <si>
    <t>Tem 4 ou +</t>
  </si>
  <si>
    <t>Tem 2</t>
  </si>
  <si>
    <t xml:space="preserve">Rayane Honami da Silva </t>
  </si>
  <si>
    <t>rayanehonami@gmail.com</t>
  </si>
  <si>
    <t>A</t>
  </si>
  <si>
    <t>Ambiente e atmosfera do restaurante, Preço das opções quentes, Tempo de espera para ser servido</t>
  </si>
  <si>
    <t>Salmão grelhado com molho teriyaki, Filé mignon, Frango Grelhado</t>
  </si>
  <si>
    <t>Médio completo / Superior incompleto</t>
  </si>
  <si>
    <t>Eduarda Santos da Silva</t>
  </si>
  <si>
    <t>duda.nana2@gmail.com</t>
  </si>
  <si>
    <t>B2</t>
  </si>
  <si>
    <t>Entre 35 e 44 anos</t>
  </si>
  <si>
    <t>Ambiente e atmosfera do restaurante, Avaliação ou recomendação de influenciadores, Avaliação ou recomendação de outros clientes</t>
  </si>
  <si>
    <t>Filé mignon, Salmão grelhado com molho teriyaki, Carne seca desfiada</t>
  </si>
  <si>
    <t>Masculino</t>
  </si>
  <si>
    <t>Thiago Vibesp</t>
  </si>
  <si>
    <t>official@thiagovibesp.com</t>
  </si>
  <si>
    <t>Uma vez por mês</t>
  </si>
  <si>
    <t>Ambiente e atmosfera do restaurante</t>
  </si>
  <si>
    <t>Filé mignon, Salmão grelhado com molho teriyaki</t>
  </si>
  <si>
    <t>Fundamental II completo / Superior incompleto</t>
  </si>
  <si>
    <t>Thiago Souza aleixo</t>
  </si>
  <si>
    <t>thiagoaleixo09@hotmail.com</t>
  </si>
  <si>
    <t>Preço das opções quentes, Tempo de espera para ser servido</t>
  </si>
  <si>
    <t>Atum selado com gergelim, Salmão grelhado com molho teriyaki</t>
  </si>
  <si>
    <t>Ana Carolina Araújo de Andrade</t>
  </si>
  <si>
    <t>carol.andrade@icloud.com</t>
  </si>
  <si>
    <t>C1</t>
  </si>
  <si>
    <t>Falafel, Carne seca desfiada, Filé mignon</t>
  </si>
  <si>
    <t>Bruna Oliveira</t>
  </si>
  <si>
    <t>-</t>
  </si>
  <si>
    <t>C2</t>
  </si>
  <si>
    <t>Uma a três vezes por semana</t>
  </si>
  <si>
    <t>Avaliação ou recomendação de influenciadores, Preço das opções quentes, Tempo de espera para ser servido</t>
  </si>
  <si>
    <t>Filé mignon, Frango Grelhado, Carne seca desfiada</t>
  </si>
  <si>
    <t>Stephano Lee</t>
  </si>
  <si>
    <t>stephanokr@gmail.com</t>
  </si>
  <si>
    <t>Uma vez a cada quinze dias</t>
  </si>
  <si>
    <t>Ambiente e atmosfera do restaurante, Avaliação ou recomendação de outros clientes, Preço das opções quentes</t>
  </si>
  <si>
    <t>Carne seca desfiada, Filé mignon</t>
  </si>
  <si>
    <t>Rafael Rehder</t>
  </si>
  <si>
    <t>rafacrehder@gmail.com</t>
  </si>
  <si>
    <t>Variedade de opções quentes no cardápio</t>
  </si>
  <si>
    <t>Frango Grelhado, Carne seca desfiada</t>
  </si>
  <si>
    <t>Rafael pires</t>
  </si>
  <si>
    <t>Pires_santos2@hotmail.com</t>
  </si>
  <si>
    <t>Entre 18 e 24 anos</t>
  </si>
  <si>
    <t>Falafel, Salmão grelhado com molho teriyaki, Filé mignon</t>
  </si>
  <si>
    <t>Pietra Maria Venturini</t>
  </si>
  <si>
    <t>pietraventurini1@gmail.com</t>
  </si>
  <si>
    <t>Avaliação ou recomendação de outros clientes, Preço das opções quentes</t>
  </si>
  <si>
    <t xml:space="preserve">Filé mignon, Salmão grelhado com molho teriyaki, Beterraba </t>
  </si>
  <si>
    <t>Bruno Fernandes</t>
  </si>
  <si>
    <t>Bruno.rer100903@gmail.com</t>
  </si>
  <si>
    <t>Avaliação ou recomendação de outros clientes</t>
  </si>
  <si>
    <t>Frango Grelhado, Filé mignon, Salmão grelhado com molho teriyaki</t>
  </si>
  <si>
    <t>carolina verzoni</t>
  </si>
  <si>
    <t>carolinaverzoni@gmail.com</t>
  </si>
  <si>
    <t>Opções vegetarianas e/ou veganas de pratos quentes</t>
  </si>
  <si>
    <t>Falafel</t>
  </si>
  <si>
    <t>Danielle dos santos romano</t>
  </si>
  <si>
    <t>danielleromano8@gmail.com</t>
  </si>
  <si>
    <t>Ambiente e atmosfera do restaurante, Avaliação ou recomendação de outros clientes, Opções vegetarianas e/ou veganas de pratos quentes</t>
  </si>
  <si>
    <t>Atum selado com gergelim, Frango Grelhado, Salmão grelhado com molho teriyaki</t>
  </si>
  <si>
    <t>Giovani Cambeses Alves</t>
  </si>
  <si>
    <t>cambeses.giovani@usp.br</t>
  </si>
  <si>
    <t>Ambiente e atmosfera do restaurante, Tempo de espera para ser servido, Variedade de opções quentes no cardápio</t>
  </si>
  <si>
    <t>Salmão grelhado com molho teriyaki, Filé mignon</t>
  </si>
  <si>
    <t xml:space="preserve">anna Clara gobatto </t>
  </si>
  <si>
    <t>annaclarabru@hotmail.com</t>
  </si>
  <si>
    <t>Atum selado com gergelim, Salmão grelhado com molho teriyaki, Falafel</t>
  </si>
  <si>
    <t xml:space="preserve">Gabriela Santos de Souza </t>
  </si>
  <si>
    <t>Nutrigabrielasouza@gmail.com</t>
  </si>
  <si>
    <t>Carne seca desfiada, Atum selado com gergelim, Bacon</t>
  </si>
  <si>
    <t>Ana Garcia Checoli</t>
  </si>
  <si>
    <t>anagchecoli@gmail.com</t>
  </si>
  <si>
    <t>Filé mignon, Salmão grelhado com molho teriyaki, Atum selado com gergelim</t>
  </si>
  <si>
    <t>Alice Kok</t>
  </si>
  <si>
    <t>alicepkok@gmail.com</t>
  </si>
  <si>
    <t>Ambiente e atmosfera do restaurante, Avaliação ou recomendação de influenciadores, Variedade de opções quentes no cardápio</t>
  </si>
  <si>
    <t>Salmão grelhado com molho teriyaki</t>
  </si>
  <si>
    <t xml:space="preserve">Guilherme Antonio Ferreira Ferraz </t>
  </si>
  <si>
    <t>gui.ferraz.99@gmail.com</t>
  </si>
  <si>
    <t>Carne seca desfiada, Frango Grelhado, Filé mignon</t>
  </si>
  <si>
    <t>mariana moreira</t>
  </si>
  <si>
    <t>marifmoreira@uol.com.br</t>
  </si>
  <si>
    <t>Salmão grelhado com molho teriyaki, Falafel, Atum selado com gergelim</t>
  </si>
  <si>
    <t>Rodolfo Ikeda Lima</t>
  </si>
  <si>
    <t>ikeda.rodolfo@outlook.com</t>
  </si>
  <si>
    <t>Filé mignon, Frango Grelhado</t>
  </si>
  <si>
    <t>Luiza longo</t>
  </si>
  <si>
    <t>luu_longo@hotmail.com</t>
  </si>
  <si>
    <t>Preço das opções quentes, Variedade de opções quentes no cardápio</t>
  </si>
  <si>
    <t>Beatriz Oste</t>
  </si>
  <si>
    <t>biaostebazilio@gmail.com</t>
  </si>
  <si>
    <t>Preço das opções quentes, Tempo de espera para ser servido, Variedade de opções quentes no cardápio</t>
  </si>
  <si>
    <t>Filé mignon, Frango Grelhado, Atum selado com gergelim</t>
  </si>
  <si>
    <t>Rafael Veiga</t>
  </si>
  <si>
    <t>rafael@veigas.com.br</t>
  </si>
  <si>
    <t>Ambiente e atmosfera do restaurante, Tempo de espera para ser servido</t>
  </si>
  <si>
    <t>Salmão grelhado com molho teriyaki, Falafel</t>
  </si>
  <si>
    <t xml:space="preserve">Isabela Santos </t>
  </si>
  <si>
    <t>isaalmeida@fmail.com</t>
  </si>
  <si>
    <t>Carne seca desfiada, Frango Grelhado, Salmão grelhado com molho teriyaki</t>
  </si>
  <si>
    <t>Prefiro não dizer</t>
  </si>
  <si>
    <t>Fundamental I completo / Fundamental II incompleto</t>
  </si>
  <si>
    <t>Pedro Fernandes Guedes</t>
  </si>
  <si>
    <t>Pedrofernandesguedes969@gmail.com</t>
  </si>
  <si>
    <t>Ambiente e atmosfera do restaurante, Opções vegetarianas e/ou veganas de pratos quentes, Variedade de opções quentes no cardápio</t>
  </si>
  <si>
    <t>Carne seca desfiada, Frango Grelhado</t>
  </si>
  <si>
    <t>Joao Victor Milfont Morais</t>
  </si>
  <si>
    <t>jvmilmora@gmail.com</t>
  </si>
  <si>
    <t>Preço das opções quentes</t>
  </si>
  <si>
    <t>Carne seca desfiada, Atum selado com gergelim, Frango Grelhado</t>
  </si>
  <si>
    <t>Felipe de Souza</t>
  </si>
  <si>
    <t>feh.inde14@gmail.com</t>
  </si>
  <si>
    <t>Milena Oliveira da Silva</t>
  </si>
  <si>
    <t>Entre 45 e 54 anos</t>
  </si>
  <si>
    <t>Falafel, Atum selado com gergelim, Filé mignon</t>
  </si>
  <si>
    <t>Iris Yamamoto</t>
  </si>
  <si>
    <t>irisyamamoto@uol.com.br</t>
  </si>
  <si>
    <t>Tempo de espera para ser servido, Variedade de opções quentes no cardápio</t>
  </si>
  <si>
    <t>Atum selado com gergelim, Filé mignon</t>
  </si>
  <si>
    <t xml:space="preserve">Mariana Cruz </t>
  </si>
  <si>
    <t>mcruzgabriel@gmail.com</t>
  </si>
  <si>
    <t>Opções vegetarianas e/ou veganas de pratos quentes, Preço das opções quentes, Tempo de espera para ser servido</t>
  </si>
  <si>
    <t>Frango Grelhado, Salmão grelhado com molho teriyaki</t>
  </si>
  <si>
    <t xml:space="preserve">Pedro Mathias de Oliveira Martins </t>
  </si>
  <si>
    <t>pedromathiasm@gmail.com</t>
  </si>
  <si>
    <t>Avaliação ou recomendação de outros clientes, Tempo de espera para ser servido</t>
  </si>
  <si>
    <t>Sophia Lage</t>
  </si>
  <si>
    <t>soso_lage@hotmail.com</t>
  </si>
  <si>
    <t>Frango Grelhado, Filé mignon, Carne seca desfiada</t>
  </si>
  <si>
    <t>Nathália Valeck</t>
  </si>
  <si>
    <t>natvaleck_@hotmail.com</t>
  </si>
  <si>
    <t>Frango Grelhado, Filé mignon</t>
  </si>
  <si>
    <t>Michelle Hotus</t>
  </si>
  <si>
    <t>Michellehotus@gmail.com</t>
  </si>
  <si>
    <t>Filé mignon, Atum selado com gergelim, Carne seca desfiada</t>
  </si>
  <si>
    <t>Pedro Henrique Macedo Asciutti</t>
  </si>
  <si>
    <t>phasciutti@hotmail.com</t>
  </si>
  <si>
    <t>Frango Grelhado, Salmão grelhado com molho teriyaki, Filé mignon</t>
  </si>
  <si>
    <t xml:space="preserve">Alan </t>
  </si>
  <si>
    <t>Ambiente e atmosfera do restaurante, Avaliação ou recomendação de outros clientes, Tempo de espera para ser servido</t>
  </si>
  <si>
    <t>Salmão grelhado com molho teriyaki, Falafel, Frango Grelhado</t>
  </si>
  <si>
    <t>Renato Kimura</t>
  </si>
  <si>
    <t>renatoks07@gmail.com</t>
  </si>
  <si>
    <t>Filé mignon, Falafel</t>
  </si>
  <si>
    <t>Juliana Giancolli</t>
  </si>
  <si>
    <t>Juliana.giancolli@gmail.com</t>
  </si>
  <si>
    <t>Atum selado com gergelim, Carne seca desfiada, Frango Grelhado</t>
  </si>
  <si>
    <t xml:space="preserve">Vinicius Silva Soares </t>
  </si>
  <si>
    <t>vinisilvasoares@gmail.com</t>
  </si>
  <si>
    <t>Filé mignon, Falafel, Carne seca desfiada</t>
  </si>
  <si>
    <t>Júlia Ferreira Pinto</t>
  </si>
  <si>
    <t>juliaferreirap@usp.br</t>
  </si>
  <si>
    <t>Ambiente e atmosfera do restaurante, Avaliação ou recomendação de outros clientes</t>
  </si>
  <si>
    <t>Salmão grelhado com molho teriyaki, Carne seca desfiada, Frango Grelhado</t>
  </si>
  <si>
    <t xml:space="preserve">Tarcisia Silva Araujo </t>
  </si>
  <si>
    <t>tarcisiaaraujo@usp.br</t>
  </si>
  <si>
    <t>Falafel, Atum selado com gergelim, Salmão grelhado com molho teriyaki</t>
  </si>
  <si>
    <t>clarice pimentel paulon</t>
  </si>
  <si>
    <t>claricepp@gmail.com</t>
  </si>
  <si>
    <t>Ambiente e atmosfera do restaurante, Variedade de opções quentes no cardápio</t>
  </si>
  <si>
    <t>Atum selado com gergelim, Carne seca desfiada</t>
  </si>
  <si>
    <t>Av angélica 2635</t>
  </si>
  <si>
    <t>ambra@gmail.com</t>
  </si>
  <si>
    <t>Opções vegetarianas e/ou veganas de pratos quentes, Variedade de opções quentes no cardápio</t>
  </si>
  <si>
    <t>Fabio Novo Paccola</t>
  </si>
  <si>
    <t>fabio_paccola@hotmail.com</t>
  </si>
  <si>
    <t xml:space="preserve">Mei Lian Jou </t>
  </si>
  <si>
    <t>suzin.mei@gmail.com</t>
  </si>
  <si>
    <t xml:space="preserve">Raul Silva Junior </t>
  </si>
  <si>
    <t>raul@itacolomy.net</t>
  </si>
  <si>
    <t>Avaliação ou recomendação de outros clientes, Variedade de opções quentes no cardápio</t>
  </si>
  <si>
    <t>Carne seca desfiada, Filé mignon, Salmão grelhado com molho teriyaki</t>
  </si>
  <si>
    <t xml:space="preserve">Maria Fagundes </t>
  </si>
  <si>
    <t>Mapfagundes17@gmail.com</t>
  </si>
  <si>
    <t xml:space="preserve">luana del grande </t>
  </si>
  <si>
    <t>luanadelgrande@outlook.com</t>
  </si>
  <si>
    <t>Falafel, Atum selado com gergelim</t>
  </si>
  <si>
    <t xml:space="preserve">Carla Martins Gallucci </t>
  </si>
  <si>
    <t>Carlamartins.arq@gmail.com</t>
  </si>
  <si>
    <t>nicolle souza</t>
  </si>
  <si>
    <t>nicollessm9@gmail.com</t>
  </si>
  <si>
    <t>Avaliação ou recomendação de outros clientes, Preço das opções quentes, Tempo de espera para ser servido</t>
  </si>
  <si>
    <t>Dora De Luca Longo</t>
  </si>
  <si>
    <t>doradllongo@gmail.com</t>
  </si>
  <si>
    <t>Atum selado com gergelim, Salmão grelhado com molho teriyaki, Frango Grelhado</t>
  </si>
  <si>
    <t>Augusto Felício Araujo Pinho</t>
  </si>
  <si>
    <t>augustofelicio@gmail.com</t>
  </si>
  <si>
    <t>Avaliação ou recomendação de outros clientes, Tempo de espera para ser servido, Variedade de opções quentes no cardápio</t>
  </si>
  <si>
    <t>Maitê Lopes</t>
  </si>
  <si>
    <t>Maitelopesdesouza55@gmail.com</t>
  </si>
  <si>
    <t>Atum selado com gergelim, Frango Grelhado, Filé mignon</t>
  </si>
  <si>
    <t xml:space="preserve">Luiza ayka </t>
  </si>
  <si>
    <t>Ayaka.fuzikawa@gmail.com</t>
  </si>
  <si>
    <t>Salmão grelhado com molho teriyaki, Filé mignon, Carne seca desfiada</t>
  </si>
  <si>
    <t>maria rita ferreira netto abilio dantas</t>
  </si>
  <si>
    <t>fnadmariarita@gmail.com</t>
  </si>
  <si>
    <t xml:space="preserve">Ana Rubia Inocêncio </t>
  </si>
  <si>
    <t>Annaruby321@gmail.com</t>
  </si>
  <si>
    <t>Juliana Silveira</t>
  </si>
  <si>
    <t>Julianasilveira@gmail.com</t>
  </si>
  <si>
    <t>Massas</t>
  </si>
  <si>
    <t>Sonia Silgueira</t>
  </si>
  <si>
    <t>Opções vegetarianas e/ou veganas de pratos quentes, Preço das opções quentes, Variedade de opções quentes no cardápio</t>
  </si>
  <si>
    <t>Yasmin Saad</t>
  </si>
  <si>
    <t>yasminsilvasaad@gmail.com</t>
  </si>
  <si>
    <t>Avaliação ou recomendação de outros clientes, Opções vegetarianas e/ou veganas de pratos quentes, Preço das opções quentes</t>
  </si>
  <si>
    <t>Carlos Eduardo reis</t>
  </si>
  <si>
    <t>Cecdr@hotmail.com</t>
  </si>
  <si>
    <t>Tempo de espera para ser servido</t>
  </si>
  <si>
    <t>Victor Sousa</t>
  </si>
  <si>
    <t>Victor.a.desousa@gmail.com</t>
  </si>
  <si>
    <t>Hanne Lima</t>
  </si>
  <si>
    <t>Hannelima@hotmail.com</t>
  </si>
  <si>
    <t>Avaliação ou recomendação de outros clientes, Preço das opções quentes, Variedade de opções quentes no cardápio</t>
  </si>
  <si>
    <t>Bárbara Valéria Marinho Pismel Xavier</t>
  </si>
  <si>
    <t>babipismel@hotmail.com</t>
  </si>
  <si>
    <t>Frango Grelhado, Carne seca desfiada, Filé mignon</t>
  </si>
  <si>
    <t>giovanna zucchini nery</t>
  </si>
  <si>
    <t>gigizn19@gmail.com</t>
  </si>
  <si>
    <t>Ambiente e atmosfera do restaurante, Avaliação ou recomendação de outros clientes, Variedade de opções quentes no cardápio</t>
  </si>
  <si>
    <t>Filé mignon, Carne seca desfiada, Atum selado com gergelim</t>
  </si>
  <si>
    <t xml:space="preserve">Daniela Zucchini </t>
  </si>
  <si>
    <t>Daniela.zuccini@gmail.com</t>
  </si>
  <si>
    <t>Viviane Amaral</t>
  </si>
  <si>
    <t>amaralviviane0202@gmail.com</t>
  </si>
  <si>
    <t>Filé mignon, Carne seca desfiada, Salmão grelhado com molho teriyaki</t>
  </si>
  <si>
    <t>Daniel Poletti Baiochi</t>
  </si>
  <si>
    <t>dpb2000@uol.com.br</t>
  </si>
  <si>
    <t>Analfabeto/Fundamental I incompleto</t>
  </si>
  <si>
    <t>Juliana Alves Barreto</t>
  </si>
  <si>
    <t>Julianaabarreto@outlook.com</t>
  </si>
  <si>
    <t>Salmão grelhado com molho teriyaki, Atum selado com gergelim, Falafel</t>
  </si>
  <si>
    <t>Tiago D'Ambrosio</t>
  </si>
  <si>
    <t>tbdambrosio@gmail.com</t>
  </si>
  <si>
    <t>Carne seca desfiada, Atum selado com gergelim, Falafel</t>
  </si>
  <si>
    <t>Andressa Rodrigues</t>
  </si>
  <si>
    <t>Andressa.tiossi.r@gmail.com</t>
  </si>
  <si>
    <t>João Pedro Ferreira Ananias</t>
  </si>
  <si>
    <t>ananiasz1703@gmail.com</t>
  </si>
  <si>
    <t>Falafel, Salmão grelhado com molho teriyaki, Atum selado com gergelim</t>
  </si>
  <si>
    <t>Isabella Conz</t>
  </si>
  <si>
    <t>isabella_conz@hotmail.com</t>
  </si>
  <si>
    <t>matías kim</t>
  </si>
  <si>
    <t>matiaskim.arquitetura@gmail.com</t>
  </si>
  <si>
    <t>Ana Oliveira</t>
  </si>
  <si>
    <t>Annadolibeira09@gmail.com</t>
  </si>
  <si>
    <t xml:space="preserve">Ambiente e atmosfera do restaurante, Variedade de opções quentes no cardápio, Pet Friendly </t>
  </si>
  <si>
    <t>Atum selado com gergelim</t>
  </si>
  <si>
    <t>Lucas Fábio koscak</t>
  </si>
  <si>
    <t>lucaskoscak@gmail.com</t>
  </si>
  <si>
    <t>Renato Stefani</t>
  </si>
  <si>
    <t>renato.stefani.carvalho@gmail.com</t>
  </si>
  <si>
    <t>Atum selado com gergelim, Salmão grelhado com molho teriyaki, Filé mignon</t>
  </si>
  <si>
    <t>tauana barbosa</t>
  </si>
  <si>
    <t>Tauana1gpp@gmail.com</t>
  </si>
  <si>
    <t>Ambiente e atmosfera do restaurante, Avaliação ou recomendação de influenciadores, Preço das opções quentes</t>
  </si>
  <si>
    <t>ricardo lerner</t>
  </si>
  <si>
    <t>ricardolerner@gmail.com</t>
  </si>
  <si>
    <t>Salmão grelhado com molho teriyaki, Carne seca desfiada, Filé mignon</t>
  </si>
  <si>
    <t xml:space="preserve">beatriz santana dos santos </t>
  </si>
  <si>
    <t>beatriz.saanttos@gmail.com</t>
  </si>
  <si>
    <t>Tainara lamenha</t>
  </si>
  <si>
    <t>Tainaralamenha@gmail.com</t>
  </si>
  <si>
    <t>Ana Friedman</t>
  </si>
  <si>
    <t>aninhafriedman@gmail.com</t>
  </si>
  <si>
    <t>Ambiente e atmosfera do restaurante, Avaliação ou recomendação de influenciadores</t>
  </si>
  <si>
    <t>Salmão grelhado com molho teriyaki, Frango Grelhado</t>
  </si>
  <si>
    <t>Leonardo Arruda</t>
  </si>
  <si>
    <t>Leonardo.arruda317@gmail.com</t>
  </si>
  <si>
    <t xml:space="preserve">Ana Clara Vidotu </t>
  </si>
  <si>
    <t>Anaclaravidotu@gmail.com</t>
  </si>
  <si>
    <t>alessandra Anzai</t>
  </si>
  <si>
    <t>aleanzai@yahoo.com.br</t>
  </si>
  <si>
    <t>Filé mignon, Carne seca desfiada</t>
  </si>
  <si>
    <t xml:space="preserve">Igor Pereira </t>
  </si>
  <si>
    <t>i_a_pereira@hotmail.com</t>
  </si>
  <si>
    <t>Frango Grelhado</t>
  </si>
  <si>
    <t xml:space="preserve">Jose mancuso </t>
  </si>
  <si>
    <t>Jamancusofilho@gmail.com</t>
  </si>
  <si>
    <t xml:space="preserve">thais freese </t>
  </si>
  <si>
    <t>thais.freese@icloud.com</t>
  </si>
  <si>
    <t xml:space="preserve">Salmão grelhado com molho teriyaki, Atum selado com gergelim, Outro peixe (tilápia) </t>
  </si>
  <si>
    <t xml:space="preserve">Carlos Salles </t>
  </si>
  <si>
    <t>casalles@uol.com.br</t>
  </si>
  <si>
    <t xml:space="preserve">Ana Maria Oliveira </t>
  </si>
  <si>
    <t>ananusdeo@uol.com.br</t>
  </si>
  <si>
    <t>Atum selado com gergelim, Filé mignon, Falafel</t>
  </si>
  <si>
    <t>Diego Canha</t>
  </si>
  <si>
    <t>diegocanha@gmail.com</t>
  </si>
  <si>
    <t>Luana gima</t>
  </si>
  <si>
    <t>luana3gima@hotmail.com</t>
  </si>
  <si>
    <t>Ambiente e atmosfera do restaurante, Opções vegetarianas e/ou veganas de pratos quentes, Tempo de espera para ser servido</t>
  </si>
  <si>
    <t>Tatiana Sacco</t>
  </si>
  <si>
    <t>Tathi_sacco@gmail.com</t>
  </si>
  <si>
    <t>Daniel Brabo</t>
  </si>
  <si>
    <t>dtaboza@gmail.com</t>
  </si>
  <si>
    <t>Atum selado com gergelim, Salmão grelhado com molho teriyaki, Carne seca desfiada</t>
  </si>
  <si>
    <t>Taís Fernandes Do Nascimento</t>
  </si>
  <si>
    <t>Nascimento.thais03@gmail.com</t>
  </si>
  <si>
    <t>Atum selado com gergelim, Falafel, Salmão grelhado com molho teriyaki</t>
  </si>
  <si>
    <t>Gizele Frazilho</t>
  </si>
  <si>
    <t>gizele.frazilho@outlook.com</t>
  </si>
  <si>
    <t xml:space="preserve">Ambiente e atmosfera do restaurante, Muitas opções de salada </t>
  </si>
  <si>
    <t>Isabella zanfagnini</t>
  </si>
  <si>
    <t>bellazanfagnini@gmail.com</t>
  </si>
  <si>
    <t>Adriana Sigoli Borges Saraiva</t>
  </si>
  <si>
    <t>adri_saraiva@hotmail.com</t>
  </si>
  <si>
    <t>17 ou menos</t>
  </si>
  <si>
    <t>Entre 55 ou mais</t>
  </si>
  <si>
    <t>TOTAL</t>
  </si>
  <si>
    <t>TOP2BOX</t>
  </si>
  <si>
    <t>Média</t>
  </si>
  <si>
    <t>BOTTOM2BOXES</t>
  </si>
  <si>
    <t>A Olga Ri é a primeira marca que vem à mente quando penso em comprar opções quentes,</t>
  </si>
  <si>
    <t xml:space="preserve">Considerando as opções de ingredientes quentes disponíveis para montar os bowls no Olga RI: </t>
  </si>
  <si>
    <t>Avaliação ou recomendação de influenciadores</t>
  </si>
  <si>
    <t>Outros(Muitas opções de salada,  Pet Friendly )</t>
  </si>
  <si>
    <t>Índice de Multiplicidade</t>
  </si>
  <si>
    <t>Frango Grelhado </t>
  </si>
  <si>
    <t>Carne seca desfiada</t>
  </si>
  <si>
    <t>Filé mignon </t>
  </si>
  <si>
    <t>Atum selado com gergelim </t>
  </si>
  <si>
    <t>Outro (Bacon, Beterraba, Massas, Tilápia)</t>
  </si>
  <si>
    <t>Levando em consideração que os ingredientes escolhidos por você estivessem disponíveis na próxima virada de cardápio da Olga RI, qual é a chance de você comprar esse bowl quente?</t>
  </si>
  <si>
    <t>DE</t>
  </si>
  <si>
    <t>B</t>
  </si>
  <si>
    <t>C</t>
  </si>
  <si>
    <t>Gabriela</t>
  </si>
  <si>
    <t>Gatan@gmail.com</t>
  </si>
  <si>
    <t>matías kkm</t>
  </si>
  <si>
    <t>ricardo</t>
  </si>
  <si>
    <t>Luana</t>
  </si>
  <si>
    <t>Q5. Com que frequência o(a) senhor(a) costuma consumir saladas na Olga Ri?</t>
  </si>
  <si>
    <t>Q6. Como o(a) senhor(a) avalia o seu grau de importância do clima na escolha das refeições que o senhor(a) costuma adquirir?</t>
  </si>
  <si>
    <t>Q7. Como o(a) senhor(a) avalia o seu grau interesse em comprar bowls* quentes?</t>
  </si>
  <si>
    <t>Q8. Como o(a) senhor(a) avalia o seu grau de conhecimento sobre as opções de pratos quentes oferecidos pela Olga RI?</t>
  </si>
  <si>
    <t>Q9. “A Olga Ri é a primeira marca que vem à mente quando penso em comprar opções quentes.” O quanto o senhor(a) concorda com essa afirmação?</t>
  </si>
  <si>
    <t>Q10. Considerando as opções de ingredientes quentes disponíveis para montar os bowls no Olga RI. Qual é o seu grau de satisfação com esses ingredientes?</t>
  </si>
  <si>
    <t>Q11. Quando você considera experimentar pratos quentes na Olga Ri, quais aspectos são mais importantes para a sua decisão? Selecione até 3 opções.</t>
  </si>
  <si>
    <t>Q12. Qual a probabilidade de mudanças realizadas no cardápio de opções quentes influenciarem a sua decisão de compra dos bowls quentes?</t>
  </si>
  <si>
    <t>Q13. Que tipo de ingredientes quentes você mais gostaria de ver nos bowls quentes da Olga RI no futuro?</t>
  </si>
  <si>
    <t>Q14. Levando em consideração que os ingredientes escolhidos por você estivessem disponíveis na próxima virada de cardápio da Olga RI, qual é a chance de você comprar esse bowl quente?</t>
  </si>
  <si>
    <t>Q15. Com a inclusão das novas opções de bowls quentes, qual é a probabilidade do(a) senhor(a) optar por essas opções da Olga RI em dias mais frios?</t>
  </si>
  <si>
    <t>GÊNERO</t>
  </si>
  <si>
    <t>FAIXA ETÁRIA</t>
  </si>
  <si>
    <t>CLASSE SOCIAL</t>
  </si>
  <si>
    <t>Top2Box</t>
  </si>
  <si>
    <t>Top2: Variedade de opções quentes no cardápio e Ambiente e atmosfera do restaurante</t>
  </si>
  <si>
    <t>Top2: Salmão grelhado com molho teriyaki e Filé mignon</t>
  </si>
  <si>
    <t>Bottom2Box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</si>
</sst>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\ h:mm:ss"/>
  </numFmts>
  <fonts count="9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  <font>
      <sz val="12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u/>
      <sz val="10"/>
      <color rgb="FF000000"/>
      <name val="Arial"/>
      <family val="2"/>
      <scheme val="minor"/>
    </font>
    <font>
      <sz val="10"/>
      <color rgb="FFFF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9CC4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3" fillId="2" borderId="0" xfId="0" applyNumberFormat="1" applyFont="1" applyFill="1"/>
    <xf numFmtId="0" fontId="3" fillId="2" borderId="0" xfId="0" applyFont="1" applyFill="1"/>
    <xf numFmtId="164" fontId="3" fillId="0" borderId="0" xfId="0" applyNumberFormat="1" applyFont="1"/>
    <xf numFmtId="0" fontId="3" fillId="0" borderId="0" xfId="0" applyFont="1"/>
    <xf numFmtId="0" fontId="1" fillId="0" borderId="0" xfId="0" applyFont="1" applyAlignment="1">
      <alignment wrapText="1"/>
    </xf>
    <xf numFmtId="0" fontId="4" fillId="0" borderId="0" xfId="0" applyFont="1" applyAlignment="1">
      <alignment horizontal="justify" vertical="center"/>
    </xf>
    <xf numFmtId="0" fontId="2" fillId="0" borderId="0" xfId="0" applyFont="1"/>
    <xf numFmtId="9" fontId="0" fillId="0" borderId="0" xfId="1" applyFont="1"/>
    <xf numFmtId="9" fontId="0" fillId="0" borderId="0" xfId="0" applyNumberFormat="1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left"/>
    </xf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0" fillId="3" borderId="4" xfId="0" applyFill="1" applyBorder="1"/>
    <xf numFmtId="0" fontId="0" fillId="3" borderId="5" xfId="0" applyFill="1" applyBorder="1"/>
    <xf numFmtId="0" fontId="0" fillId="3" borderId="7" xfId="0" applyFill="1" applyBorder="1"/>
    <xf numFmtId="0" fontId="0" fillId="3" borderId="8" xfId="0" applyFill="1" applyBorder="1"/>
    <xf numFmtId="0" fontId="4" fillId="3" borderId="9" xfId="0" applyFont="1" applyFill="1" applyBorder="1"/>
    <xf numFmtId="0" fontId="0" fillId="3" borderId="10" xfId="0" applyFill="1" applyBorder="1"/>
    <xf numFmtId="0" fontId="4" fillId="3" borderId="6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 applyAlignment="1">
      <alignment horizontal="center"/>
    </xf>
    <xf numFmtId="0" fontId="4" fillId="4" borderId="2" xfId="0" applyFont="1" applyFill="1" applyBorder="1"/>
    <xf numFmtId="0" fontId="0" fillId="4" borderId="2" xfId="0" applyFill="1" applyBorder="1" applyAlignment="1">
      <alignment horizontal="center"/>
    </xf>
    <xf numFmtId="0" fontId="4" fillId="4" borderId="3" xfId="0" applyFont="1" applyFill="1" applyBorder="1"/>
    <xf numFmtId="0" fontId="0" fillId="4" borderId="3" xfId="0" applyFill="1" applyBorder="1" applyAlignment="1">
      <alignment horizontal="center"/>
    </xf>
    <xf numFmtId="0" fontId="4" fillId="3" borderId="4" xfId="0" applyFont="1" applyFill="1" applyBorder="1" applyAlignment="1">
      <alignment horizontal="justify" vertical="center"/>
    </xf>
    <xf numFmtId="0" fontId="0" fillId="4" borderId="4" xfId="0" applyFill="1" applyBorder="1"/>
    <xf numFmtId="0" fontId="0" fillId="0" borderId="4" xfId="0" applyBorder="1"/>
    <xf numFmtId="0" fontId="0" fillId="0" borderId="7" xfId="0" applyBorder="1"/>
    <xf numFmtId="0" fontId="0" fillId="4" borderId="9" xfId="0" applyFill="1" applyBorder="1"/>
    <xf numFmtId="0" fontId="0" fillId="4" borderId="7" xfId="0" applyFill="1" applyBorder="1"/>
    <xf numFmtId="0" fontId="0" fillId="3" borderId="2" xfId="0" applyFill="1" applyBorder="1"/>
    <xf numFmtId="0" fontId="0" fillId="3" borderId="11" xfId="0" applyFill="1" applyBorder="1"/>
    <xf numFmtId="0" fontId="0" fillId="3" borderId="12" xfId="0" applyFill="1" applyBorder="1"/>
    <xf numFmtId="0" fontId="4" fillId="3" borderId="13" xfId="0" applyFont="1" applyFill="1" applyBorder="1"/>
    <xf numFmtId="0" fontId="2" fillId="4" borderId="1" xfId="0" applyFont="1" applyFill="1" applyBorder="1" applyAlignment="1">
      <alignment horizontal="center"/>
    </xf>
    <xf numFmtId="0" fontId="2" fillId="4" borderId="9" xfId="0" applyFont="1" applyFill="1" applyBorder="1"/>
    <xf numFmtId="0" fontId="2" fillId="0" borderId="4" xfId="0" applyFont="1" applyBorder="1"/>
    <xf numFmtId="0" fontId="2" fillId="4" borderId="4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7" xfId="0" applyFont="1" applyFill="1" applyBorder="1"/>
    <xf numFmtId="0" fontId="2" fillId="3" borderId="5" xfId="0" applyFont="1" applyFill="1" applyBorder="1"/>
    <xf numFmtId="0" fontId="2" fillId="3" borderId="5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2" fillId="4" borderId="3" xfId="0" applyFont="1" applyFill="1" applyBorder="1" applyAlignment="1">
      <alignment horizontal="center"/>
    </xf>
    <xf numFmtId="0" fontId="0" fillId="3" borderId="1" xfId="0" applyFill="1" applyBorder="1"/>
    <xf numFmtId="0" fontId="0" fillId="3" borderId="6" xfId="0" applyFill="1" applyBorder="1"/>
    <xf numFmtId="0" fontId="4" fillId="3" borderId="1" xfId="0" applyFont="1" applyFill="1" applyBorder="1" applyAlignment="1">
      <alignment horizontal="justify" vertical="center"/>
    </xf>
    <xf numFmtId="0" fontId="0" fillId="4" borderId="1" xfId="0" applyFill="1" applyBorder="1"/>
    <xf numFmtId="0" fontId="2" fillId="0" borderId="9" xfId="0" applyFont="1" applyBorder="1"/>
    <xf numFmtId="9" fontId="0" fillId="4" borderId="1" xfId="1" applyFont="1" applyFill="1" applyBorder="1" applyAlignment="1">
      <alignment horizontal="center"/>
    </xf>
    <xf numFmtId="9" fontId="0" fillId="4" borderId="4" xfId="1" applyFont="1" applyFill="1" applyBorder="1"/>
    <xf numFmtId="9" fontId="0" fillId="4" borderId="3" xfId="1" applyFont="1" applyFill="1" applyBorder="1" applyAlignment="1">
      <alignment horizontal="center"/>
    </xf>
    <xf numFmtId="9" fontId="0" fillId="0" borderId="3" xfId="1" applyFont="1" applyFill="1" applyBorder="1" applyAlignment="1">
      <alignment horizontal="center"/>
    </xf>
    <xf numFmtId="9" fontId="0" fillId="0" borderId="1" xfId="1" applyFont="1" applyFill="1" applyBorder="1" applyAlignment="1">
      <alignment horizontal="center"/>
    </xf>
    <xf numFmtId="9" fontId="0" fillId="0" borderId="7" xfId="1" applyFont="1" applyFill="1" applyBorder="1"/>
    <xf numFmtId="9" fontId="0" fillId="0" borderId="4" xfId="1" applyFont="1" applyFill="1" applyBorder="1"/>
    <xf numFmtId="9" fontId="0" fillId="4" borderId="9" xfId="1" applyFont="1" applyFill="1" applyBorder="1"/>
    <xf numFmtId="9" fontId="0" fillId="4" borderId="7" xfId="1" applyFont="1" applyFill="1" applyBorder="1"/>
    <xf numFmtId="0" fontId="4" fillId="5" borderId="4" xfId="0" applyFont="1" applyFill="1" applyBorder="1" applyAlignment="1">
      <alignment vertical="center"/>
    </xf>
    <xf numFmtId="0" fontId="0" fillId="5" borderId="5" xfId="0" applyFill="1" applyBorder="1"/>
    <xf numFmtId="0" fontId="0" fillId="5" borderId="6" xfId="0" applyFill="1" applyBorder="1"/>
    <xf numFmtId="0" fontId="0" fillId="5" borderId="4" xfId="0" applyFill="1" applyBorder="1"/>
    <xf numFmtId="0" fontId="8" fillId="5" borderId="0" xfId="0" applyFont="1" applyFill="1"/>
    <xf numFmtId="0" fontId="2" fillId="4" borderId="1" xfId="0" applyFont="1" applyFill="1" applyBorder="1"/>
    <xf numFmtId="0" fontId="2" fillId="0" borderId="1" xfId="0" applyFont="1" applyBorder="1"/>
    <xf numFmtId="0" fontId="2" fillId="3" borderId="6" xfId="0" applyFont="1" applyFill="1" applyBorder="1"/>
    <xf numFmtId="9" fontId="2" fillId="4" borderId="3" xfId="1" applyFont="1" applyFill="1" applyBorder="1" applyAlignment="1">
      <alignment horizontal="center"/>
    </xf>
    <xf numFmtId="9" fontId="2" fillId="0" borderId="3" xfId="1" applyFont="1" applyFill="1" applyBorder="1" applyAlignment="1">
      <alignment horizontal="center"/>
    </xf>
    <xf numFmtId="0" fontId="4" fillId="0" borderId="0" xfId="0" applyFont="1"/>
    <xf numFmtId="0" fontId="4" fillId="3" borderId="11" xfId="0" applyFont="1" applyFill="1" applyBorder="1"/>
    <xf numFmtId="9" fontId="4" fillId="0" borderId="0" xfId="0" applyNumberFormat="1" applyFont="1"/>
    <xf numFmtId="0" fontId="7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3" borderId="6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3" borderId="9" xfId="0" applyFont="1" applyFill="1" applyBorder="1" applyAlignment="1">
      <alignment horizontal="left"/>
    </xf>
    <xf numFmtId="0" fontId="5" fillId="3" borderId="13" xfId="0" applyFont="1" applyFill="1" applyBorder="1" applyAlignment="1">
      <alignment horizontal="left"/>
    </xf>
    <xf numFmtId="0" fontId="5" fillId="3" borderId="14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5" fillId="3" borderId="4" xfId="0" applyFont="1" applyFill="1" applyBorder="1" applyAlignment="1">
      <alignment horizontal="left"/>
    </xf>
    <xf numFmtId="9" fontId="4" fillId="0" borderId="0" xfId="0" applyNumberFormat="1" applyFont="1" applyAlignment="1">
      <alignment vertical="center"/>
    </xf>
    <xf numFmtId="0" fontId="4" fillId="0" borderId="14" xfId="0" applyFont="1" applyBorder="1" applyAlignment="1">
      <alignment horizontal="left" wrapText="1"/>
    </xf>
    <xf numFmtId="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</cellXfs>
  <cellStyles count="2">
    <cellStyle name="Normal" xfId="0" builtinId="0"/>
    <cellStyle name="Per cent" xfId="1" builtinId="5"/>
  </cellStyles>
  <dxfs count="7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m/d/yyyy\ 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numFmt numFmtId="164" formatCode="m/d/yyyy\ h:mm:ss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</dxf>
  </dxfs>
  <tableStyles count="0" defaultTableStyle="TableStyleMedium2" defaultPivotStyle="PivotStyleLight16"/>
  <colors>
    <mruColors>
      <color rgb="FFE9CC4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4609CB-4B18-4047-BF6B-E3F3BCE008CB}" name="Tabela2" displayName="Tabela2" ref="A1:AJ101" totalsRowShown="0" headerRowDxfId="74" dataDxfId="73">
  <autoFilter ref="A1:AJ101" xr:uid="{604609CB-4B18-4047-BF6B-E3F3BCE008CB}"/>
  <tableColumns count="36">
    <tableColumn id="1" xr3:uid="{68FCFFD2-401D-4C9C-935D-2F7C3857A224}" name="Carimbo de data/hora" dataDxfId="72"/>
    <tableColumn id="2" xr3:uid="{40969FC7-CD82-49EA-8D1C-04385967B274}" name="Em qual das faixas etárias abaixo você se encontra?" dataDxfId="71"/>
    <tableColumn id="3" xr3:uid="{6B260C8E-978E-4283-9853-5FD5612BD215}" name="Você mora na região metropolitana de São Paulo?" dataDxfId="70"/>
    <tableColumn id="4" xr3:uid="{003B5180-367F-4110-A4FD-EFB9B7C3157A}" name="Você costuma frequentar a região da Avenida Paulista, em São Paulo?" dataDxfId="69"/>
    <tableColumn id="5" xr3:uid="{FF16D348-BDFC-4E4D-969E-DCF3A65C4C6F}" name="Você consumiu os produtos da Olga RI, nos últimos 6 meses?" dataDxfId="68"/>
    <tableColumn id="6" xr3:uid="{C18D302D-05B2-47BA-A2FB-F5103F57CA45}" name="Com que frequência você costuma consumir saladas na Olga Ri?" dataDxfId="67"/>
    <tableColumn id="7" xr3:uid="{B36CC227-513A-492C-B0FE-F2950209532D}" name="Como você avalia o seu grau de importância do clima na escolha das refeições que você costuma adquirir?" dataDxfId="66"/>
    <tableColumn id="8" xr3:uid="{9AC811F0-770F-47EC-BFC4-2668234DE919}" name="Como você avalia o seu grau interesse em comprar bowls* quentes?" dataDxfId="65"/>
    <tableColumn id="9" xr3:uid="{258311C6-D660-4905-83A7-CF0FCEC49BBE}" name="Como você avalia o seu grau de conhecimento sobre as opções de pratos quentes oferecidos pela Olga RI?" dataDxfId="64"/>
    <tableColumn id="10" xr3:uid="{7C74E6A6-5F78-426C-AA38-AF2BD0C13EA3}" name="&quot;A Olga Ri é a primeira marca que vem à mente quando penso em comprar opções quentes,&quot;_x000a__x000a_O quanto você concorda com essa afirmação?" dataDxfId="63"/>
    <tableColumn id="11" xr3:uid="{D4172487-A78E-4DF6-B990-88E8F390AAE1}" name="Considerando as opções de ingredientes quentes disponíveis para montar os bowls no Olga RI: _x000a__x000a_Churrasco de Legumes com Cogumelos, Churrasco de Legumes com Frango, Gratinado e Salmão, Missô Bowl com Frango Crispy, Missô Bowl com Tofu._x000a__x000a_Qual é o seu grau de" dataDxfId="62"/>
    <tableColumn id="12" xr3:uid="{24F199AC-A2C9-4362-BC08-49D6E0D56AA3}" name="Quando você considera experimentar pratos quentes na Olga Ri, quais aspectos são mais importantes para a sua decisão?" dataDxfId="61"/>
    <tableColumn id="13" xr3:uid="{CBA0B21D-3674-4C45-A898-BE2885C8BC56}" name="Qual a probabilidade de mudanças realizadas no cardápio de opções quentes influenciarem a sua decisão de compra dos bowls quentes?" dataDxfId="60"/>
    <tableColumn id="14" xr3:uid="{14A3F16D-38A8-4DB2-A280-742351570B5A}" name="Que tipo de ingredientes quentes você mais gostaria de ver nos bowls quentes da Olga RI no futuro?" dataDxfId="59"/>
    <tableColumn id="15" xr3:uid="{B3BE8F6E-6879-4AB6-AE50-C28FA21558D3}" name="Levando em consideração que os ingredientes escolhidos por você estivessem disponíveis na próxima virada de cardápio da Olga RI, qual é a chance de você comprar esse bowl quente? " dataDxfId="58"/>
    <tableColumn id="16" xr3:uid="{21DAA2A7-E10F-4008-BF5C-883FD51A1301}" name="Com a inclusão das novas opções de bowls quentes, qual é a probabilidade de você optar por essas opções da Olga RI em dias mais frios? " dataDxfId="57"/>
    <tableColumn id="17" xr3:uid="{5E780A85-C690-46B8-8E67-790E563252E4}" name="Com qual gênero você se identifica?" dataDxfId="56"/>
    <tableColumn id="18" xr3:uid="{A094E5D6-6739-469A-B49D-AEB854E185A5}" name="Dada a seguinte lista de itens, você poderia informar  a quantidade de cada um que há em sua casa? [Banheiros]" dataDxfId="55"/>
    <tableColumn id="19" xr3:uid="{A9B8878F-8CF1-4307-B19F-36D3D272A5E7}" name="Dada a seguinte lista de itens, você poderia informar  a quantidade de cada um que há em sua casa? [Trabalhadores domésticos]" dataDxfId="54"/>
    <tableColumn id="20" xr3:uid="{9EA7AEC0-40C3-42FA-9DC2-567642A169E6}" name="Dada a seguinte lista de itens, você poderia informar  a quantidade de cada um que há em sua casa? [Automóveis]" dataDxfId="53"/>
    <tableColumn id="21" xr3:uid="{F03A922B-EB3F-4121-8825-3E46028020D4}" name="Dada a seguinte lista de itens, você poderia informar  a quantidade de cada um que há em sua casa? [Microcomputador]" dataDxfId="52"/>
    <tableColumn id="22" xr3:uid="{02379965-FC9E-477D-930F-8C3F4869F3E9}" name="Dada a seguinte lista de itens, você poderia informar  a quantidade de cada um que há em sua casa? [Lava louça]" dataDxfId="51"/>
    <tableColumn id="23" xr3:uid="{8059D0BE-BE4F-4F2D-938E-F5BB9667225C}" name="Dada a seguinte lista de itens, você poderia informar  a quantidade de cada um que há em sua casa? [Geladeira]" dataDxfId="50"/>
    <tableColumn id="24" xr3:uid="{A59CFEF4-E2A1-41EE-BB79-4117FD476444}" name="Dada a seguinte lista de itens, você poderia informar  a quantidade de cada um que há em sua casa? [Freezer]" dataDxfId="49"/>
    <tableColumn id="25" xr3:uid="{8F31F46F-28F5-4AF0-AC12-9090B01EF003}" name="Dada a seguinte lista de itens, você poderia informar  a quantidade de cada um que há em sua casa? [Lava-roupa]" dataDxfId="48"/>
    <tableColumn id="26" xr3:uid="{EEDFAD6C-850D-4B5B-9715-C2D39241E277}" name="Dada a seguinte lista de itens, você poderia informar  a quantidade de cada um que há em sua casa? [DVD]" dataDxfId="47"/>
    <tableColumn id="27" xr3:uid="{6C919AC7-B316-4083-BA9C-E163F00D5208}" name="Dada a seguinte lista de itens, você poderia informar  a quantidade de cada um que há em sua casa? [Micro-ondas]" dataDxfId="46"/>
    <tableColumn id="28" xr3:uid="{E3CACB99-54CA-44E4-9344-9094D3459A8B}" name="Dada a seguinte lista de itens, você poderia informar  a quantidade de cada um que há em sua casa? [Motocicleta]" dataDxfId="45"/>
    <tableColumn id="29" xr3:uid="{02C6CB7E-C289-49B6-BFB0-F5E6E0DA6CF8}" name="Dada a seguinte lista de itens, você poderia informar  a quantidade de cada um que há em sua casa? [Secadora de roupa]" dataDxfId="44"/>
    <tableColumn id="30" xr3:uid="{5619BF3A-196F-4145-A246-EAB66C9A60DC}" name="Poderia me informar o grau de instrução do chefe da família? Considerando o chefe da família como a pessoa de referência para a sustentação do domicílio." dataDxfId="43"/>
    <tableColumn id="31" xr3:uid="{D0F0867B-8803-40B5-8A80-6BB9C136D8C0}" name="Sua casa tem acesso aos seguintes serviços públicos? [Água encanada]" dataDxfId="42"/>
    <tableColumn id="32" xr3:uid="{5DFBB0CB-458D-4E89-BABE-B0EECD4AF3E7}" name="Sua casa tem acesso aos seguintes serviços públicos? [Rua pavimentada]" dataDxfId="41"/>
    <tableColumn id="33" xr3:uid="{6E445F6E-267E-483C-9D1E-482242F87008}" name="Qual o seu nome completo?" dataDxfId="40"/>
    <tableColumn id="34" xr3:uid="{41148372-392B-4380-B1E3-04E72F615A4E}" name="Qual o seu número de telefone?" dataDxfId="39"/>
    <tableColumn id="35" xr3:uid="{1F9495AF-E1DF-4619-BDAF-5120468B5405}" name="Qual o seu e-mail?" dataDxfId="38"/>
    <tableColumn id="36" xr3:uid="{24891BC9-3D81-4146-A1E7-8983B4294366}" name="Classe Social" dataDxfId="37"/>
  </tableColumns>
  <tableStyleInfo name="TableStyleLight1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C095597-B7D3-4527-8E8D-CAE6D3AA3D53}" name="Tabela24" displayName="Tabela24" ref="A1:AI101" totalsRowShown="0" headerRowDxfId="36" dataDxfId="35">
  <autoFilter ref="A1:AI101" xr:uid="{1C095597-B7D3-4527-8E8D-CAE6D3AA3D53}"/>
  <tableColumns count="35">
    <tableColumn id="1" xr3:uid="{2DCE0EA0-44D0-4E1C-917B-53B3725A9CB1}" name="Carimbo de data/hora" dataDxfId="34"/>
    <tableColumn id="2" xr3:uid="{AD548E53-1B41-43FF-8367-1B6A5F508754}" name="Em qual das faixas etárias abaixo você se encontra?" dataDxfId="33"/>
    <tableColumn id="3" xr3:uid="{202726A7-7F81-4A73-B503-206E4242C7EC}" name="Você mora na região metropolitana de São Paulo?" dataDxfId="32"/>
    <tableColumn id="4" xr3:uid="{F5109675-6C66-4A1F-8F44-300CC5F5D2C3}" name="Você costuma frequentar a região da Avenida Paulista, em São Paulo?" dataDxfId="31"/>
    <tableColumn id="5" xr3:uid="{8FFB7DC1-E429-47DC-A1C1-2AC5AFB51DB8}" name="Você consumiu os produtos da Olga RI, nos últimos 6 meses?" dataDxfId="30"/>
    <tableColumn id="6" xr3:uid="{AA9CD01D-0127-41D2-9C6E-85DC85369B9C}" name="Com que frequência você costuma consumir saladas na Olga Ri?" dataDxfId="29"/>
    <tableColumn id="7" xr3:uid="{6DF12115-6085-4502-A11D-ABB1A89BAEAE}" name="Como você avalia o seu grau de importância do clima na escolha das refeições que você costuma adquirir?" dataDxfId="28"/>
    <tableColumn id="8" xr3:uid="{B395D27F-2C90-40A2-9959-70858DAD92FE}" name="Como você avalia o seu grau interesse em comprar bowls* quentes?" dataDxfId="27"/>
    <tableColumn id="9" xr3:uid="{CB9B5882-5FD4-49CF-8418-547C83FD648E}" name="Como você avalia o seu grau de conhecimento sobre as opções de pratos quentes oferecidos pela Olga RI?" dataDxfId="26"/>
    <tableColumn id="10" xr3:uid="{FAF8B727-8B31-4AD7-A959-2521DF12CED5}" name="&quot;A Olga Ri é a primeira marca que vem à mente quando penso em comprar opções quentes,&quot;_x000a__x000a_O quanto você concorda com essa afirmação?" dataDxfId="25"/>
    <tableColumn id="11" xr3:uid="{B3D6E2B4-FBAB-42AD-B391-DAFA72266451}" name="Considerando as opções de ingredientes quentes disponíveis para montar os bowls no Olga RI: _x000a__x000a_Churrasco de Legumes com Cogumelos, Churrasco de Legumes com Frango, Gratinado e Salmão, Missô Bowl com Frango Crispy, Missô Bowl com Tofu._x000a__x000a_Qual é o seu grau de" dataDxfId="24"/>
    <tableColumn id="12" xr3:uid="{B6DD8CB6-BC39-4FC4-A1E6-A84F88F87E0E}" name="Quando você considera experimentar pratos quentes na Olga Ri, quais aspectos são mais importantes para a sua decisão?" dataDxfId="23"/>
    <tableColumn id="13" xr3:uid="{C127798A-33B1-4E3F-8CF7-20510079D4C4}" name="Qual a probabilidade de mudanças realizadas no cardápio de opções quentes influenciarem a sua decisão de compra dos bowls quentes?" dataDxfId="22"/>
    <tableColumn id="14" xr3:uid="{1D0402F7-9100-4924-82C7-B2A527FB740A}" name="Que tipo de ingredientes quentes você mais gostaria de ver nos bowls quentes da Olga RI no futuro?" dataDxfId="21"/>
    <tableColumn id="15" xr3:uid="{5957146F-36D7-4459-AABD-64642F92C4D9}" name="Levando em consideração que os ingredientes escolhidos por você estivessem disponíveis na próxima virada de cardápio da Olga RI, qual é a chance de você comprar esse bowl quente? " dataDxfId="20"/>
    <tableColumn id="16" xr3:uid="{5EA6195E-2CF2-4EF9-8769-C633A3F26712}" name="Com a inclusão das novas opções de bowls quentes, qual é a probabilidade de você optar por essas opções da Olga RI em dias mais frios? " dataDxfId="19"/>
    <tableColumn id="17" xr3:uid="{F8E62F37-5BD6-4933-95E0-A1FE8D38C089}" name="Com qual gênero você se identifica?" dataDxfId="18"/>
    <tableColumn id="18" xr3:uid="{46694410-61F2-45EA-9ED4-FD18D49F2E8F}" name="Dada a seguinte lista de itens, você poderia informar  a quantidade de cada um que há em sua casa? [Banheiros]" dataDxfId="17"/>
    <tableColumn id="19" xr3:uid="{D4EDA394-BFD4-4714-BEE8-3D068555B33D}" name="Dada a seguinte lista de itens, você poderia informar  a quantidade de cada um que há em sua casa? [Trabalhadores domésticos]" dataDxfId="16"/>
    <tableColumn id="20" xr3:uid="{F3F15110-FE80-4726-BC03-6361553249A9}" name="Dada a seguinte lista de itens, você poderia informar  a quantidade de cada um que há em sua casa? [Automóveis]" dataDxfId="15"/>
    <tableColumn id="21" xr3:uid="{AFE9E430-07FB-4FC6-A054-B2D90072EA6A}" name="Dada a seguinte lista de itens, você poderia informar  a quantidade de cada um que há em sua casa? [Microcomputador]" dataDxfId="14"/>
    <tableColumn id="22" xr3:uid="{C2970FDE-ED99-442D-BE4D-D5BDB65FC2BB}" name="Dada a seguinte lista de itens, você poderia informar  a quantidade de cada um que há em sua casa? [Lava louça]" dataDxfId="13"/>
    <tableColumn id="23" xr3:uid="{52571CC7-A683-46C3-966F-E7D023D73A32}" name="Dada a seguinte lista de itens, você poderia informar  a quantidade de cada um que há em sua casa? [Geladeira]" dataDxfId="12"/>
    <tableColumn id="24" xr3:uid="{13B33F19-016B-4C68-B7B0-2221A9EDEAB3}" name="Dada a seguinte lista de itens, você poderia informar  a quantidade de cada um que há em sua casa? [Freezer]" dataDxfId="11"/>
    <tableColumn id="25" xr3:uid="{8E44A3CF-B846-47EA-BE34-EFCF220E7F1E}" name="Dada a seguinte lista de itens, você poderia informar  a quantidade de cada um que há em sua casa? [Lava-roupa]" dataDxfId="10"/>
    <tableColumn id="26" xr3:uid="{C4780068-A5CB-4EA9-8F36-258F2FAC9C39}" name="Dada a seguinte lista de itens, você poderia informar  a quantidade de cada um que há em sua casa? [DVD]" dataDxfId="9"/>
    <tableColumn id="27" xr3:uid="{6BAF2DC8-EAA7-4613-AE5C-CFDA762A5786}" name="Dada a seguinte lista de itens, você poderia informar  a quantidade de cada um que há em sua casa? [Micro-ondas]" dataDxfId="8"/>
    <tableColumn id="28" xr3:uid="{7D33BE41-0042-4778-9AAC-52489EB7113E}" name="Dada a seguinte lista de itens, você poderia informar  a quantidade de cada um que há em sua casa? [Motocicleta]" dataDxfId="7"/>
    <tableColumn id="29" xr3:uid="{5FCB7BF0-57B1-40D6-AC4A-5C15910C1CB2}" name="Dada a seguinte lista de itens, você poderia informar  a quantidade de cada um que há em sua casa? [Secadora de roupa]" dataDxfId="6"/>
    <tableColumn id="30" xr3:uid="{E7B930B8-19B9-4996-A78C-60AEF5DCE99D}" name="Poderia me informar o grau de instrução do chefe da família? Considerando o chefe da família como a pessoa de referência para a sustentação do domicílio." dataDxfId="5"/>
    <tableColumn id="31" xr3:uid="{3657BF95-F66A-43C9-9E63-D32DDCD1CB37}" name="Sua casa tem acesso aos seguintes serviços públicos? [Água encanada]" dataDxfId="4"/>
    <tableColumn id="32" xr3:uid="{060463F0-15F5-4107-A03C-F5BDE189472C}" name="Sua casa tem acesso aos seguintes serviços públicos? [Rua pavimentada]" dataDxfId="3"/>
    <tableColumn id="33" xr3:uid="{3D494E6F-E1F3-4102-A4D1-F7059A30FA80}" name="Qual o seu nome completo?" dataDxfId="2"/>
    <tableColumn id="34" xr3:uid="{FB1760C1-25C6-4AEF-940A-A2F2E82A8D06}" name="Qual o seu número de telefone?" dataDxfId="1"/>
    <tableColumn id="35" xr3:uid="{588CDA39-185D-445D-A66A-D8D5FC5E8C7B}" name="Qual o seu e-mail?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maralviviane0202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J256"/>
  <sheetViews>
    <sheetView tabSelected="1" topLeftCell="AE1" zoomScale="73" zoomScaleNormal="148" workbookViewId="0">
      <pane ySplit="1" topLeftCell="AI7" activePane="bottomLeft" state="frozen"/>
      <selection pane="bottomLeft" activeCell="AI7" sqref="AI7"/>
    </sheetView>
  </sheetViews>
  <sheetFormatPr defaultColWidth="12.5703125" defaultRowHeight="15.75" customHeight="1"/>
  <cols>
    <col min="1" max="1" width="30.140625" customWidth="1"/>
    <col min="2" max="2" width="45.85546875" customWidth="1"/>
    <col min="3" max="3" width="44.28515625" customWidth="1"/>
    <col min="4" max="4" width="61" customWidth="1"/>
    <col min="5" max="5" width="53.5703125" customWidth="1"/>
    <col min="6" max="6" width="56.42578125" customWidth="1"/>
    <col min="7" max="7" width="66.7109375" customWidth="1"/>
    <col min="8" max="8" width="59.42578125" customWidth="1"/>
    <col min="9" max="9" width="66.7109375" customWidth="1"/>
    <col min="10" max="11" width="18.85546875" customWidth="1"/>
    <col min="12" max="16" width="66.7109375" customWidth="1"/>
    <col min="17" max="17" width="32.7109375" customWidth="1"/>
    <col min="18" max="30" width="66.7109375" customWidth="1"/>
    <col min="31" max="31" width="62.42578125" customWidth="1"/>
    <col min="32" max="32" width="63.85546875" customWidth="1"/>
    <col min="33" max="33" width="25.85546875" customWidth="1"/>
    <col min="34" max="34" width="29.42578125" customWidth="1"/>
    <col min="35" max="42" width="18.85546875" customWidth="1"/>
  </cols>
  <sheetData>
    <row r="1" spans="1:36" ht="15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7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</row>
    <row r="2" spans="1:36" ht="15.75" customHeight="1">
      <c r="A2" s="2">
        <v>45453.593331562501</v>
      </c>
      <c r="B2" s="1" t="s">
        <v>36</v>
      </c>
      <c r="C2" s="1" t="s">
        <v>37</v>
      </c>
      <c r="D2" s="1" t="s">
        <v>37</v>
      </c>
      <c r="E2" s="1" t="s">
        <v>37</v>
      </c>
      <c r="F2" s="1" t="s">
        <v>38</v>
      </c>
      <c r="G2" s="1">
        <v>5</v>
      </c>
      <c r="H2" s="1">
        <v>2</v>
      </c>
      <c r="I2" s="1">
        <v>5</v>
      </c>
      <c r="J2" s="1">
        <v>1</v>
      </c>
      <c r="K2" s="1">
        <v>5</v>
      </c>
      <c r="L2" s="1" t="s">
        <v>39</v>
      </c>
      <c r="M2" s="1">
        <v>3</v>
      </c>
      <c r="N2" s="1" t="s">
        <v>40</v>
      </c>
      <c r="O2" s="1">
        <v>5</v>
      </c>
      <c r="P2" s="1">
        <v>5</v>
      </c>
      <c r="Q2" s="1" t="s">
        <v>41</v>
      </c>
      <c r="R2" s="1" t="s">
        <v>42</v>
      </c>
      <c r="S2" s="1" t="s">
        <v>43</v>
      </c>
      <c r="T2" s="1" t="s">
        <v>43</v>
      </c>
      <c r="U2" s="1" t="s">
        <v>42</v>
      </c>
      <c r="V2" s="1" t="s">
        <v>43</v>
      </c>
      <c r="W2" s="1" t="s">
        <v>44</v>
      </c>
      <c r="X2" s="1" t="s">
        <v>44</v>
      </c>
      <c r="Y2" s="1" t="s">
        <v>44</v>
      </c>
      <c r="Z2" s="1" t="s">
        <v>43</v>
      </c>
      <c r="AA2" s="1" t="s">
        <v>44</v>
      </c>
      <c r="AB2" s="1" t="s">
        <v>43</v>
      </c>
      <c r="AC2" s="1" t="s">
        <v>44</v>
      </c>
      <c r="AD2" s="1" t="s">
        <v>45</v>
      </c>
      <c r="AE2" s="1" t="s">
        <v>37</v>
      </c>
      <c r="AF2" s="1" t="s">
        <v>37</v>
      </c>
      <c r="AG2" s="1" t="s">
        <v>46</v>
      </c>
      <c r="AH2" s="1">
        <v>11985728282</v>
      </c>
      <c r="AI2" s="1" t="s">
        <v>47</v>
      </c>
      <c r="AJ2" t="s">
        <v>48</v>
      </c>
    </row>
    <row r="3" spans="1:36" ht="15.75" customHeight="1">
      <c r="A3" s="2">
        <v>45457.539207037036</v>
      </c>
      <c r="B3" s="1" t="s">
        <v>36</v>
      </c>
      <c r="C3" s="1" t="s">
        <v>37</v>
      </c>
      <c r="D3" s="1" t="s">
        <v>37</v>
      </c>
      <c r="E3" s="1" t="s">
        <v>37</v>
      </c>
      <c r="F3" s="1" t="s">
        <v>49</v>
      </c>
      <c r="G3" s="1">
        <v>2</v>
      </c>
      <c r="H3" s="1">
        <v>2</v>
      </c>
      <c r="I3" s="1">
        <v>3</v>
      </c>
      <c r="J3" s="1">
        <v>1</v>
      </c>
      <c r="K3" s="1">
        <v>5</v>
      </c>
      <c r="L3" s="1" t="s">
        <v>50</v>
      </c>
      <c r="M3" s="1">
        <v>2</v>
      </c>
      <c r="N3" s="1" t="s">
        <v>51</v>
      </c>
      <c r="O3" s="1">
        <v>4</v>
      </c>
      <c r="P3" s="1">
        <v>3</v>
      </c>
      <c r="Q3" s="1" t="s">
        <v>41</v>
      </c>
      <c r="R3" s="1" t="s">
        <v>52</v>
      </c>
      <c r="S3" s="1" t="s">
        <v>42</v>
      </c>
      <c r="T3" s="1" t="s">
        <v>44</v>
      </c>
      <c r="U3" s="1" t="s">
        <v>53</v>
      </c>
      <c r="V3" s="1" t="s">
        <v>43</v>
      </c>
      <c r="W3" s="1" t="s">
        <v>53</v>
      </c>
      <c r="X3" s="1" t="s">
        <v>53</v>
      </c>
      <c r="Y3" s="1" t="s">
        <v>44</v>
      </c>
      <c r="Z3" s="1" t="s">
        <v>43</v>
      </c>
      <c r="AA3" s="1" t="s">
        <v>44</v>
      </c>
      <c r="AB3" s="1" t="s">
        <v>43</v>
      </c>
      <c r="AC3" s="1" t="s">
        <v>44</v>
      </c>
      <c r="AD3" s="1" t="s">
        <v>45</v>
      </c>
      <c r="AE3" s="1" t="s">
        <v>37</v>
      </c>
      <c r="AF3" s="1" t="s">
        <v>37</v>
      </c>
      <c r="AG3" s="1" t="s">
        <v>54</v>
      </c>
      <c r="AH3" s="1">
        <v>11971221320</v>
      </c>
      <c r="AI3" s="1" t="s">
        <v>55</v>
      </c>
      <c r="AJ3" s="9" t="s">
        <v>56</v>
      </c>
    </row>
    <row r="4" spans="1:36" ht="15.75" customHeight="1">
      <c r="A4" s="2">
        <v>45454.88219984954</v>
      </c>
      <c r="B4" s="1" t="s">
        <v>36</v>
      </c>
      <c r="C4" s="1" t="s">
        <v>37</v>
      </c>
      <c r="D4" s="1" t="s">
        <v>37</v>
      </c>
      <c r="E4" s="1" t="s">
        <v>37</v>
      </c>
      <c r="F4" s="1" t="s">
        <v>49</v>
      </c>
      <c r="G4" s="1">
        <v>5</v>
      </c>
      <c r="H4" s="1">
        <v>5</v>
      </c>
      <c r="I4" s="1">
        <v>3</v>
      </c>
      <c r="J4" s="1">
        <v>2</v>
      </c>
      <c r="K4" s="1">
        <v>5</v>
      </c>
      <c r="L4" s="1" t="s">
        <v>57</v>
      </c>
      <c r="M4" s="1">
        <v>4</v>
      </c>
      <c r="N4" s="1" t="s">
        <v>58</v>
      </c>
      <c r="O4" s="1">
        <v>5</v>
      </c>
      <c r="P4" s="1">
        <v>5</v>
      </c>
      <c r="Q4" s="1" t="s">
        <v>41</v>
      </c>
      <c r="R4" s="1" t="s">
        <v>44</v>
      </c>
      <c r="S4" s="1" t="s">
        <v>44</v>
      </c>
      <c r="T4" s="1" t="s">
        <v>44</v>
      </c>
      <c r="U4" s="1" t="s">
        <v>53</v>
      </c>
      <c r="V4" s="1" t="s">
        <v>43</v>
      </c>
      <c r="W4" s="1" t="s">
        <v>44</v>
      </c>
      <c r="X4" s="1" t="s">
        <v>44</v>
      </c>
      <c r="Y4" s="1" t="s">
        <v>44</v>
      </c>
      <c r="Z4" s="1" t="s">
        <v>43</v>
      </c>
      <c r="AA4" s="1" t="s">
        <v>43</v>
      </c>
      <c r="AB4" s="1" t="s">
        <v>43</v>
      </c>
      <c r="AC4" s="1" t="s">
        <v>43</v>
      </c>
      <c r="AD4" s="1" t="s">
        <v>59</v>
      </c>
      <c r="AE4" s="1" t="s">
        <v>37</v>
      </c>
      <c r="AF4" s="1" t="s">
        <v>37</v>
      </c>
      <c r="AG4" s="1" t="s">
        <v>60</v>
      </c>
      <c r="AH4" s="1">
        <v>19989606842</v>
      </c>
      <c r="AI4" s="1" t="s">
        <v>61</v>
      </c>
      <c r="AJ4" t="s">
        <v>62</v>
      </c>
    </row>
    <row r="5" spans="1:36" ht="15.75" customHeight="1">
      <c r="A5" s="2">
        <v>45456.454465405091</v>
      </c>
      <c r="B5" s="1" t="s">
        <v>63</v>
      </c>
      <c r="C5" s="1" t="s">
        <v>37</v>
      </c>
      <c r="D5" s="1" t="s">
        <v>37</v>
      </c>
      <c r="E5" s="1" t="s">
        <v>37</v>
      </c>
      <c r="F5" s="1" t="s">
        <v>49</v>
      </c>
      <c r="G5" s="1">
        <v>5</v>
      </c>
      <c r="H5" s="1">
        <v>4</v>
      </c>
      <c r="I5" s="1">
        <v>5</v>
      </c>
      <c r="J5" s="1">
        <v>3</v>
      </c>
      <c r="K5" s="1">
        <v>4</v>
      </c>
      <c r="L5" s="1" t="s">
        <v>64</v>
      </c>
      <c r="M5" s="1">
        <v>1</v>
      </c>
      <c r="N5" s="1" t="s">
        <v>65</v>
      </c>
      <c r="O5" s="1">
        <v>5</v>
      </c>
      <c r="P5" s="1">
        <v>5</v>
      </c>
      <c r="Q5" s="1" t="s">
        <v>66</v>
      </c>
      <c r="R5" s="1" t="s">
        <v>53</v>
      </c>
      <c r="S5" s="1" t="s">
        <v>42</v>
      </c>
      <c r="T5" s="1" t="s">
        <v>53</v>
      </c>
      <c r="U5" s="1" t="s">
        <v>43</v>
      </c>
      <c r="V5" s="1" t="s">
        <v>43</v>
      </c>
      <c r="W5" s="1" t="s">
        <v>43</v>
      </c>
      <c r="X5" s="1" t="s">
        <v>43</v>
      </c>
      <c r="Y5" s="1" t="s">
        <v>43</v>
      </c>
      <c r="Z5" s="1" t="s">
        <v>44</v>
      </c>
      <c r="AA5" s="1" t="s">
        <v>44</v>
      </c>
      <c r="AB5" s="1" t="s">
        <v>43</v>
      </c>
      <c r="AC5" s="1" t="s">
        <v>44</v>
      </c>
      <c r="AD5" s="1" t="s">
        <v>45</v>
      </c>
      <c r="AE5" s="1" t="s">
        <v>37</v>
      </c>
      <c r="AF5" s="1" t="s">
        <v>37</v>
      </c>
      <c r="AG5" s="1" t="s">
        <v>67</v>
      </c>
      <c r="AH5" s="1">
        <v>12134389634</v>
      </c>
      <c r="AI5" s="1" t="s">
        <v>68</v>
      </c>
      <c r="AJ5" t="s">
        <v>48</v>
      </c>
    </row>
    <row r="6" spans="1:36" ht="15.75" customHeight="1">
      <c r="A6" s="2">
        <v>45456.46157028935</v>
      </c>
      <c r="B6" s="1" t="s">
        <v>36</v>
      </c>
      <c r="C6" s="1" t="s">
        <v>37</v>
      </c>
      <c r="D6" s="1" t="s">
        <v>37</v>
      </c>
      <c r="E6" s="1" t="s">
        <v>37</v>
      </c>
      <c r="F6" s="1" t="s">
        <v>69</v>
      </c>
      <c r="G6" s="1">
        <v>4</v>
      </c>
      <c r="H6" s="1">
        <v>1</v>
      </c>
      <c r="I6" s="1">
        <v>2</v>
      </c>
      <c r="J6" s="1">
        <v>1</v>
      </c>
      <c r="K6" s="1">
        <v>4</v>
      </c>
      <c r="L6" s="1" t="s">
        <v>70</v>
      </c>
      <c r="M6" s="1">
        <v>2</v>
      </c>
      <c r="N6" s="1" t="s">
        <v>71</v>
      </c>
      <c r="O6" s="1">
        <v>5</v>
      </c>
      <c r="P6" s="1">
        <v>3</v>
      </c>
      <c r="Q6" s="1" t="s">
        <v>66</v>
      </c>
      <c r="R6" s="1" t="s">
        <v>52</v>
      </c>
      <c r="S6" s="1" t="s">
        <v>44</v>
      </c>
      <c r="T6" s="1" t="s">
        <v>53</v>
      </c>
      <c r="U6" s="1" t="s">
        <v>42</v>
      </c>
      <c r="V6" s="1" t="s">
        <v>44</v>
      </c>
      <c r="W6" s="1" t="s">
        <v>53</v>
      </c>
      <c r="X6" s="1" t="s">
        <v>53</v>
      </c>
      <c r="Y6" s="1" t="s">
        <v>44</v>
      </c>
      <c r="Z6" s="1" t="s">
        <v>43</v>
      </c>
      <c r="AA6" s="1" t="s">
        <v>53</v>
      </c>
      <c r="AB6" s="1" t="s">
        <v>43</v>
      </c>
      <c r="AC6" s="1" t="s">
        <v>43</v>
      </c>
      <c r="AD6" s="1" t="s">
        <v>72</v>
      </c>
      <c r="AE6" s="1" t="s">
        <v>37</v>
      </c>
      <c r="AF6" s="1" t="s">
        <v>37</v>
      </c>
      <c r="AG6" s="1" t="s">
        <v>73</v>
      </c>
      <c r="AH6" s="1">
        <v>11914613416</v>
      </c>
      <c r="AI6" s="1" t="s">
        <v>74</v>
      </c>
      <c r="AJ6" t="s">
        <v>56</v>
      </c>
    </row>
    <row r="7" spans="1:36" ht="15.75" customHeight="1">
      <c r="A7" s="2">
        <v>45456.461765706015</v>
      </c>
      <c r="B7" s="1" t="s">
        <v>63</v>
      </c>
      <c r="C7" s="1" t="s">
        <v>37</v>
      </c>
      <c r="D7" s="1" t="s">
        <v>37</v>
      </c>
      <c r="E7" s="1" t="s">
        <v>37</v>
      </c>
      <c r="F7" s="1" t="s">
        <v>49</v>
      </c>
      <c r="G7" s="1">
        <v>5</v>
      </c>
      <c r="H7" s="1">
        <v>4</v>
      </c>
      <c r="I7" s="1">
        <v>5</v>
      </c>
      <c r="J7" s="1">
        <v>3</v>
      </c>
      <c r="K7" s="1">
        <v>4</v>
      </c>
      <c r="L7" s="1" t="s">
        <v>64</v>
      </c>
      <c r="M7" s="1">
        <v>1</v>
      </c>
      <c r="N7" s="1" t="s">
        <v>65</v>
      </c>
      <c r="O7" s="1">
        <v>5</v>
      </c>
      <c r="P7" s="1">
        <v>5</v>
      </c>
      <c r="Q7" s="1" t="s">
        <v>66</v>
      </c>
      <c r="R7" s="1" t="s">
        <v>53</v>
      </c>
      <c r="S7" s="1" t="s">
        <v>42</v>
      </c>
      <c r="T7" s="1" t="s">
        <v>53</v>
      </c>
      <c r="U7" s="1" t="s">
        <v>43</v>
      </c>
      <c r="V7" s="1" t="s">
        <v>43</v>
      </c>
      <c r="W7" s="1" t="s">
        <v>43</v>
      </c>
      <c r="X7" s="1" t="s">
        <v>43</v>
      </c>
      <c r="Y7" s="1" t="s">
        <v>43</v>
      </c>
      <c r="Z7" s="1" t="s">
        <v>44</v>
      </c>
      <c r="AA7" s="1" t="s">
        <v>44</v>
      </c>
      <c r="AB7" s="1" t="s">
        <v>43</v>
      </c>
      <c r="AC7" s="1" t="s">
        <v>44</v>
      </c>
      <c r="AD7" s="1" t="s">
        <v>45</v>
      </c>
      <c r="AE7" s="1" t="s">
        <v>37</v>
      </c>
      <c r="AF7" s="1" t="s">
        <v>37</v>
      </c>
      <c r="AG7" s="1" t="s">
        <v>67</v>
      </c>
      <c r="AH7" s="1">
        <v>12134389634</v>
      </c>
      <c r="AI7" s="1" t="s">
        <v>68</v>
      </c>
      <c r="AJ7" t="s">
        <v>48</v>
      </c>
    </row>
    <row r="8" spans="1:36" ht="15.75" customHeight="1">
      <c r="A8" s="2">
        <v>45456.466788599537</v>
      </c>
      <c r="B8" s="1" t="s">
        <v>36</v>
      </c>
      <c r="C8" s="1" t="s">
        <v>37</v>
      </c>
      <c r="D8" s="1" t="s">
        <v>37</v>
      </c>
      <c r="E8" s="1" t="s">
        <v>37</v>
      </c>
      <c r="F8" s="1" t="s">
        <v>49</v>
      </c>
      <c r="G8" s="1">
        <v>3</v>
      </c>
      <c r="H8" s="1">
        <v>2</v>
      </c>
      <c r="I8" s="1">
        <v>2</v>
      </c>
      <c r="J8" s="1">
        <v>1</v>
      </c>
      <c r="K8" s="1">
        <v>2</v>
      </c>
      <c r="L8" s="1" t="s">
        <v>75</v>
      </c>
      <c r="M8" s="1">
        <v>4</v>
      </c>
      <c r="N8" s="1" t="s">
        <v>76</v>
      </c>
      <c r="O8" s="1">
        <v>3</v>
      </c>
      <c r="P8" s="1">
        <v>2</v>
      </c>
      <c r="Q8" s="1" t="s">
        <v>41</v>
      </c>
      <c r="R8" s="1" t="s">
        <v>44</v>
      </c>
      <c r="S8" s="1" t="s">
        <v>43</v>
      </c>
      <c r="T8" s="1" t="s">
        <v>44</v>
      </c>
      <c r="U8" s="1" t="s">
        <v>44</v>
      </c>
      <c r="V8" s="1" t="s">
        <v>43</v>
      </c>
      <c r="W8" s="1" t="s">
        <v>44</v>
      </c>
      <c r="X8" s="1" t="s">
        <v>43</v>
      </c>
      <c r="Y8" s="1" t="s">
        <v>43</v>
      </c>
      <c r="Z8" s="1" t="s">
        <v>43</v>
      </c>
      <c r="AA8" s="1" t="s">
        <v>44</v>
      </c>
      <c r="AB8" s="1" t="s">
        <v>43</v>
      </c>
      <c r="AC8" s="1" t="s">
        <v>43</v>
      </c>
      <c r="AD8" s="1" t="s">
        <v>45</v>
      </c>
      <c r="AE8" s="1" t="s">
        <v>37</v>
      </c>
      <c r="AF8" s="1" t="s">
        <v>37</v>
      </c>
      <c r="AG8" s="1" t="s">
        <v>77</v>
      </c>
      <c r="AH8" s="1">
        <v>11943333160</v>
      </c>
      <c r="AI8" s="1" t="s">
        <v>78</v>
      </c>
      <c r="AJ8" t="s">
        <v>79</v>
      </c>
    </row>
    <row r="9" spans="1:36" ht="15.75" customHeight="1">
      <c r="A9" s="2">
        <v>45456.482557696756</v>
      </c>
      <c r="B9" s="1" t="s">
        <v>36</v>
      </c>
      <c r="C9" s="1" t="s">
        <v>37</v>
      </c>
      <c r="D9" s="1" t="s">
        <v>37</v>
      </c>
      <c r="E9" s="1" t="s">
        <v>37</v>
      </c>
      <c r="F9" s="1" t="s">
        <v>69</v>
      </c>
      <c r="G9" s="1">
        <v>5</v>
      </c>
      <c r="H9" s="1">
        <v>2</v>
      </c>
      <c r="I9" s="1">
        <v>1</v>
      </c>
      <c r="J9" s="1">
        <v>1</v>
      </c>
      <c r="K9" s="1">
        <v>5</v>
      </c>
      <c r="L9" s="1" t="s">
        <v>70</v>
      </c>
      <c r="M9" s="1">
        <v>5</v>
      </c>
      <c r="N9" s="1" t="s">
        <v>80</v>
      </c>
      <c r="O9" s="1">
        <v>5</v>
      </c>
      <c r="P9" s="1">
        <v>5</v>
      </c>
      <c r="Q9" s="1" t="s">
        <v>41</v>
      </c>
      <c r="R9" s="1" t="s">
        <v>44</v>
      </c>
      <c r="S9" s="1" t="s">
        <v>43</v>
      </c>
      <c r="T9" s="1" t="s">
        <v>43</v>
      </c>
      <c r="U9" s="1" t="s">
        <v>43</v>
      </c>
      <c r="V9" s="1" t="s">
        <v>43</v>
      </c>
      <c r="W9" s="1" t="s">
        <v>44</v>
      </c>
      <c r="X9" s="1" t="s">
        <v>44</v>
      </c>
      <c r="Y9" s="1" t="s">
        <v>44</v>
      </c>
      <c r="Z9" s="1" t="s">
        <v>43</v>
      </c>
      <c r="AA9" s="1" t="s">
        <v>43</v>
      </c>
      <c r="AB9" s="1" t="s">
        <v>43</v>
      </c>
      <c r="AC9" s="1" t="s">
        <v>43</v>
      </c>
      <c r="AD9" s="1" t="s">
        <v>45</v>
      </c>
      <c r="AE9" s="1" t="s">
        <v>37</v>
      </c>
      <c r="AF9" s="1" t="s">
        <v>37</v>
      </c>
      <c r="AG9" s="1" t="s">
        <v>81</v>
      </c>
      <c r="AH9" s="1">
        <v>11989710257</v>
      </c>
      <c r="AI9" s="1" t="s">
        <v>82</v>
      </c>
      <c r="AJ9" t="s">
        <v>83</v>
      </c>
    </row>
    <row r="10" spans="1:36" ht="15.75" customHeight="1">
      <c r="A10" s="2">
        <v>45456.486518831021</v>
      </c>
      <c r="B10" s="1" t="s">
        <v>36</v>
      </c>
      <c r="C10" s="1" t="s">
        <v>37</v>
      </c>
      <c r="D10" s="1" t="s">
        <v>37</v>
      </c>
      <c r="E10" s="1" t="s">
        <v>37</v>
      </c>
      <c r="F10" s="1" t="s">
        <v>84</v>
      </c>
      <c r="G10" s="1">
        <v>4</v>
      </c>
      <c r="H10" s="1">
        <v>1</v>
      </c>
      <c r="I10" s="1">
        <v>1</v>
      </c>
      <c r="J10" s="1">
        <v>1</v>
      </c>
      <c r="K10" s="1">
        <v>1</v>
      </c>
      <c r="L10" s="1" t="s">
        <v>85</v>
      </c>
      <c r="M10" s="1">
        <v>3</v>
      </c>
      <c r="N10" s="1" t="s">
        <v>86</v>
      </c>
      <c r="O10" s="1">
        <v>4</v>
      </c>
      <c r="P10" s="1">
        <v>4</v>
      </c>
      <c r="Q10" s="1" t="s">
        <v>66</v>
      </c>
      <c r="R10" s="1" t="s">
        <v>42</v>
      </c>
      <c r="S10" s="1" t="s">
        <v>44</v>
      </c>
      <c r="T10" s="1" t="s">
        <v>42</v>
      </c>
      <c r="U10" s="1" t="s">
        <v>53</v>
      </c>
      <c r="V10" s="1" t="s">
        <v>43</v>
      </c>
      <c r="W10" s="1" t="s">
        <v>53</v>
      </c>
      <c r="X10" s="1" t="s">
        <v>44</v>
      </c>
      <c r="Y10" s="1" t="s">
        <v>44</v>
      </c>
      <c r="Z10" s="1" t="s">
        <v>44</v>
      </c>
      <c r="AA10" s="1" t="s">
        <v>44</v>
      </c>
      <c r="AB10" s="1" t="s">
        <v>43</v>
      </c>
      <c r="AC10" s="1" t="s">
        <v>44</v>
      </c>
      <c r="AD10" s="1" t="s">
        <v>45</v>
      </c>
      <c r="AE10" s="1" t="s">
        <v>37</v>
      </c>
      <c r="AF10" s="1" t="s">
        <v>37</v>
      </c>
      <c r="AG10" s="1" t="s">
        <v>87</v>
      </c>
      <c r="AH10" s="1">
        <v>11963926432</v>
      </c>
      <c r="AI10" s="1" t="s">
        <v>88</v>
      </c>
      <c r="AJ10" t="s">
        <v>56</v>
      </c>
    </row>
    <row r="11" spans="1:36" ht="15.75" customHeight="1">
      <c r="A11" s="2">
        <v>45456.487564201394</v>
      </c>
      <c r="B11" s="1" t="s">
        <v>36</v>
      </c>
      <c r="C11" s="1" t="s">
        <v>37</v>
      </c>
      <c r="D11" s="1" t="s">
        <v>37</v>
      </c>
      <c r="E11" s="1" t="s">
        <v>37</v>
      </c>
      <c r="F11" s="1" t="s">
        <v>89</v>
      </c>
      <c r="G11" s="1">
        <v>3</v>
      </c>
      <c r="H11" s="1">
        <v>1</v>
      </c>
      <c r="I11" s="1">
        <v>1</v>
      </c>
      <c r="J11" s="1">
        <v>1</v>
      </c>
      <c r="K11" s="1">
        <v>1</v>
      </c>
      <c r="L11" s="1" t="s">
        <v>90</v>
      </c>
      <c r="M11" s="1">
        <v>1</v>
      </c>
      <c r="N11" s="1" t="s">
        <v>91</v>
      </c>
      <c r="O11" s="1">
        <v>3</v>
      </c>
      <c r="P11" s="1">
        <v>3</v>
      </c>
      <c r="Q11" s="1" t="s">
        <v>66</v>
      </c>
      <c r="R11" s="1" t="s">
        <v>52</v>
      </c>
      <c r="S11" s="1" t="s">
        <v>44</v>
      </c>
      <c r="T11" s="1" t="s">
        <v>42</v>
      </c>
      <c r="U11" s="1" t="s">
        <v>52</v>
      </c>
      <c r="V11" s="1" t="s">
        <v>44</v>
      </c>
      <c r="W11" s="1" t="s">
        <v>44</v>
      </c>
      <c r="X11" s="1" t="s">
        <v>44</v>
      </c>
      <c r="Y11" s="1" t="s">
        <v>44</v>
      </c>
      <c r="Z11" s="1" t="s">
        <v>42</v>
      </c>
      <c r="AA11" s="1" t="s">
        <v>44</v>
      </c>
      <c r="AB11" s="1" t="s">
        <v>43</v>
      </c>
      <c r="AC11" s="1" t="s">
        <v>43</v>
      </c>
      <c r="AD11" s="1" t="s">
        <v>45</v>
      </c>
      <c r="AE11" s="1" t="s">
        <v>37</v>
      </c>
      <c r="AF11" s="1" t="s">
        <v>37</v>
      </c>
      <c r="AG11" s="1" t="s">
        <v>92</v>
      </c>
      <c r="AH11" s="1">
        <v>11992378027</v>
      </c>
      <c r="AI11" s="1" t="s">
        <v>93</v>
      </c>
      <c r="AJ11" t="s">
        <v>56</v>
      </c>
    </row>
    <row r="12" spans="1:36" ht="15.75" customHeight="1">
      <c r="A12" s="2">
        <v>45456.487806979167</v>
      </c>
      <c r="B12" s="1" t="s">
        <v>63</v>
      </c>
      <c r="C12" s="1" t="s">
        <v>37</v>
      </c>
      <c r="D12" s="1" t="s">
        <v>37</v>
      </c>
      <c r="E12" s="1" t="s">
        <v>37</v>
      </c>
      <c r="F12" s="1" t="s">
        <v>69</v>
      </c>
      <c r="G12" s="1">
        <v>1</v>
      </c>
      <c r="H12" s="1">
        <v>3</v>
      </c>
      <c r="I12" s="1">
        <v>1</v>
      </c>
      <c r="J12" s="1">
        <v>1</v>
      </c>
      <c r="K12" s="1">
        <v>5</v>
      </c>
      <c r="L12" s="1" t="s">
        <v>94</v>
      </c>
      <c r="M12" s="1">
        <v>1</v>
      </c>
      <c r="N12" s="1" t="s">
        <v>95</v>
      </c>
      <c r="O12" s="1">
        <v>5</v>
      </c>
      <c r="P12" s="1">
        <v>5</v>
      </c>
      <c r="Q12" s="1" t="s">
        <v>66</v>
      </c>
      <c r="R12" s="1" t="s">
        <v>44</v>
      </c>
      <c r="S12" s="1" t="s">
        <v>43</v>
      </c>
      <c r="T12" s="1" t="s">
        <v>44</v>
      </c>
      <c r="U12" s="1" t="s">
        <v>44</v>
      </c>
      <c r="V12" s="1" t="s">
        <v>43</v>
      </c>
      <c r="W12" s="1" t="s">
        <v>44</v>
      </c>
      <c r="X12" s="1" t="s">
        <v>43</v>
      </c>
      <c r="Y12" s="1" t="s">
        <v>44</v>
      </c>
      <c r="Z12" s="1" t="s">
        <v>43</v>
      </c>
      <c r="AA12" s="1" t="s">
        <v>44</v>
      </c>
      <c r="AB12" s="1" t="s">
        <v>43</v>
      </c>
      <c r="AC12" s="1" t="s">
        <v>44</v>
      </c>
      <c r="AD12" s="1" t="s">
        <v>45</v>
      </c>
      <c r="AE12" s="1" t="s">
        <v>37</v>
      </c>
      <c r="AF12" s="1" t="s">
        <v>37</v>
      </c>
      <c r="AG12" s="1" t="s">
        <v>96</v>
      </c>
      <c r="AH12" s="1">
        <v>62991060278</v>
      </c>
      <c r="AI12" s="1" t="s">
        <v>97</v>
      </c>
      <c r="AJ12" t="s">
        <v>62</v>
      </c>
    </row>
    <row r="13" spans="1:36" ht="15.75" customHeight="1">
      <c r="A13" s="2">
        <v>45456.491021898153</v>
      </c>
      <c r="B13" s="1" t="s">
        <v>98</v>
      </c>
      <c r="C13" s="1" t="s">
        <v>37</v>
      </c>
      <c r="D13" s="1" t="s">
        <v>37</v>
      </c>
      <c r="E13" s="1" t="s">
        <v>37</v>
      </c>
      <c r="F13" s="1" t="s">
        <v>49</v>
      </c>
      <c r="G13" s="1">
        <v>3</v>
      </c>
      <c r="H13" s="1">
        <v>2</v>
      </c>
      <c r="I13" s="1">
        <v>2</v>
      </c>
      <c r="J13" s="1">
        <v>1</v>
      </c>
      <c r="K13" s="1">
        <v>5</v>
      </c>
      <c r="L13" s="1" t="s">
        <v>94</v>
      </c>
      <c r="M13" s="1">
        <v>1</v>
      </c>
      <c r="N13" s="1" t="s">
        <v>99</v>
      </c>
      <c r="O13" s="1">
        <v>4</v>
      </c>
      <c r="P13" s="1">
        <v>4</v>
      </c>
      <c r="Q13" s="1" t="s">
        <v>41</v>
      </c>
      <c r="R13" s="1" t="s">
        <v>52</v>
      </c>
      <c r="S13" s="1" t="s">
        <v>43</v>
      </c>
      <c r="T13" s="1" t="s">
        <v>44</v>
      </c>
      <c r="U13" s="1" t="s">
        <v>53</v>
      </c>
      <c r="V13" s="1" t="s">
        <v>44</v>
      </c>
      <c r="W13" s="1" t="s">
        <v>44</v>
      </c>
      <c r="X13" s="1" t="s">
        <v>43</v>
      </c>
      <c r="Y13" s="1" t="s">
        <v>44</v>
      </c>
      <c r="Z13" s="1" t="s">
        <v>44</v>
      </c>
      <c r="AA13" s="1" t="s">
        <v>44</v>
      </c>
      <c r="AB13" s="1" t="s">
        <v>43</v>
      </c>
      <c r="AC13" s="1" t="s">
        <v>44</v>
      </c>
      <c r="AD13" s="1" t="s">
        <v>45</v>
      </c>
      <c r="AE13" s="1" t="s">
        <v>37</v>
      </c>
      <c r="AF13" s="1" t="s">
        <v>37</v>
      </c>
      <c r="AG13" s="1" t="s">
        <v>100</v>
      </c>
      <c r="AH13" s="1">
        <v>11990240909</v>
      </c>
      <c r="AI13" s="1" t="s">
        <v>101</v>
      </c>
      <c r="AJ13" t="s">
        <v>56</v>
      </c>
    </row>
    <row r="14" spans="1:36" ht="15.75" customHeight="1">
      <c r="A14" s="2">
        <v>45456.493379131949</v>
      </c>
      <c r="B14" s="1" t="s">
        <v>98</v>
      </c>
      <c r="C14" s="1" t="s">
        <v>37</v>
      </c>
      <c r="D14" s="1" t="s">
        <v>37</v>
      </c>
      <c r="E14" s="1" t="s">
        <v>37</v>
      </c>
      <c r="F14" s="1" t="s">
        <v>69</v>
      </c>
      <c r="G14" s="1">
        <v>1</v>
      </c>
      <c r="H14" s="1">
        <v>1</v>
      </c>
      <c r="I14" s="1">
        <v>1</v>
      </c>
      <c r="J14" s="1">
        <v>1</v>
      </c>
      <c r="K14" s="1">
        <v>3</v>
      </c>
      <c r="L14" s="1" t="s">
        <v>102</v>
      </c>
      <c r="M14" s="1">
        <v>3</v>
      </c>
      <c r="N14" s="1" t="s">
        <v>103</v>
      </c>
      <c r="O14" s="1">
        <v>4</v>
      </c>
      <c r="P14" s="1">
        <v>3</v>
      </c>
      <c r="Q14" s="1" t="s">
        <v>66</v>
      </c>
      <c r="R14" s="1" t="s">
        <v>52</v>
      </c>
      <c r="S14" s="1" t="s">
        <v>44</v>
      </c>
      <c r="T14" s="1" t="s">
        <v>44</v>
      </c>
      <c r="U14" s="1" t="s">
        <v>53</v>
      </c>
      <c r="V14" s="1" t="s">
        <v>43</v>
      </c>
      <c r="W14" s="1" t="s">
        <v>44</v>
      </c>
      <c r="X14" s="1" t="s">
        <v>43</v>
      </c>
      <c r="Y14" s="1" t="s">
        <v>44</v>
      </c>
      <c r="Z14" s="1" t="s">
        <v>43</v>
      </c>
      <c r="AA14" s="1" t="s">
        <v>44</v>
      </c>
      <c r="AB14" s="1" t="s">
        <v>43</v>
      </c>
      <c r="AC14" s="1" t="s">
        <v>43</v>
      </c>
      <c r="AD14" s="1" t="s">
        <v>72</v>
      </c>
      <c r="AE14" s="1" t="s">
        <v>37</v>
      </c>
      <c r="AF14" s="1" t="s">
        <v>37</v>
      </c>
      <c r="AG14" s="1" t="s">
        <v>104</v>
      </c>
      <c r="AH14" s="1">
        <v>11941231009</v>
      </c>
      <c r="AI14" s="1" t="s">
        <v>105</v>
      </c>
      <c r="AJ14" t="s">
        <v>48</v>
      </c>
    </row>
    <row r="15" spans="1:36" ht="15.75" customHeight="1">
      <c r="A15" s="2">
        <v>45456.531544780097</v>
      </c>
      <c r="B15" s="1" t="s">
        <v>98</v>
      </c>
      <c r="C15" s="1" t="s">
        <v>37</v>
      </c>
      <c r="D15" s="1" t="s">
        <v>37</v>
      </c>
      <c r="E15" s="1" t="s">
        <v>37</v>
      </c>
      <c r="F15" s="1" t="s">
        <v>49</v>
      </c>
      <c r="G15" s="1">
        <v>3</v>
      </c>
      <c r="H15" s="1">
        <v>2</v>
      </c>
      <c r="I15" s="1">
        <v>2</v>
      </c>
      <c r="J15" s="1">
        <v>1</v>
      </c>
      <c r="K15" s="1">
        <v>4</v>
      </c>
      <c r="L15" s="1" t="s">
        <v>106</v>
      </c>
      <c r="M15" s="1">
        <v>2</v>
      </c>
      <c r="N15" s="1" t="s">
        <v>107</v>
      </c>
      <c r="O15" s="1">
        <v>3</v>
      </c>
      <c r="P15" s="1">
        <v>4</v>
      </c>
      <c r="Q15" s="1" t="s">
        <v>41</v>
      </c>
      <c r="R15" s="1" t="s">
        <v>53</v>
      </c>
      <c r="S15" s="1" t="s">
        <v>44</v>
      </c>
      <c r="T15" s="1" t="s">
        <v>53</v>
      </c>
      <c r="U15" s="1" t="s">
        <v>53</v>
      </c>
      <c r="V15" s="1" t="s">
        <v>43</v>
      </c>
      <c r="W15" s="1" t="s">
        <v>44</v>
      </c>
      <c r="X15" s="1" t="s">
        <v>44</v>
      </c>
      <c r="Y15" s="1" t="s">
        <v>44</v>
      </c>
      <c r="Z15" s="1" t="s">
        <v>44</v>
      </c>
      <c r="AA15" s="1" t="s">
        <v>44</v>
      </c>
      <c r="AB15" s="1" t="s">
        <v>43</v>
      </c>
      <c r="AC15" s="1" t="s">
        <v>44</v>
      </c>
      <c r="AD15" s="1" t="s">
        <v>45</v>
      </c>
      <c r="AE15" s="1" t="s">
        <v>37</v>
      </c>
      <c r="AF15" s="1" t="s">
        <v>37</v>
      </c>
      <c r="AG15" s="1" t="s">
        <v>108</v>
      </c>
      <c r="AH15" s="1">
        <v>11982684250</v>
      </c>
      <c r="AI15" s="1" t="s">
        <v>109</v>
      </c>
      <c r="AJ15" t="s">
        <v>56</v>
      </c>
    </row>
    <row r="16" spans="1:36" ht="15.75" customHeight="1">
      <c r="A16" s="2">
        <v>45456.537065312499</v>
      </c>
      <c r="B16" s="1" t="s">
        <v>98</v>
      </c>
      <c r="C16" s="1" t="s">
        <v>37</v>
      </c>
      <c r="D16" s="1" t="s">
        <v>37</v>
      </c>
      <c r="E16" s="1" t="s">
        <v>37</v>
      </c>
      <c r="F16" s="1" t="s">
        <v>69</v>
      </c>
      <c r="G16" s="1">
        <v>5</v>
      </c>
      <c r="H16" s="1">
        <v>2</v>
      </c>
      <c r="I16" s="1">
        <v>3</v>
      </c>
      <c r="J16" s="1">
        <v>1</v>
      </c>
      <c r="K16" s="1">
        <v>5</v>
      </c>
      <c r="L16" s="1" t="s">
        <v>110</v>
      </c>
      <c r="M16" s="1">
        <v>2</v>
      </c>
      <c r="N16" s="1" t="s">
        <v>111</v>
      </c>
      <c r="O16" s="1">
        <v>5</v>
      </c>
      <c r="P16" s="1">
        <v>5</v>
      </c>
      <c r="Q16" s="1" t="s">
        <v>41</v>
      </c>
      <c r="R16" s="1" t="s">
        <v>44</v>
      </c>
      <c r="S16" s="1" t="s">
        <v>52</v>
      </c>
      <c r="T16" s="1" t="s">
        <v>43</v>
      </c>
      <c r="U16" s="1" t="s">
        <v>43</v>
      </c>
      <c r="V16" s="1" t="s">
        <v>43</v>
      </c>
      <c r="W16" s="1" t="s">
        <v>44</v>
      </c>
      <c r="X16" s="1" t="s">
        <v>43</v>
      </c>
      <c r="Y16" s="1" t="s">
        <v>44</v>
      </c>
      <c r="Z16" s="1" t="s">
        <v>44</v>
      </c>
      <c r="AA16" s="1" t="s">
        <v>44</v>
      </c>
      <c r="AB16" s="1" t="s">
        <v>43</v>
      </c>
      <c r="AC16" s="1" t="s">
        <v>43</v>
      </c>
      <c r="AD16" s="1" t="s">
        <v>59</v>
      </c>
      <c r="AE16" s="1" t="s">
        <v>37</v>
      </c>
      <c r="AF16" s="1" t="s">
        <v>37</v>
      </c>
      <c r="AG16" s="1" t="s">
        <v>112</v>
      </c>
      <c r="AH16" s="1">
        <v>11954265660</v>
      </c>
      <c r="AI16" s="1" t="s">
        <v>113</v>
      </c>
      <c r="AJ16" t="s">
        <v>62</v>
      </c>
    </row>
    <row r="17" spans="1:36" ht="15.75" customHeight="1">
      <c r="A17" s="2">
        <v>45456.538350902774</v>
      </c>
      <c r="B17" s="1" t="s">
        <v>98</v>
      </c>
      <c r="C17" s="1" t="s">
        <v>37</v>
      </c>
      <c r="D17" s="1" t="s">
        <v>37</v>
      </c>
      <c r="E17" s="1" t="s">
        <v>37</v>
      </c>
      <c r="F17" s="1" t="s">
        <v>84</v>
      </c>
      <c r="G17" s="1">
        <v>2</v>
      </c>
      <c r="H17" s="1">
        <v>2</v>
      </c>
      <c r="I17" s="1">
        <v>1</v>
      </c>
      <c r="J17" s="1">
        <v>1</v>
      </c>
      <c r="K17" s="1">
        <v>4</v>
      </c>
      <c r="L17" s="1" t="s">
        <v>114</v>
      </c>
      <c r="M17" s="1">
        <v>4</v>
      </c>
      <c r="N17" s="1" t="s">
        <v>115</v>
      </c>
      <c r="O17" s="1">
        <v>5</v>
      </c>
      <c r="P17" s="1">
        <v>3</v>
      </c>
      <c r="Q17" s="1" t="s">
        <v>66</v>
      </c>
      <c r="R17" s="1" t="s">
        <v>53</v>
      </c>
      <c r="S17" s="1" t="s">
        <v>44</v>
      </c>
      <c r="T17" s="1" t="s">
        <v>53</v>
      </c>
      <c r="U17" s="1" t="s">
        <v>53</v>
      </c>
      <c r="V17" s="1" t="s">
        <v>44</v>
      </c>
      <c r="W17" s="1" t="s">
        <v>44</v>
      </c>
      <c r="X17" s="1" t="s">
        <v>44</v>
      </c>
      <c r="Y17" s="1" t="s">
        <v>44</v>
      </c>
      <c r="Z17" s="1" t="s">
        <v>44</v>
      </c>
      <c r="AA17" s="1" t="s">
        <v>44</v>
      </c>
      <c r="AB17" s="1" t="s">
        <v>44</v>
      </c>
      <c r="AC17" s="1" t="s">
        <v>43</v>
      </c>
      <c r="AD17" s="1" t="s">
        <v>45</v>
      </c>
      <c r="AE17" s="1" t="s">
        <v>37</v>
      </c>
      <c r="AF17" s="1" t="s">
        <v>37</v>
      </c>
      <c r="AG17" s="1" t="s">
        <v>116</v>
      </c>
      <c r="AH17" s="1">
        <v>11996116245</v>
      </c>
      <c r="AI17" s="1" t="s">
        <v>117</v>
      </c>
      <c r="AJ17" t="s">
        <v>56</v>
      </c>
    </row>
    <row r="18" spans="1:36" ht="15.75" customHeight="1">
      <c r="A18" s="2">
        <v>45456.539463356487</v>
      </c>
      <c r="B18" s="1" t="s">
        <v>36</v>
      </c>
      <c r="C18" s="1" t="s">
        <v>37</v>
      </c>
      <c r="D18" s="1" t="s">
        <v>37</v>
      </c>
      <c r="E18" s="1" t="s">
        <v>37</v>
      </c>
      <c r="F18" s="1" t="s">
        <v>84</v>
      </c>
      <c r="G18" s="1">
        <v>4</v>
      </c>
      <c r="H18" s="1">
        <v>3</v>
      </c>
      <c r="I18" s="1">
        <v>2</v>
      </c>
      <c r="J18" s="1">
        <v>1</v>
      </c>
      <c r="K18" s="1">
        <v>3</v>
      </c>
      <c r="L18" s="1" t="s">
        <v>118</v>
      </c>
      <c r="M18" s="1">
        <v>2</v>
      </c>
      <c r="N18" s="1" t="s">
        <v>119</v>
      </c>
      <c r="O18" s="1">
        <v>3</v>
      </c>
      <c r="P18" s="1">
        <v>4</v>
      </c>
      <c r="Q18" s="1" t="s">
        <v>41</v>
      </c>
      <c r="R18" s="1" t="s">
        <v>53</v>
      </c>
      <c r="S18" s="1" t="s">
        <v>44</v>
      </c>
      <c r="T18" s="1" t="s">
        <v>44</v>
      </c>
      <c r="U18" s="1" t="s">
        <v>53</v>
      </c>
      <c r="V18" s="1" t="s">
        <v>43</v>
      </c>
      <c r="W18" s="1" t="s">
        <v>44</v>
      </c>
      <c r="X18" s="1" t="s">
        <v>43</v>
      </c>
      <c r="Y18" s="1" t="s">
        <v>44</v>
      </c>
      <c r="Z18" s="1" t="s">
        <v>43</v>
      </c>
      <c r="AA18" s="1" t="s">
        <v>44</v>
      </c>
      <c r="AB18" s="1" t="s">
        <v>43</v>
      </c>
      <c r="AC18" s="1" t="s">
        <v>44</v>
      </c>
      <c r="AD18" s="1" t="s">
        <v>45</v>
      </c>
      <c r="AE18" s="1" t="s">
        <v>37</v>
      </c>
      <c r="AF18" s="1" t="s">
        <v>37</v>
      </c>
      <c r="AG18" s="1" t="s">
        <v>120</v>
      </c>
      <c r="AH18" s="1">
        <v>11981633318</v>
      </c>
      <c r="AI18" s="1" t="s">
        <v>121</v>
      </c>
      <c r="AJ18" t="s">
        <v>48</v>
      </c>
    </row>
    <row r="19" spans="1:36" ht="12.6">
      <c r="A19" s="2">
        <v>45456.541530451388</v>
      </c>
      <c r="B19" s="1" t="s">
        <v>36</v>
      </c>
      <c r="C19" s="1" t="s">
        <v>37</v>
      </c>
      <c r="D19" s="1" t="s">
        <v>37</v>
      </c>
      <c r="E19" s="1" t="s">
        <v>37</v>
      </c>
      <c r="F19" s="1" t="s">
        <v>69</v>
      </c>
      <c r="G19" s="1">
        <v>5</v>
      </c>
      <c r="H19" s="1">
        <v>4</v>
      </c>
      <c r="I19" s="1">
        <v>3</v>
      </c>
      <c r="J19" s="1">
        <v>1</v>
      </c>
      <c r="K19" s="1">
        <v>5</v>
      </c>
      <c r="L19" s="1" t="s">
        <v>50</v>
      </c>
      <c r="M19" s="1">
        <v>3</v>
      </c>
      <c r="N19" s="1" t="s">
        <v>122</v>
      </c>
      <c r="O19" s="1">
        <v>5</v>
      </c>
      <c r="P19" s="1">
        <v>5</v>
      </c>
      <c r="Q19" s="1" t="s">
        <v>41</v>
      </c>
      <c r="R19" s="1" t="s">
        <v>42</v>
      </c>
      <c r="S19" s="1" t="s">
        <v>43</v>
      </c>
      <c r="T19" s="1" t="s">
        <v>44</v>
      </c>
      <c r="U19" s="1" t="s">
        <v>44</v>
      </c>
      <c r="V19" s="1" t="s">
        <v>43</v>
      </c>
      <c r="W19" s="1" t="s">
        <v>53</v>
      </c>
      <c r="X19" s="1" t="s">
        <v>44</v>
      </c>
      <c r="Y19" s="1" t="s">
        <v>44</v>
      </c>
      <c r="Z19" s="1" t="s">
        <v>44</v>
      </c>
      <c r="AA19" s="1" t="s">
        <v>44</v>
      </c>
      <c r="AB19" s="1" t="s">
        <v>43</v>
      </c>
      <c r="AC19" s="1" t="s">
        <v>43</v>
      </c>
      <c r="AD19" s="1" t="s">
        <v>59</v>
      </c>
      <c r="AE19" s="1" t="s">
        <v>37</v>
      </c>
      <c r="AF19" s="1" t="s">
        <v>37</v>
      </c>
      <c r="AG19" s="1" t="s">
        <v>123</v>
      </c>
      <c r="AH19" s="1">
        <v>67998405626</v>
      </c>
      <c r="AI19" s="1" t="s">
        <v>124</v>
      </c>
      <c r="AJ19" t="s">
        <v>62</v>
      </c>
    </row>
    <row r="20" spans="1:36" ht="12.6">
      <c r="A20" s="2">
        <v>45456.541695601853</v>
      </c>
      <c r="B20" s="1" t="s">
        <v>63</v>
      </c>
      <c r="C20" s="1" t="s">
        <v>37</v>
      </c>
      <c r="D20" s="1" t="s">
        <v>37</v>
      </c>
      <c r="E20" s="1" t="s">
        <v>37</v>
      </c>
      <c r="F20" s="1" t="s">
        <v>84</v>
      </c>
      <c r="G20" s="1">
        <v>3</v>
      </c>
      <c r="H20" s="1">
        <v>5</v>
      </c>
      <c r="I20" s="1">
        <v>5</v>
      </c>
      <c r="J20" s="1">
        <v>2</v>
      </c>
      <c r="K20" s="1">
        <v>4</v>
      </c>
      <c r="L20" s="1" t="s">
        <v>94</v>
      </c>
      <c r="M20" s="1">
        <v>4</v>
      </c>
      <c r="N20" s="1" t="s">
        <v>125</v>
      </c>
      <c r="O20" s="1">
        <v>5</v>
      </c>
      <c r="P20" s="1">
        <v>5</v>
      </c>
      <c r="Q20" s="1" t="s">
        <v>41</v>
      </c>
      <c r="R20" s="1" t="s">
        <v>42</v>
      </c>
      <c r="S20" s="1" t="s">
        <v>53</v>
      </c>
      <c r="T20" s="1" t="s">
        <v>44</v>
      </c>
      <c r="U20" s="1" t="s">
        <v>52</v>
      </c>
      <c r="V20" s="1" t="s">
        <v>44</v>
      </c>
      <c r="W20" s="1" t="s">
        <v>53</v>
      </c>
      <c r="X20" s="1" t="s">
        <v>44</v>
      </c>
      <c r="Y20" s="1" t="s">
        <v>44</v>
      </c>
      <c r="Z20" s="1" t="s">
        <v>44</v>
      </c>
      <c r="AA20" s="1" t="s">
        <v>44</v>
      </c>
      <c r="AB20" s="1" t="s">
        <v>43</v>
      </c>
      <c r="AC20" s="1" t="s">
        <v>44</v>
      </c>
      <c r="AD20" s="1" t="s">
        <v>45</v>
      </c>
      <c r="AE20" s="1" t="s">
        <v>37</v>
      </c>
      <c r="AF20" s="1" t="s">
        <v>37</v>
      </c>
      <c r="AG20" s="1" t="s">
        <v>126</v>
      </c>
      <c r="AH20" s="1">
        <v>11997043255</v>
      </c>
      <c r="AI20" s="1" t="s">
        <v>127</v>
      </c>
      <c r="AJ20" t="s">
        <v>56</v>
      </c>
    </row>
    <row r="21" spans="1:36" ht="12.6">
      <c r="A21" s="2">
        <v>45456.543264259264</v>
      </c>
      <c r="B21" s="1" t="s">
        <v>36</v>
      </c>
      <c r="C21" s="1" t="s">
        <v>37</v>
      </c>
      <c r="D21" s="1" t="s">
        <v>37</v>
      </c>
      <c r="E21" s="1" t="s">
        <v>37</v>
      </c>
      <c r="F21" s="1" t="s">
        <v>69</v>
      </c>
      <c r="G21" s="1">
        <v>3</v>
      </c>
      <c r="H21" s="1">
        <v>2</v>
      </c>
      <c r="I21" s="1">
        <v>2</v>
      </c>
      <c r="J21" s="1">
        <v>1</v>
      </c>
      <c r="K21" s="1">
        <v>3</v>
      </c>
      <c r="L21" s="1" t="s">
        <v>57</v>
      </c>
      <c r="M21" s="1">
        <v>2</v>
      </c>
      <c r="N21" s="1" t="s">
        <v>128</v>
      </c>
      <c r="O21" s="1">
        <v>4</v>
      </c>
      <c r="P21" s="1">
        <v>4</v>
      </c>
      <c r="Q21" s="1" t="s">
        <v>41</v>
      </c>
      <c r="R21" s="1" t="s">
        <v>42</v>
      </c>
      <c r="S21" s="1" t="s">
        <v>44</v>
      </c>
      <c r="T21" s="1" t="s">
        <v>53</v>
      </c>
      <c r="U21" s="1" t="s">
        <v>53</v>
      </c>
      <c r="V21" s="1" t="s">
        <v>44</v>
      </c>
      <c r="W21" s="1" t="s">
        <v>44</v>
      </c>
      <c r="X21" s="1" t="s">
        <v>44</v>
      </c>
      <c r="Y21" s="1" t="s">
        <v>44</v>
      </c>
      <c r="Z21" s="1" t="s">
        <v>43</v>
      </c>
      <c r="AA21" s="1" t="s">
        <v>44</v>
      </c>
      <c r="AB21" s="1" t="s">
        <v>43</v>
      </c>
      <c r="AC21" s="1" t="s">
        <v>44</v>
      </c>
      <c r="AD21" s="1" t="s">
        <v>45</v>
      </c>
      <c r="AE21" s="1" t="s">
        <v>37</v>
      </c>
      <c r="AF21" s="1" t="s">
        <v>37</v>
      </c>
      <c r="AG21" s="1" t="s">
        <v>129</v>
      </c>
      <c r="AH21" s="1">
        <v>1199185127</v>
      </c>
      <c r="AI21" s="1" t="s">
        <v>130</v>
      </c>
      <c r="AJ21" t="s">
        <v>56</v>
      </c>
    </row>
    <row r="22" spans="1:36" ht="12.6">
      <c r="A22" s="2">
        <v>45456.544420543985</v>
      </c>
      <c r="B22" s="1" t="s">
        <v>98</v>
      </c>
      <c r="C22" s="1" t="s">
        <v>37</v>
      </c>
      <c r="D22" s="1" t="s">
        <v>37</v>
      </c>
      <c r="E22" s="1" t="s">
        <v>37</v>
      </c>
      <c r="F22" s="1" t="s">
        <v>49</v>
      </c>
      <c r="G22" s="1">
        <v>4</v>
      </c>
      <c r="H22" s="1">
        <v>4</v>
      </c>
      <c r="I22" s="1">
        <v>2</v>
      </c>
      <c r="J22" s="1">
        <v>1</v>
      </c>
      <c r="K22" s="1">
        <v>4</v>
      </c>
      <c r="L22" s="1" t="s">
        <v>131</v>
      </c>
      <c r="M22" s="1">
        <v>3</v>
      </c>
      <c r="N22" s="1" t="s">
        <v>132</v>
      </c>
      <c r="O22" s="1">
        <v>4</v>
      </c>
      <c r="P22" s="1">
        <v>3</v>
      </c>
      <c r="Q22" s="1" t="s">
        <v>66</v>
      </c>
      <c r="R22" s="1" t="s">
        <v>44</v>
      </c>
      <c r="S22" s="1" t="s">
        <v>43</v>
      </c>
      <c r="T22" s="1" t="s">
        <v>53</v>
      </c>
      <c r="U22" s="1" t="s">
        <v>44</v>
      </c>
      <c r="V22" s="1" t="s">
        <v>53</v>
      </c>
      <c r="W22" s="1" t="s">
        <v>44</v>
      </c>
      <c r="X22" s="1" t="s">
        <v>44</v>
      </c>
      <c r="Y22" s="1" t="s">
        <v>44</v>
      </c>
      <c r="Z22" s="1" t="s">
        <v>53</v>
      </c>
      <c r="AA22" s="1" t="s">
        <v>44</v>
      </c>
      <c r="AB22" s="1" t="s">
        <v>53</v>
      </c>
      <c r="AC22" s="1" t="s">
        <v>53</v>
      </c>
      <c r="AD22" s="1" t="s">
        <v>45</v>
      </c>
      <c r="AE22" s="1" t="s">
        <v>37</v>
      </c>
      <c r="AF22" s="1" t="s">
        <v>37</v>
      </c>
      <c r="AG22" s="1" t="s">
        <v>133</v>
      </c>
      <c r="AH22" s="1">
        <v>19982565977</v>
      </c>
      <c r="AI22" s="1" t="s">
        <v>134</v>
      </c>
      <c r="AJ22" t="s">
        <v>56</v>
      </c>
    </row>
    <row r="23" spans="1:36" ht="12.6">
      <c r="A23" s="2">
        <v>45456.551171331019</v>
      </c>
      <c r="B23" s="1" t="s">
        <v>36</v>
      </c>
      <c r="C23" s="1" t="s">
        <v>37</v>
      </c>
      <c r="D23" s="1" t="s">
        <v>37</v>
      </c>
      <c r="E23" s="1" t="s">
        <v>37</v>
      </c>
      <c r="F23" s="1" t="s">
        <v>69</v>
      </c>
      <c r="G23" s="1">
        <v>4</v>
      </c>
      <c r="H23" s="1">
        <v>2</v>
      </c>
      <c r="I23" s="1">
        <v>2</v>
      </c>
      <c r="J23" s="1">
        <v>1</v>
      </c>
      <c r="K23" s="1">
        <v>3</v>
      </c>
      <c r="L23" s="1" t="s">
        <v>118</v>
      </c>
      <c r="M23" s="1">
        <v>1</v>
      </c>
      <c r="N23" s="1" t="s">
        <v>135</v>
      </c>
      <c r="O23" s="1">
        <v>3</v>
      </c>
      <c r="P23" s="1">
        <v>4</v>
      </c>
      <c r="Q23" s="1" t="s">
        <v>41</v>
      </c>
      <c r="R23" s="1" t="s">
        <v>42</v>
      </c>
      <c r="S23" s="1" t="s">
        <v>44</v>
      </c>
      <c r="T23" s="1" t="s">
        <v>53</v>
      </c>
      <c r="U23" s="1" t="s">
        <v>43</v>
      </c>
      <c r="V23" s="1" t="s">
        <v>43</v>
      </c>
      <c r="W23" s="1" t="s">
        <v>53</v>
      </c>
      <c r="X23" s="1" t="s">
        <v>43</v>
      </c>
      <c r="Y23" s="1" t="s">
        <v>44</v>
      </c>
      <c r="Z23" s="1" t="s">
        <v>44</v>
      </c>
      <c r="AA23" s="1" t="s">
        <v>43</v>
      </c>
      <c r="AB23" s="1" t="s">
        <v>44</v>
      </c>
      <c r="AC23" s="1" t="s">
        <v>43</v>
      </c>
      <c r="AD23" s="1" t="s">
        <v>45</v>
      </c>
      <c r="AE23" s="1" t="s">
        <v>37</v>
      </c>
      <c r="AF23" s="1" t="s">
        <v>37</v>
      </c>
      <c r="AG23" s="1" t="s">
        <v>136</v>
      </c>
      <c r="AH23" s="1">
        <v>11993901030</v>
      </c>
      <c r="AI23" s="1" t="s">
        <v>137</v>
      </c>
      <c r="AJ23" t="s">
        <v>48</v>
      </c>
    </row>
    <row r="24" spans="1:36" ht="12.6">
      <c r="A24" s="2">
        <v>45456.551873819444</v>
      </c>
      <c r="B24" s="1" t="s">
        <v>36</v>
      </c>
      <c r="C24" s="1" t="s">
        <v>37</v>
      </c>
      <c r="D24" s="1" t="s">
        <v>37</v>
      </c>
      <c r="E24" s="1" t="s">
        <v>37</v>
      </c>
      <c r="F24" s="1" t="s">
        <v>49</v>
      </c>
      <c r="G24" s="1">
        <v>3</v>
      </c>
      <c r="H24" s="1">
        <v>3</v>
      </c>
      <c r="I24" s="1">
        <v>3</v>
      </c>
      <c r="J24" s="1">
        <v>1</v>
      </c>
      <c r="K24" s="1">
        <v>5</v>
      </c>
      <c r="L24" s="1" t="s">
        <v>94</v>
      </c>
      <c r="M24" s="1">
        <v>4</v>
      </c>
      <c r="N24" s="1" t="s">
        <v>138</v>
      </c>
      <c r="O24" s="1">
        <v>5</v>
      </c>
      <c r="P24" s="1">
        <v>4</v>
      </c>
      <c r="Q24" s="1" t="s">
        <v>66</v>
      </c>
      <c r="R24" s="1" t="s">
        <v>44</v>
      </c>
      <c r="S24" s="1" t="s">
        <v>43</v>
      </c>
      <c r="T24" s="1" t="s">
        <v>44</v>
      </c>
      <c r="U24" s="1" t="s">
        <v>53</v>
      </c>
      <c r="V24" s="1" t="s">
        <v>43</v>
      </c>
      <c r="W24" s="1" t="s">
        <v>44</v>
      </c>
      <c r="X24" s="1" t="s">
        <v>44</v>
      </c>
      <c r="Y24" s="1" t="s">
        <v>44</v>
      </c>
      <c r="Z24" s="1" t="s">
        <v>44</v>
      </c>
      <c r="AA24" s="1" t="s">
        <v>44</v>
      </c>
      <c r="AB24" s="1" t="s">
        <v>43</v>
      </c>
      <c r="AC24" s="1" t="s">
        <v>43</v>
      </c>
      <c r="AD24" s="1" t="s">
        <v>45</v>
      </c>
      <c r="AE24" s="1" t="s">
        <v>37</v>
      </c>
      <c r="AF24" s="1" t="s">
        <v>37</v>
      </c>
      <c r="AG24" s="1" t="s">
        <v>139</v>
      </c>
      <c r="AH24" s="1">
        <v>11985119755</v>
      </c>
      <c r="AI24" s="1" t="s">
        <v>140</v>
      </c>
      <c r="AJ24" t="s">
        <v>62</v>
      </c>
    </row>
    <row r="25" spans="1:36" ht="12.6">
      <c r="A25" s="2">
        <v>45456.557435381939</v>
      </c>
      <c r="B25" s="1" t="s">
        <v>36</v>
      </c>
      <c r="C25" s="1" t="s">
        <v>37</v>
      </c>
      <c r="D25" s="1" t="s">
        <v>37</v>
      </c>
      <c r="E25" s="1" t="s">
        <v>37</v>
      </c>
      <c r="F25" s="1" t="s">
        <v>84</v>
      </c>
      <c r="G25" s="1">
        <v>4</v>
      </c>
      <c r="H25" s="1">
        <v>1</v>
      </c>
      <c r="I25" s="1">
        <v>1</v>
      </c>
      <c r="J25" s="1">
        <v>1</v>
      </c>
      <c r="K25" s="1">
        <v>3</v>
      </c>
      <c r="L25" s="1" t="s">
        <v>50</v>
      </c>
      <c r="M25" s="1">
        <v>1</v>
      </c>
      <c r="N25" s="1" t="s">
        <v>141</v>
      </c>
      <c r="O25" s="1">
        <v>5</v>
      </c>
      <c r="P25" s="1">
        <v>5</v>
      </c>
      <c r="Q25" s="1" t="s">
        <v>41</v>
      </c>
      <c r="R25" s="1" t="s">
        <v>52</v>
      </c>
      <c r="S25" s="1" t="s">
        <v>52</v>
      </c>
      <c r="T25" s="1" t="s">
        <v>52</v>
      </c>
      <c r="U25" s="1" t="s">
        <v>53</v>
      </c>
      <c r="V25" s="1" t="s">
        <v>44</v>
      </c>
      <c r="W25" s="1" t="s">
        <v>42</v>
      </c>
      <c r="X25" s="1" t="s">
        <v>44</v>
      </c>
      <c r="Y25" s="1" t="s">
        <v>44</v>
      </c>
      <c r="Z25" s="1" t="s">
        <v>43</v>
      </c>
      <c r="AA25" s="1" t="s">
        <v>44</v>
      </c>
      <c r="AB25" s="1" t="s">
        <v>43</v>
      </c>
      <c r="AC25" s="1" t="s">
        <v>44</v>
      </c>
      <c r="AD25" s="1" t="s">
        <v>45</v>
      </c>
      <c r="AE25" s="1" t="s">
        <v>37</v>
      </c>
      <c r="AF25" s="1" t="s">
        <v>37</v>
      </c>
      <c r="AG25" s="1" t="s">
        <v>142</v>
      </c>
      <c r="AH25" s="1">
        <v>11981910105</v>
      </c>
      <c r="AI25" s="1" t="s">
        <v>143</v>
      </c>
      <c r="AJ25" t="s">
        <v>56</v>
      </c>
    </row>
    <row r="26" spans="1:36" ht="12.6">
      <c r="A26" s="2">
        <v>45456.557466041668</v>
      </c>
      <c r="B26" s="1" t="s">
        <v>98</v>
      </c>
      <c r="C26" s="1" t="s">
        <v>37</v>
      </c>
      <c r="D26" s="1" t="s">
        <v>37</v>
      </c>
      <c r="E26" s="1" t="s">
        <v>37</v>
      </c>
      <c r="F26" s="1" t="s">
        <v>49</v>
      </c>
      <c r="G26" s="1">
        <v>3</v>
      </c>
      <c r="H26" s="1">
        <v>5</v>
      </c>
      <c r="I26" s="1">
        <v>2</v>
      </c>
      <c r="J26" s="1">
        <v>1</v>
      </c>
      <c r="K26" s="1">
        <v>3</v>
      </c>
      <c r="L26" s="1" t="s">
        <v>144</v>
      </c>
      <c r="M26" s="1">
        <v>3</v>
      </c>
      <c r="N26" s="1" t="s">
        <v>115</v>
      </c>
      <c r="O26" s="1">
        <v>4</v>
      </c>
      <c r="P26" s="1">
        <v>3</v>
      </c>
      <c r="Q26" s="1" t="s">
        <v>41</v>
      </c>
      <c r="R26" s="1" t="s">
        <v>53</v>
      </c>
      <c r="S26" s="1" t="s">
        <v>44</v>
      </c>
      <c r="T26" s="1" t="s">
        <v>53</v>
      </c>
      <c r="U26" s="1" t="s">
        <v>53</v>
      </c>
      <c r="V26" s="1" t="s">
        <v>43</v>
      </c>
      <c r="W26" s="1" t="s">
        <v>44</v>
      </c>
      <c r="X26" s="1" t="s">
        <v>44</v>
      </c>
      <c r="Y26" s="1" t="s">
        <v>44</v>
      </c>
      <c r="Z26" s="1" t="s">
        <v>44</v>
      </c>
      <c r="AA26" s="1" t="s">
        <v>44</v>
      </c>
      <c r="AB26" s="1" t="s">
        <v>43</v>
      </c>
      <c r="AC26" s="1" t="s">
        <v>43</v>
      </c>
      <c r="AD26" s="1" t="s">
        <v>45</v>
      </c>
      <c r="AE26" s="1" t="s">
        <v>37</v>
      </c>
      <c r="AF26" s="1" t="s">
        <v>37</v>
      </c>
      <c r="AG26" s="1" t="s">
        <v>145</v>
      </c>
      <c r="AH26" s="1">
        <v>11963277615</v>
      </c>
      <c r="AI26" s="1" t="s">
        <v>146</v>
      </c>
      <c r="AJ26" t="s">
        <v>48</v>
      </c>
    </row>
    <row r="27" spans="1:36" ht="12.6">
      <c r="A27" s="2">
        <v>45456.558263391205</v>
      </c>
      <c r="B27" s="1" t="s">
        <v>36</v>
      </c>
      <c r="C27" s="1" t="s">
        <v>37</v>
      </c>
      <c r="D27" s="1" t="s">
        <v>37</v>
      </c>
      <c r="E27" s="1" t="s">
        <v>37</v>
      </c>
      <c r="F27" s="1" t="s">
        <v>84</v>
      </c>
      <c r="G27" s="1">
        <v>2</v>
      </c>
      <c r="H27" s="1">
        <v>4</v>
      </c>
      <c r="I27" s="1">
        <v>4</v>
      </c>
      <c r="J27" s="1">
        <v>5</v>
      </c>
      <c r="K27" s="1">
        <v>4</v>
      </c>
      <c r="L27" s="1" t="s">
        <v>147</v>
      </c>
      <c r="M27" s="1">
        <v>1</v>
      </c>
      <c r="N27" s="1" t="s">
        <v>148</v>
      </c>
      <c r="O27" s="1">
        <v>5</v>
      </c>
      <c r="P27" s="1">
        <v>5</v>
      </c>
      <c r="Q27" s="1" t="s">
        <v>66</v>
      </c>
      <c r="R27" s="1" t="s">
        <v>52</v>
      </c>
      <c r="S27" s="1" t="s">
        <v>53</v>
      </c>
      <c r="T27" s="1" t="s">
        <v>52</v>
      </c>
      <c r="U27" s="1" t="s">
        <v>42</v>
      </c>
      <c r="V27" s="1" t="s">
        <v>44</v>
      </c>
      <c r="W27" s="1" t="s">
        <v>44</v>
      </c>
      <c r="X27" s="1" t="s">
        <v>44</v>
      </c>
      <c r="Y27" s="1" t="s">
        <v>44</v>
      </c>
      <c r="Z27" s="1" t="s">
        <v>43</v>
      </c>
      <c r="AA27" s="1" t="s">
        <v>44</v>
      </c>
      <c r="AB27" s="1" t="s">
        <v>43</v>
      </c>
      <c r="AC27" s="1" t="s">
        <v>44</v>
      </c>
      <c r="AD27" s="1" t="s">
        <v>45</v>
      </c>
      <c r="AE27" s="1" t="s">
        <v>37</v>
      </c>
      <c r="AF27" s="1" t="s">
        <v>37</v>
      </c>
      <c r="AG27" s="1" t="s">
        <v>149</v>
      </c>
      <c r="AH27" s="1">
        <v>11965826790</v>
      </c>
      <c r="AI27" s="1" t="s">
        <v>150</v>
      </c>
      <c r="AJ27" t="s">
        <v>56</v>
      </c>
    </row>
    <row r="28" spans="1:36" ht="12.6">
      <c r="A28" s="2">
        <v>45456.561383668981</v>
      </c>
      <c r="B28" s="1" t="s">
        <v>63</v>
      </c>
      <c r="C28" s="1" t="s">
        <v>37</v>
      </c>
      <c r="D28" s="1" t="s">
        <v>37</v>
      </c>
      <c r="E28" s="1" t="s">
        <v>37</v>
      </c>
      <c r="F28" s="1" t="s">
        <v>38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 t="s">
        <v>151</v>
      </c>
      <c r="M28" s="1">
        <v>4</v>
      </c>
      <c r="N28" s="1" t="s">
        <v>152</v>
      </c>
      <c r="O28" s="1">
        <v>5</v>
      </c>
      <c r="P28" s="1">
        <v>5</v>
      </c>
      <c r="Q28" s="1" t="s">
        <v>41</v>
      </c>
      <c r="R28" s="1" t="s">
        <v>53</v>
      </c>
      <c r="S28" s="1" t="s">
        <v>44</v>
      </c>
      <c r="T28" s="1" t="s">
        <v>44</v>
      </c>
      <c r="U28" s="1" t="s">
        <v>44</v>
      </c>
      <c r="V28" s="1" t="s">
        <v>43</v>
      </c>
      <c r="W28" s="1" t="s">
        <v>44</v>
      </c>
      <c r="X28" s="1" t="s">
        <v>43</v>
      </c>
      <c r="Y28" s="1" t="s">
        <v>44</v>
      </c>
      <c r="Z28" s="1" t="s">
        <v>43</v>
      </c>
      <c r="AA28" s="1" t="s">
        <v>44</v>
      </c>
      <c r="AB28" s="1" t="s">
        <v>43</v>
      </c>
      <c r="AC28" s="1" t="s">
        <v>43</v>
      </c>
      <c r="AD28" s="1" t="s">
        <v>45</v>
      </c>
      <c r="AE28" s="1" t="s">
        <v>37</v>
      </c>
      <c r="AF28" s="1" t="s">
        <v>37</v>
      </c>
      <c r="AG28" s="1" t="s">
        <v>153</v>
      </c>
      <c r="AH28" s="1">
        <v>69434450</v>
      </c>
      <c r="AI28" s="1" t="s">
        <v>154</v>
      </c>
      <c r="AJ28" t="s">
        <v>62</v>
      </c>
    </row>
    <row r="29" spans="1:36" ht="12.6">
      <c r="A29" s="2">
        <v>45456.566878842597</v>
      </c>
      <c r="B29" s="1" t="s">
        <v>98</v>
      </c>
      <c r="C29" s="1" t="s">
        <v>37</v>
      </c>
      <c r="D29" s="1" t="s">
        <v>37</v>
      </c>
      <c r="E29" s="1" t="s">
        <v>37</v>
      </c>
      <c r="F29" s="1" t="s">
        <v>49</v>
      </c>
      <c r="G29" s="1">
        <v>1</v>
      </c>
      <c r="H29" s="1">
        <v>2</v>
      </c>
      <c r="I29" s="1">
        <v>2</v>
      </c>
      <c r="J29" s="1">
        <v>1</v>
      </c>
      <c r="K29" s="1">
        <v>3</v>
      </c>
      <c r="L29" s="1" t="s">
        <v>147</v>
      </c>
      <c r="M29" s="1">
        <v>4</v>
      </c>
      <c r="N29" s="1" t="s">
        <v>155</v>
      </c>
      <c r="O29" s="1">
        <v>4</v>
      </c>
      <c r="P29" s="1">
        <v>3</v>
      </c>
      <c r="Q29" s="1" t="s">
        <v>156</v>
      </c>
      <c r="R29" s="1" t="s">
        <v>44</v>
      </c>
      <c r="S29" s="1" t="s">
        <v>43</v>
      </c>
      <c r="T29" s="1" t="s">
        <v>44</v>
      </c>
      <c r="U29" s="1" t="s">
        <v>53</v>
      </c>
      <c r="V29" s="1" t="s">
        <v>43</v>
      </c>
      <c r="W29" s="1" t="s">
        <v>44</v>
      </c>
      <c r="X29" s="1" t="s">
        <v>43</v>
      </c>
      <c r="Y29" s="1" t="s">
        <v>44</v>
      </c>
      <c r="Z29" s="1" t="s">
        <v>43</v>
      </c>
      <c r="AA29" s="1" t="s">
        <v>44</v>
      </c>
      <c r="AB29" s="1" t="s">
        <v>43</v>
      </c>
      <c r="AC29" s="1" t="s">
        <v>43</v>
      </c>
      <c r="AD29" s="1" t="s">
        <v>157</v>
      </c>
      <c r="AE29" s="1" t="s">
        <v>37</v>
      </c>
      <c r="AF29" s="1" t="s">
        <v>37</v>
      </c>
      <c r="AG29" s="1" t="s">
        <v>158</v>
      </c>
      <c r="AH29" s="1">
        <v>11966030329</v>
      </c>
      <c r="AI29" s="1" t="s">
        <v>159</v>
      </c>
      <c r="AJ29" t="s">
        <v>79</v>
      </c>
    </row>
    <row r="30" spans="1:36" ht="12.6">
      <c r="A30" s="2">
        <v>45456.571969965276</v>
      </c>
      <c r="B30" s="1" t="s">
        <v>98</v>
      </c>
      <c r="C30" s="1" t="s">
        <v>37</v>
      </c>
      <c r="D30" s="1" t="s">
        <v>37</v>
      </c>
      <c r="E30" s="1" t="s">
        <v>37</v>
      </c>
      <c r="F30" s="1" t="s">
        <v>69</v>
      </c>
      <c r="G30" s="1">
        <v>2</v>
      </c>
      <c r="H30" s="1">
        <v>4</v>
      </c>
      <c r="I30" s="1">
        <v>3</v>
      </c>
      <c r="J30" s="1">
        <v>1</v>
      </c>
      <c r="K30" s="1">
        <v>5</v>
      </c>
      <c r="L30" s="1" t="s">
        <v>160</v>
      </c>
      <c r="M30" s="1">
        <v>3</v>
      </c>
      <c r="N30" s="1" t="s">
        <v>161</v>
      </c>
      <c r="O30" s="1">
        <v>4</v>
      </c>
      <c r="P30" s="1">
        <v>4</v>
      </c>
      <c r="Q30" s="1" t="s">
        <v>66</v>
      </c>
      <c r="R30" s="1" t="s">
        <v>53</v>
      </c>
      <c r="S30" s="1" t="s">
        <v>43</v>
      </c>
      <c r="T30" s="1" t="s">
        <v>43</v>
      </c>
      <c r="U30" s="1" t="s">
        <v>42</v>
      </c>
      <c r="V30" s="1" t="s">
        <v>43</v>
      </c>
      <c r="W30" s="1" t="s">
        <v>44</v>
      </c>
      <c r="X30" s="1" t="s">
        <v>44</v>
      </c>
      <c r="Y30" s="1" t="s">
        <v>44</v>
      </c>
      <c r="Z30" s="1" t="s">
        <v>43</v>
      </c>
      <c r="AA30" s="1" t="s">
        <v>44</v>
      </c>
      <c r="AB30" s="1" t="s">
        <v>43</v>
      </c>
      <c r="AC30" s="1" t="s">
        <v>43</v>
      </c>
      <c r="AD30" s="1" t="s">
        <v>45</v>
      </c>
      <c r="AE30" s="1" t="s">
        <v>37</v>
      </c>
      <c r="AF30" s="1" t="s">
        <v>37</v>
      </c>
      <c r="AG30" s="1" t="s">
        <v>162</v>
      </c>
      <c r="AH30" s="1">
        <v>11959771884</v>
      </c>
      <c r="AI30" s="1" t="s">
        <v>163</v>
      </c>
      <c r="AJ30" t="s">
        <v>62</v>
      </c>
    </row>
    <row r="31" spans="1:36" ht="12.6">
      <c r="A31" s="2">
        <v>45456.5788009838</v>
      </c>
      <c r="B31" s="1" t="s">
        <v>36</v>
      </c>
      <c r="C31" s="1" t="s">
        <v>37</v>
      </c>
      <c r="D31" s="1" t="s">
        <v>37</v>
      </c>
      <c r="E31" s="1" t="s">
        <v>37</v>
      </c>
      <c r="F31" s="1" t="s">
        <v>89</v>
      </c>
      <c r="G31" s="1">
        <v>3</v>
      </c>
      <c r="H31" s="1">
        <v>2</v>
      </c>
      <c r="I31" s="1">
        <v>1</v>
      </c>
      <c r="J31" s="1">
        <v>1</v>
      </c>
      <c r="K31" s="1">
        <v>4</v>
      </c>
      <c r="L31" s="1" t="s">
        <v>164</v>
      </c>
      <c r="M31" s="1">
        <v>4</v>
      </c>
      <c r="N31" s="1" t="s">
        <v>165</v>
      </c>
      <c r="O31" s="1">
        <v>4</v>
      </c>
      <c r="P31" s="1">
        <v>3</v>
      </c>
      <c r="Q31" s="1" t="s">
        <v>66</v>
      </c>
      <c r="R31" s="1" t="s">
        <v>53</v>
      </c>
      <c r="S31" s="1" t="s">
        <v>43</v>
      </c>
      <c r="T31" s="1" t="s">
        <v>44</v>
      </c>
      <c r="U31" s="1" t="s">
        <v>44</v>
      </c>
      <c r="V31" s="1" t="s">
        <v>43</v>
      </c>
      <c r="W31" s="1" t="s">
        <v>44</v>
      </c>
      <c r="X31" s="1" t="s">
        <v>44</v>
      </c>
      <c r="Y31" s="1" t="s">
        <v>44</v>
      </c>
      <c r="Z31" s="1" t="s">
        <v>43</v>
      </c>
      <c r="AA31" s="1" t="s">
        <v>44</v>
      </c>
      <c r="AB31" s="1" t="s">
        <v>43</v>
      </c>
      <c r="AC31" s="1" t="s">
        <v>43</v>
      </c>
      <c r="AD31" s="1" t="s">
        <v>45</v>
      </c>
      <c r="AE31" s="1" t="s">
        <v>37</v>
      </c>
      <c r="AF31" s="1" t="s">
        <v>37</v>
      </c>
      <c r="AG31" s="1" t="s">
        <v>166</v>
      </c>
      <c r="AH31" s="1">
        <v>11942985221</v>
      </c>
      <c r="AI31" s="1" t="s">
        <v>167</v>
      </c>
      <c r="AJ31" t="s">
        <v>62</v>
      </c>
    </row>
    <row r="32" spans="1:36" ht="12.6">
      <c r="A32" s="2">
        <v>45456.582005173608</v>
      </c>
      <c r="B32" s="1" t="s">
        <v>98</v>
      </c>
      <c r="C32" s="1" t="s">
        <v>37</v>
      </c>
      <c r="D32" s="1" t="s">
        <v>37</v>
      </c>
      <c r="E32" s="1" t="s">
        <v>37</v>
      </c>
      <c r="F32" s="1" t="s">
        <v>49</v>
      </c>
      <c r="G32" s="1">
        <v>4</v>
      </c>
      <c r="H32" s="1">
        <v>2</v>
      </c>
      <c r="I32" s="1">
        <v>2</v>
      </c>
      <c r="J32" s="1">
        <v>1</v>
      </c>
      <c r="K32" s="1">
        <v>4</v>
      </c>
      <c r="L32" s="1" t="s">
        <v>131</v>
      </c>
      <c r="M32" s="1">
        <v>2</v>
      </c>
      <c r="N32" s="1" t="s">
        <v>58</v>
      </c>
      <c r="O32" s="1">
        <v>5</v>
      </c>
      <c r="P32" s="1">
        <v>3</v>
      </c>
      <c r="Q32" s="1" t="s">
        <v>41</v>
      </c>
      <c r="R32" s="1" t="s">
        <v>52</v>
      </c>
      <c r="S32" s="1" t="s">
        <v>44</v>
      </c>
      <c r="T32" s="1" t="s">
        <v>44</v>
      </c>
      <c r="U32" s="1" t="s">
        <v>53</v>
      </c>
      <c r="V32" s="1" t="s">
        <v>44</v>
      </c>
      <c r="W32" s="1" t="s">
        <v>44</v>
      </c>
      <c r="X32" s="1" t="s">
        <v>44</v>
      </c>
      <c r="Y32" s="1" t="s">
        <v>44</v>
      </c>
      <c r="Z32" s="1" t="s">
        <v>44</v>
      </c>
      <c r="AA32" s="1" t="s">
        <v>44</v>
      </c>
      <c r="AB32" s="1" t="s">
        <v>43</v>
      </c>
      <c r="AC32" s="1" t="s">
        <v>43</v>
      </c>
      <c r="AD32" s="1" t="s">
        <v>45</v>
      </c>
      <c r="AE32" s="1" t="s">
        <v>37</v>
      </c>
      <c r="AF32" s="1" t="s">
        <v>37</v>
      </c>
      <c r="AG32" s="1" t="s">
        <v>168</v>
      </c>
      <c r="AH32" s="1">
        <v>11960724606</v>
      </c>
      <c r="AI32" s="1" t="s">
        <v>82</v>
      </c>
      <c r="AJ32" t="s">
        <v>56</v>
      </c>
    </row>
    <row r="33" spans="1:36" ht="12.6">
      <c r="A33" s="2">
        <v>45456.653039027777</v>
      </c>
      <c r="B33" s="1" t="s">
        <v>169</v>
      </c>
      <c r="C33" s="1" t="s">
        <v>37</v>
      </c>
      <c r="D33" s="1" t="s">
        <v>37</v>
      </c>
      <c r="E33" s="1" t="s">
        <v>37</v>
      </c>
      <c r="F33" s="1" t="s">
        <v>89</v>
      </c>
      <c r="G33" s="1">
        <v>5</v>
      </c>
      <c r="H33" s="1">
        <v>4</v>
      </c>
      <c r="I33" s="1">
        <v>4</v>
      </c>
      <c r="J33" s="1">
        <v>1</v>
      </c>
      <c r="K33" s="1">
        <v>3</v>
      </c>
      <c r="L33" s="1" t="s">
        <v>94</v>
      </c>
      <c r="M33" s="1">
        <v>5</v>
      </c>
      <c r="N33" s="1" t="s">
        <v>170</v>
      </c>
      <c r="O33" s="1">
        <v>5</v>
      </c>
      <c r="P33" s="1">
        <v>5</v>
      </c>
      <c r="Q33" s="1" t="s">
        <v>41</v>
      </c>
      <c r="R33" s="1" t="s">
        <v>42</v>
      </c>
      <c r="S33" s="1" t="s">
        <v>44</v>
      </c>
      <c r="T33" s="1" t="s">
        <v>53</v>
      </c>
      <c r="U33" s="1" t="s">
        <v>53</v>
      </c>
      <c r="V33" s="1" t="s">
        <v>44</v>
      </c>
      <c r="W33" s="1" t="s">
        <v>44</v>
      </c>
      <c r="X33" s="1" t="s">
        <v>44</v>
      </c>
      <c r="Y33" s="1" t="s">
        <v>44</v>
      </c>
      <c r="Z33" s="1" t="s">
        <v>44</v>
      </c>
      <c r="AA33" s="1" t="s">
        <v>44</v>
      </c>
      <c r="AB33" s="1" t="s">
        <v>43</v>
      </c>
      <c r="AC33" s="1" t="s">
        <v>44</v>
      </c>
      <c r="AD33" s="1" t="s">
        <v>45</v>
      </c>
      <c r="AE33" s="1" t="s">
        <v>37</v>
      </c>
      <c r="AF33" s="1" t="s">
        <v>37</v>
      </c>
      <c r="AG33" s="1" t="s">
        <v>171</v>
      </c>
      <c r="AH33" s="1">
        <v>11996574080</v>
      </c>
      <c r="AI33" s="1" t="s">
        <v>172</v>
      </c>
      <c r="AJ33" t="s">
        <v>56</v>
      </c>
    </row>
    <row r="34" spans="1:36" ht="12.6">
      <c r="A34" s="2">
        <v>45456.756419155092</v>
      </c>
      <c r="B34" s="1" t="s">
        <v>36</v>
      </c>
      <c r="C34" s="1" t="s">
        <v>37</v>
      </c>
      <c r="D34" s="1" t="s">
        <v>37</v>
      </c>
      <c r="E34" s="1" t="s">
        <v>37</v>
      </c>
      <c r="F34" s="1" t="s">
        <v>89</v>
      </c>
      <c r="G34" s="1">
        <v>3</v>
      </c>
      <c r="H34" s="1">
        <v>3</v>
      </c>
      <c r="I34" s="1">
        <v>5</v>
      </c>
      <c r="J34" s="1">
        <v>1</v>
      </c>
      <c r="K34" s="1">
        <v>5</v>
      </c>
      <c r="L34" s="1" t="s">
        <v>173</v>
      </c>
      <c r="M34" s="1">
        <v>3</v>
      </c>
      <c r="N34" s="1" t="s">
        <v>174</v>
      </c>
      <c r="O34" s="1">
        <v>5</v>
      </c>
      <c r="P34" s="1">
        <v>3</v>
      </c>
      <c r="Q34" s="1" t="s">
        <v>41</v>
      </c>
      <c r="R34" s="1" t="s">
        <v>42</v>
      </c>
      <c r="S34" s="1" t="s">
        <v>44</v>
      </c>
      <c r="T34" s="1" t="s">
        <v>44</v>
      </c>
      <c r="U34" s="1" t="s">
        <v>44</v>
      </c>
      <c r="V34" s="1" t="s">
        <v>44</v>
      </c>
      <c r="W34" s="1" t="s">
        <v>44</v>
      </c>
      <c r="X34" s="1" t="s">
        <v>44</v>
      </c>
      <c r="Y34" s="1" t="s">
        <v>44</v>
      </c>
      <c r="Z34" s="1" t="s">
        <v>43</v>
      </c>
      <c r="AA34" s="1" t="s">
        <v>44</v>
      </c>
      <c r="AB34" s="1" t="s">
        <v>43</v>
      </c>
      <c r="AC34" s="1" t="s">
        <v>43</v>
      </c>
      <c r="AD34" s="1" t="s">
        <v>45</v>
      </c>
      <c r="AE34" s="1" t="s">
        <v>37</v>
      </c>
      <c r="AF34" s="1" t="s">
        <v>37</v>
      </c>
      <c r="AG34" s="1" t="s">
        <v>175</v>
      </c>
      <c r="AH34" s="1">
        <v>11999858065</v>
      </c>
      <c r="AI34" s="1" t="s">
        <v>176</v>
      </c>
      <c r="AJ34" t="s">
        <v>48</v>
      </c>
    </row>
    <row r="35" spans="1:36" ht="12.6">
      <c r="A35" s="2">
        <v>45456.940240763885</v>
      </c>
      <c r="B35" s="1" t="s">
        <v>98</v>
      </c>
      <c r="C35" s="1" t="s">
        <v>37</v>
      </c>
      <c r="D35" s="1" t="s">
        <v>37</v>
      </c>
      <c r="E35" s="1" t="s">
        <v>37</v>
      </c>
      <c r="F35" s="1" t="s">
        <v>49</v>
      </c>
      <c r="G35" s="1">
        <v>3</v>
      </c>
      <c r="H35" s="1">
        <v>4</v>
      </c>
      <c r="I35" s="1">
        <v>3</v>
      </c>
      <c r="J35" s="1">
        <v>1</v>
      </c>
      <c r="K35" s="1">
        <v>4</v>
      </c>
      <c r="L35" s="1" t="s">
        <v>177</v>
      </c>
      <c r="M35" s="1">
        <v>5</v>
      </c>
      <c r="N35" s="1" t="s">
        <v>178</v>
      </c>
      <c r="O35" s="1">
        <v>4</v>
      </c>
      <c r="P35" s="1">
        <v>5</v>
      </c>
      <c r="Q35" s="1" t="s">
        <v>66</v>
      </c>
      <c r="R35" s="1" t="s">
        <v>52</v>
      </c>
      <c r="S35" s="1" t="s">
        <v>44</v>
      </c>
      <c r="T35" s="1" t="s">
        <v>44</v>
      </c>
      <c r="U35" s="1" t="s">
        <v>44</v>
      </c>
      <c r="V35" s="1" t="s">
        <v>44</v>
      </c>
      <c r="W35" s="1" t="s">
        <v>44</v>
      </c>
      <c r="X35" s="1" t="s">
        <v>44</v>
      </c>
      <c r="Y35" s="1" t="s">
        <v>44</v>
      </c>
      <c r="Z35" s="1" t="s">
        <v>43</v>
      </c>
      <c r="AA35" s="1" t="s">
        <v>44</v>
      </c>
      <c r="AB35" s="1" t="s">
        <v>43</v>
      </c>
      <c r="AC35" s="1" t="s">
        <v>44</v>
      </c>
      <c r="AD35" s="1" t="s">
        <v>45</v>
      </c>
      <c r="AE35" s="1" t="s">
        <v>37</v>
      </c>
      <c r="AF35" s="1" t="s">
        <v>37</v>
      </c>
      <c r="AG35" s="1" t="s">
        <v>179</v>
      </c>
      <c r="AH35" s="1">
        <v>11964896385</v>
      </c>
      <c r="AI35" s="1" t="s">
        <v>180</v>
      </c>
      <c r="AJ35" t="s">
        <v>56</v>
      </c>
    </row>
    <row r="36" spans="1:36" ht="12.6">
      <c r="A36" s="2">
        <v>45457.419641354165</v>
      </c>
      <c r="B36" s="1" t="s">
        <v>36</v>
      </c>
      <c r="C36" s="1" t="s">
        <v>37</v>
      </c>
      <c r="D36" s="1" t="s">
        <v>37</v>
      </c>
      <c r="E36" s="1" t="s">
        <v>37</v>
      </c>
      <c r="F36" s="1" t="s">
        <v>49</v>
      </c>
      <c r="G36" s="1">
        <v>4</v>
      </c>
      <c r="H36" s="1">
        <v>4</v>
      </c>
      <c r="I36" s="1">
        <v>2</v>
      </c>
      <c r="J36" s="1">
        <v>2</v>
      </c>
      <c r="K36" s="1">
        <v>4</v>
      </c>
      <c r="L36" s="1" t="s">
        <v>181</v>
      </c>
      <c r="M36" s="1">
        <v>4</v>
      </c>
      <c r="N36" s="1" t="s">
        <v>155</v>
      </c>
      <c r="O36" s="1">
        <v>3</v>
      </c>
      <c r="P36" s="1">
        <v>3</v>
      </c>
      <c r="Q36" s="1" t="s">
        <v>41</v>
      </c>
      <c r="R36" s="1" t="s">
        <v>42</v>
      </c>
      <c r="S36" s="1" t="s">
        <v>44</v>
      </c>
      <c r="T36" s="1" t="s">
        <v>44</v>
      </c>
      <c r="U36" s="1" t="s">
        <v>44</v>
      </c>
      <c r="V36" s="1" t="s">
        <v>43</v>
      </c>
      <c r="W36" s="1" t="s">
        <v>44</v>
      </c>
      <c r="X36" s="1" t="s">
        <v>44</v>
      </c>
      <c r="Y36" s="1" t="s">
        <v>44</v>
      </c>
      <c r="Z36" s="1" t="s">
        <v>44</v>
      </c>
      <c r="AA36" s="1" t="s">
        <v>44</v>
      </c>
      <c r="AB36" s="1" t="s">
        <v>43</v>
      </c>
      <c r="AC36" s="1" t="s">
        <v>44</v>
      </c>
      <c r="AD36" s="1" t="s">
        <v>45</v>
      </c>
      <c r="AE36" s="1" t="s">
        <v>37</v>
      </c>
      <c r="AF36" s="1" t="s">
        <v>37</v>
      </c>
      <c r="AG36" s="1" t="s">
        <v>182</v>
      </c>
      <c r="AH36" s="1">
        <v>31997851433</v>
      </c>
      <c r="AI36" s="1" t="s">
        <v>183</v>
      </c>
      <c r="AJ36" t="s">
        <v>48</v>
      </c>
    </row>
    <row r="37" spans="1:36" ht="12.6">
      <c r="A37" s="2">
        <v>45457.451082685184</v>
      </c>
      <c r="B37" s="1" t="s">
        <v>36</v>
      </c>
      <c r="C37" s="1" t="s">
        <v>37</v>
      </c>
      <c r="D37" s="1" t="s">
        <v>37</v>
      </c>
      <c r="E37" s="1" t="s">
        <v>37</v>
      </c>
      <c r="F37" s="1" t="s">
        <v>69</v>
      </c>
      <c r="G37" s="1">
        <v>5</v>
      </c>
      <c r="H37" s="1">
        <v>4</v>
      </c>
      <c r="I37" s="1">
        <v>2</v>
      </c>
      <c r="J37" s="1">
        <v>1</v>
      </c>
      <c r="K37" s="1">
        <v>5</v>
      </c>
      <c r="L37" s="1" t="s">
        <v>94</v>
      </c>
      <c r="M37" s="1">
        <v>3</v>
      </c>
      <c r="N37" s="1" t="s">
        <v>184</v>
      </c>
      <c r="O37" s="1">
        <v>4</v>
      </c>
      <c r="P37" s="1">
        <v>4</v>
      </c>
      <c r="Q37" s="1" t="s">
        <v>41</v>
      </c>
      <c r="R37" s="1" t="s">
        <v>44</v>
      </c>
      <c r="S37" s="1" t="s">
        <v>43</v>
      </c>
      <c r="T37" s="1" t="s">
        <v>43</v>
      </c>
      <c r="U37" s="1" t="s">
        <v>42</v>
      </c>
      <c r="V37" s="1" t="s">
        <v>43</v>
      </c>
      <c r="W37" s="1" t="s">
        <v>44</v>
      </c>
      <c r="X37" s="1" t="s">
        <v>44</v>
      </c>
      <c r="Y37" s="1" t="s">
        <v>44</v>
      </c>
      <c r="Z37" s="1" t="s">
        <v>44</v>
      </c>
      <c r="AA37" s="1" t="s">
        <v>44</v>
      </c>
      <c r="AB37" s="1" t="s">
        <v>44</v>
      </c>
      <c r="AC37" s="1" t="s">
        <v>44</v>
      </c>
      <c r="AD37" s="1" t="s">
        <v>45</v>
      </c>
      <c r="AE37" s="1" t="s">
        <v>37</v>
      </c>
      <c r="AF37" s="1" t="s">
        <v>37</v>
      </c>
      <c r="AG37" s="1" t="s">
        <v>185</v>
      </c>
      <c r="AH37" s="1">
        <v>11966681659</v>
      </c>
      <c r="AI37" s="1" t="s">
        <v>186</v>
      </c>
      <c r="AJ37" t="s">
        <v>62</v>
      </c>
    </row>
    <row r="38" spans="1:36" ht="12.6">
      <c r="A38" s="2">
        <v>45457.510615856481</v>
      </c>
      <c r="B38" s="1" t="s">
        <v>63</v>
      </c>
      <c r="C38" s="1" t="s">
        <v>37</v>
      </c>
      <c r="D38" s="1" t="s">
        <v>37</v>
      </c>
      <c r="E38" s="1" t="s">
        <v>37</v>
      </c>
      <c r="F38" s="1" t="s">
        <v>89</v>
      </c>
      <c r="G38" s="1">
        <v>5</v>
      </c>
      <c r="H38" s="1">
        <v>5</v>
      </c>
      <c r="I38" s="1">
        <v>3</v>
      </c>
      <c r="J38" s="1">
        <v>1</v>
      </c>
      <c r="K38" s="1">
        <v>1</v>
      </c>
      <c r="L38" s="1" t="s">
        <v>173</v>
      </c>
      <c r="M38" s="1">
        <v>4</v>
      </c>
      <c r="N38" s="1" t="s">
        <v>187</v>
      </c>
      <c r="O38" s="1">
        <v>5</v>
      </c>
      <c r="P38" s="1">
        <v>3</v>
      </c>
      <c r="Q38" s="1" t="s">
        <v>41</v>
      </c>
      <c r="R38" s="1" t="s">
        <v>42</v>
      </c>
      <c r="S38" s="1" t="s">
        <v>44</v>
      </c>
      <c r="T38" s="1" t="s">
        <v>53</v>
      </c>
      <c r="U38" s="1" t="s">
        <v>42</v>
      </c>
      <c r="V38" s="1" t="s">
        <v>43</v>
      </c>
      <c r="W38" s="1" t="s">
        <v>42</v>
      </c>
      <c r="X38" s="1" t="s">
        <v>43</v>
      </c>
      <c r="Y38" s="1" t="s">
        <v>53</v>
      </c>
      <c r="Z38" s="1" t="s">
        <v>43</v>
      </c>
      <c r="AA38" s="1" t="s">
        <v>53</v>
      </c>
      <c r="AB38" s="1" t="s">
        <v>44</v>
      </c>
      <c r="AC38" s="1" t="s">
        <v>53</v>
      </c>
      <c r="AD38" s="1" t="s">
        <v>59</v>
      </c>
      <c r="AE38" s="1" t="s">
        <v>37</v>
      </c>
      <c r="AF38" s="1" t="s">
        <v>37</v>
      </c>
      <c r="AG38" s="1" t="s">
        <v>188</v>
      </c>
      <c r="AH38" s="1">
        <v>11974829212</v>
      </c>
      <c r="AI38" s="1" t="s">
        <v>189</v>
      </c>
      <c r="AJ38" t="s">
        <v>56</v>
      </c>
    </row>
    <row r="39" spans="1:36" ht="12.6">
      <c r="A39" s="2">
        <v>45457.511890752314</v>
      </c>
      <c r="B39" s="1" t="s">
        <v>36</v>
      </c>
      <c r="C39" s="1" t="s">
        <v>37</v>
      </c>
      <c r="D39" s="1" t="s">
        <v>37</v>
      </c>
      <c r="E39" s="1" t="s">
        <v>37</v>
      </c>
      <c r="F39" s="1" t="s">
        <v>84</v>
      </c>
      <c r="G39" s="1">
        <v>1</v>
      </c>
      <c r="H39" s="1">
        <v>1</v>
      </c>
      <c r="I39" s="1">
        <v>1</v>
      </c>
      <c r="J39" s="1">
        <v>1</v>
      </c>
      <c r="K39" s="1">
        <v>4</v>
      </c>
      <c r="L39" s="1" t="s">
        <v>147</v>
      </c>
      <c r="M39" s="1">
        <v>2</v>
      </c>
      <c r="N39" s="1" t="s">
        <v>190</v>
      </c>
      <c r="O39" s="1">
        <v>3</v>
      </c>
      <c r="P39" s="1">
        <v>3</v>
      </c>
      <c r="Q39" s="1" t="s">
        <v>66</v>
      </c>
      <c r="R39" s="1" t="s">
        <v>42</v>
      </c>
      <c r="S39" s="1" t="s">
        <v>42</v>
      </c>
      <c r="T39" s="1" t="s">
        <v>52</v>
      </c>
      <c r="U39" s="1" t="s">
        <v>53</v>
      </c>
      <c r="V39" s="1" t="s">
        <v>44</v>
      </c>
      <c r="W39" s="1" t="s">
        <v>44</v>
      </c>
      <c r="X39" s="1" t="s">
        <v>44</v>
      </c>
      <c r="Y39" s="1" t="s">
        <v>44</v>
      </c>
      <c r="Z39" s="1" t="s">
        <v>44</v>
      </c>
      <c r="AA39" s="1" t="s">
        <v>44</v>
      </c>
      <c r="AB39" s="1" t="s">
        <v>44</v>
      </c>
      <c r="AC39" s="1" t="s">
        <v>43</v>
      </c>
      <c r="AD39" s="1" t="s">
        <v>45</v>
      </c>
      <c r="AE39" s="1" t="s">
        <v>37</v>
      </c>
      <c r="AF39" s="1" t="s">
        <v>37</v>
      </c>
      <c r="AG39" s="1" t="s">
        <v>191</v>
      </c>
      <c r="AH39" s="1">
        <v>11976078000</v>
      </c>
      <c r="AI39" s="1" t="s">
        <v>192</v>
      </c>
      <c r="AJ39" t="s">
        <v>56</v>
      </c>
    </row>
    <row r="40" spans="1:36" ht="12.6">
      <c r="A40" s="2">
        <v>45457.518427789357</v>
      </c>
      <c r="B40" s="1" t="s">
        <v>169</v>
      </c>
      <c r="C40" s="1" t="s">
        <v>37</v>
      </c>
      <c r="D40" s="1" t="s">
        <v>37</v>
      </c>
      <c r="E40" s="1" t="s">
        <v>37</v>
      </c>
      <c r="F40" s="1" t="s">
        <v>84</v>
      </c>
      <c r="G40" s="1">
        <v>5</v>
      </c>
      <c r="H40" s="1">
        <v>3</v>
      </c>
      <c r="I40" s="1">
        <v>1</v>
      </c>
      <c r="J40" s="1">
        <v>1</v>
      </c>
      <c r="K40" s="1">
        <v>3</v>
      </c>
      <c r="L40" s="1" t="s">
        <v>57</v>
      </c>
      <c r="M40" s="1">
        <v>5</v>
      </c>
      <c r="N40" s="1" t="s">
        <v>193</v>
      </c>
      <c r="O40" s="1">
        <v>4</v>
      </c>
      <c r="P40" s="1">
        <v>5</v>
      </c>
      <c r="Q40" s="1" t="s">
        <v>66</v>
      </c>
      <c r="R40" s="1" t="s">
        <v>53</v>
      </c>
      <c r="S40" s="1" t="s">
        <v>44</v>
      </c>
      <c r="T40" s="1" t="s">
        <v>44</v>
      </c>
      <c r="U40" s="1" t="s">
        <v>53</v>
      </c>
      <c r="V40" s="1" t="s">
        <v>44</v>
      </c>
      <c r="W40" s="1" t="s">
        <v>53</v>
      </c>
      <c r="X40" s="1" t="s">
        <v>44</v>
      </c>
      <c r="Y40" s="1" t="s">
        <v>44</v>
      </c>
      <c r="Z40" s="1" t="s">
        <v>43</v>
      </c>
      <c r="AA40" s="1" t="s">
        <v>43</v>
      </c>
      <c r="AB40" s="1" t="s">
        <v>44</v>
      </c>
      <c r="AC40" s="1" t="s">
        <v>43</v>
      </c>
      <c r="AD40" s="1" t="s">
        <v>45</v>
      </c>
      <c r="AE40" s="1" t="s">
        <v>37</v>
      </c>
      <c r="AF40" s="1" t="s">
        <v>37</v>
      </c>
      <c r="AG40" s="1" t="s">
        <v>194</v>
      </c>
      <c r="AH40" s="1">
        <v>11964043921</v>
      </c>
      <c r="AI40" s="1" t="s">
        <v>82</v>
      </c>
      <c r="AJ40" t="s">
        <v>48</v>
      </c>
    </row>
    <row r="41" spans="1:36" ht="12.6">
      <c r="A41" s="2">
        <v>45457.521876516199</v>
      </c>
      <c r="B41" s="1" t="s">
        <v>63</v>
      </c>
      <c r="C41" s="1" t="s">
        <v>37</v>
      </c>
      <c r="D41" s="1" t="s">
        <v>37</v>
      </c>
      <c r="E41" s="1" t="s">
        <v>37</v>
      </c>
      <c r="F41" s="1" t="s">
        <v>69</v>
      </c>
      <c r="G41" s="1">
        <v>5</v>
      </c>
      <c r="H41" s="1">
        <v>3</v>
      </c>
      <c r="I41" s="1">
        <v>3</v>
      </c>
      <c r="J41" s="1">
        <v>2</v>
      </c>
      <c r="K41" s="1">
        <v>5</v>
      </c>
      <c r="L41" s="1" t="s">
        <v>195</v>
      </c>
      <c r="M41" s="1">
        <v>2</v>
      </c>
      <c r="N41" s="1" t="s">
        <v>196</v>
      </c>
      <c r="O41" s="1">
        <v>5</v>
      </c>
      <c r="P41" s="1">
        <v>5</v>
      </c>
      <c r="Q41" s="1" t="s">
        <v>66</v>
      </c>
      <c r="R41" s="1" t="s">
        <v>53</v>
      </c>
      <c r="S41" s="1" t="s">
        <v>44</v>
      </c>
      <c r="T41" s="1" t="s">
        <v>44</v>
      </c>
      <c r="U41" s="1" t="s">
        <v>42</v>
      </c>
      <c r="V41" s="1" t="s">
        <v>43</v>
      </c>
      <c r="W41" s="1" t="s">
        <v>44</v>
      </c>
      <c r="X41" s="1" t="s">
        <v>43</v>
      </c>
      <c r="Y41" s="1" t="s">
        <v>44</v>
      </c>
      <c r="Z41" s="1" t="s">
        <v>43</v>
      </c>
      <c r="AA41" s="1" t="s">
        <v>44</v>
      </c>
      <c r="AB41" s="1" t="s">
        <v>43</v>
      </c>
      <c r="AC41" s="1" t="s">
        <v>43</v>
      </c>
      <c r="AD41" s="1" t="s">
        <v>45</v>
      </c>
      <c r="AE41" s="1" t="s">
        <v>37</v>
      </c>
      <c r="AF41" s="1" t="s">
        <v>37</v>
      </c>
      <c r="AG41" s="1" t="s">
        <v>197</v>
      </c>
      <c r="AH41" s="1">
        <v>11973007738</v>
      </c>
      <c r="AI41" s="1" t="s">
        <v>198</v>
      </c>
      <c r="AJ41" t="s">
        <v>48</v>
      </c>
    </row>
    <row r="42" spans="1:36" ht="12.6">
      <c r="A42" s="2">
        <v>45457.523536076391</v>
      </c>
      <c r="B42" s="1" t="s">
        <v>63</v>
      </c>
      <c r="C42" s="1" t="s">
        <v>37</v>
      </c>
      <c r="D42" s="1" t="s">
        <v>37</v>
      </c>
      <c r="E42" s="1" t="s">
        <v>37</v>
      </c>
      <c r="F42" s="1" t="s">
        <v>69</v>
      </c>
      <c r="G42" s="1">
        <v>4</v>
      </c>
      <c r="H42" s="1">
        <v>5</v>
      </c>
      <c r="I42" s="1">
        <v>2</v>
      </c>
      <c r="J42" s="1">
        <v>1</v>
      </c>
      <c r="K42" s="1">
        <v>4</v>
      </c>
      <c r="L42" s="1" t="s">
        <v>75</v>
      </c>
      <c r="M42" s="1">
        <v>3</v>
      </c>
      <c r="N42" s="1" t="s">
        <v>199</v>
      </c>
      <c r="O42" s="1">
        <v>4</v>
      </c>
      <c r="P42" s="1">
        <v>4</v>
      </c>
      <c r="Q42" s="1" t="s">
        <v>41</v>
      </c>
      <c r="R42" s="1" t="s">
        <v>52</v>
      </c>
      <c r="S42" s="1" t="s">
        <v>44</v>
      </c>
      <c r="T42" s="1" t="s">
        <v>53</v>
      </c>
      <c r="U42" s="1" t="s">
        <v>42</v>
      </c>
      <c r="V42" s="1" t="s">
        <v>44</v>
      </c>
      <c r="W42" s="1" t="s">
        <v>44</v>
      </c>
      <c r="X42" s="1" t="s">
        <v>43</v>
      </c>
      <c r="Y42" s="1" t="s">
        <v>44</v>
      </c>
      <c r="Z42" s="1" t="s">
        <v>43</v>
      </c>
      <c r="AA42" s="1" t="s">
        <v>44</v>
      </c>
      <c r="AB42" s="1" t="s">
        <v>43</v>
      </c>
      <c r="AC42" s="1" t="s">
        <v>44</v>
      </c>
      <c r="AD42" s="1" t="s">
        <v>45</v>
      </c>
      <c r="AE42" s="1" t="s">
        <v>37</v>
      </c>
      <c r="AF42" s="1" t="s">
        <v>37</v>
      </c>
      <c r="AG42" s="1" t="s">
        <v>200</v>
      </c>
      <c r="AH42" s="1">
        <v>11998654419</v>
      </c>
      <c r="AI42" s="1" t="s">
        <v>201</v>
      </c>
      <c r="AJ42" t="s">
        <v>56</v>
      </c>
    </row>
    <row r="43" spans="1:36" ht="12.6">
      <c r="A43" s="2">
        <v>45457.525013692131</v>
      </c>
      <c r="B43" s="1" t="s">
        <v>36</v>
      </c>
      <c r="C43" s="1" t="s">
        <v>37</v>
      </c>
      <c r="D43" s="1" t="s">
        <v>37</v>
      </c>
      <c r="E43" s="1" t="s">
        <v>37</v>
      </c>
      <c r="F43" s="1" t="s">
        <v>84</v>
      </c>
      <c r="G43" s="1">
        <v>5</v>
      </c>
      <c r="H43" s="1">
        <v>5</v>
      </c>
      <c r="I43" s="1">
        <v>3</v>
      </c>
      <c r="J43" s="1">
        <v>3</v>
      </c>
      <c r="K43" s="1">
        <v>5</v>
      </c>
      <c r="L43" s="1" t="s">
        <v>118</v>
      </c>
      <c r="M43" s="1">
        <v>4</v>
      </c>
      <c r="N43" s="1" t="s">
        <v>202</v>
      </c>
      <c r="O43" s="1">
        <v>5</v>
      </c>
      <c r="P43" s="1">
        <v>3</v>
      </c>
      <c r="Q43" s="1" t="s">
        <v>66</v>
      </c>
      <c r="R43" s="1" t="s">
        <v>44</v>
      </c>
      <c r="S43" s="1" t="s">
        <v>43</v>
      </c>
      <c r="T43" s="1" t="s">
        <v>43</v>
      </c>
      <c r="U43" s="1" t="s">
        <v>43</v>
      </c>
      <c r="V43" s="1" t="s">
        <v>43</v>
      </c>
      <c r="W43" s="1" t="s">
        <v>44</v>
      </c>
      <c r="X43" s="1" t="s">
        <v>43</v>
      </c>
      <c r="Y43" s="1" t="s">
        <v>44</v>
      </c>
      <c r="Z43" s="1" t="s">
        <v>43</v>
      </c>
      <c r="AA43" s="1" t="s">
        <v>44</v>
      </c>
      <c r="AB43" s="1" t="s">
        <v>43</v>
      </c>
      <c r="AC43" s="1" t="s">
        <v>43</v>
      </c>
      <c r="AD43" s="1" t="s">
        <v>59</v>
      </c>
      <c r="AE43" s="1" t="s">
        <v>37</v>
      </c>
      <c r="AF43" s="1" t="s">
        <v>37</v>
      </c>
      <c r="AG43" s="1" t="s">
        <v>203</v>
      </c>
      <c r="AH43" s="1">
        <v>16996032580</v>
      </c>
      <c r="AI43" s="1" t="s">
        <v>204</v>
      </c>
      <c r="AJ43" t="s">
        <v>83</v>
      </c>
    </row>
    <row r="44" spans="1:36" ht="12.6">
      <c r="A44" s="2">
        <v>45457.525354050929</v>
      </c>
      <c r="B44" s="1" t="s">
        <v>98</v>
      </c>
      <c r="C44" s="1" t="s">
        <v>37</v>
      </c>
      <c r="D44" s="1" t="s">
        <v>37</v>
      </c>
      <c r="E44" s="1" t="s">
        <v>37</v>
      </c>
      <c r="F44" s="1" t="s">
        <v>49</v>
      </c>
      <c r="G44" s="1">
        <v>4</v>
      </c>
      <c r="H44" s="1">
        <v>1</v>
      </c>
      <c r="I44" s="1">
        <v>1</v>
      </c>
      <c r="J44" s="1">
        <v>1</v>
      </c>
      <c r="K44" s="1">
        <v>1</v>
      </c>
      <c r="L44" s="1" t="s">
        <v>160</v>
      </c>
      <c r="M44" s="1">
        <v>5</v>
      </c>
      <c r="N44" s="1" t="s">
        <v>205</v>
      </c>
      <c r="O44" s="1">
        <v>5</v>
      </c>
      <c r="P44" s="1">
        <v>5</v>
      </c>
      <c r="Q44" s="1" t="s">
        <v>41</v>
      </c>
      <c r="R44" s="1" t="s">
        <v>53</v>
      </c>
      <c r="S44" s="1" t="s">
        <v>44</v>
      </c>
      <c r="T44" s="1" t="s">
        <v>44</v>
      </c>
      <c r="U44" s="1" t="s">
        <v>44</v>
      </c>
      <c r="V44" s="1" t="s">
        <v>44</v>
      </c>
      <c r="W44" s="1" t="s">
        <v>44</v>
      </c>
      <c r="X44" s="1" t="s">
        <v>44</v>
      </c>
      <c r="Y44" s="1" t="s">
        <v>44</v>
      </c>
      <c r="Z44" s="1" t="s">
        <v>43</v>
      </c>
      <c r="AA44" s="1" t="s">
        <v>44</v>
      </c>
      <c r="AB44" s="1" t="s">
        <v>43</v>
      </c>
      <c r="AC44" s="1" t="s">
        <v>44</v>
      </c>
      <c r="AD44" s="1" t="s">
        <v>45</v>
      </c>
      <c r="AE44" s="1" t="s">
        <v>37</v>
      </c>
      <c r="AF44" s="1" t="s">
        <v>37</v>
      </c>
      <c r="AG44" s="1" t="s">
        <v>206</v>
      </c>
      <c r="AH44" s="1">
        <v>13988446264</v>
      </c>
      <c r="AI44" s="1" t="s">
        <v>207</v>
      </c>
      <c r="AJ44" t="s">
        <v>48</v>
      </c>
    </row>
    <row r="45" spans="1:36" ht="12.6">
      <c r="A45" s="2">
        <v>45457.525724571758</v>
      </c>
      <c r="B45" s="1" t="s">
        <v>98</v>
      </c>
      <c r="C45" s="1" t="s">
        <v>37</v>
      </c>
      <c r="D45" s="1" t="s">
        <v>37</v>
      </c>
      <c r="E45" s="1" t="s">
        <v>37</v>
      </c>
      <c r="F45" s="1" t="s">
        <v>49</v>
      </c>
      <c r="G45" s="1">
        <v>3</v>
      </c>
      <c r="H45" s="1">
        <v>2</v>
      </c>
      <c r="I45" s="1">
        <v>3</v>
      </c>
      <c r="J45" s="1">
        <v>2</v>
      </c>
      <c r="K45" s="1">
        <v>3</v>
      </c>
      <c r="L45" s="1" t="s">
        <v>208</v>
      </c>
      <c r="M45" s="1">
        <v>3</v>
      </c>
      <c r="N45" s="1" t="s">
        <v>209</v>
      </c>
      <c r="O45" s="1">
        <v>3</v>
      </c>
      <c r="P45" s="1">
        <v>4</v>
      </c>
      <c r="Q45" s="1" t="s">
        <v>41</v>
      </c>
      <c r="R45" s="1" t="s">
        <v>53</v>
      </c>
      <c r="S45" s="1" t="s">
        <v>44</v>
      </c>
      <c r="T45" s="1" t="s">
        <v>53</v>
      </c>
      <c r="U45" s="1" t="s">
        <v>42</v>
      </c>
      <c r="V45" s="1" t="s">
        <v>44</v>
      </c>
      <c r="W45" s="1" t="s">
        <v>53</v>
      </c>
      <c r="X45" s="1" t="s">
        <v>43</v>
      </c>
      <c r="Y45" s="1" t="s">
        <v>44</v>
      </c>
      <c r="Z45" s="1" t="s">
        <v>43</v>
      </c>
      <c r="AA45" s="1" t="s">
        <v>44</v>
      </c>
      <c r="AB45" s="1" t="s">
        <v>43</v>
      </c>
      <c r="AC45" s="1" t="s">
        <v>44</v>
      </c>
      <c r="AD45" s="1" t="s">
        <v>45</v>
      </c>
      <c r="AE45" s="1" t="s">
        <v>37</v>
      </c>
      <c r="AF45" s="1" t="s">
        <v>37</v>
      </c>
      <c r="AG45" s="1" t="s">
        <v>210</v>
      </c>
      <c r="AH45" s="1">
        <v>77988091031</v>
      </c>
      <c r="AI45" s="1" t="s">
        <v>211</v>
      </c>
      <c r="AJ45" t="s">
        <v>56</v>
      </c>
    </row>
    <row r="46" spans="1:36" ht="12.6">
      <c r="A46" s="2">
        <v>45457.531305115743</v>
      </c>
      <c r="B46" s="1" t="s">
        <v>63</v>
      </c>
      <c r="C46" s="1" t="s">
        <v>37</v>
      </c>
      <c r="D46" s="1" t="s">
        <v>37</v>
      </c>
      <c r="E46" s="1" t="s">
        <v>37</v>
      </c>
      <c r="F46" s="1" t="s">
        <v>84</v>
      </c>
      <c r="G46" s="1">
        <v>4</v>
      </c>
      <c r="H46" s="1">
        <v>3</v>
      </c>
      <c r="I46" s="1">
        <v>5</v>
      </c>
      <c r="J46" s="1">
        <v>1</v>
      </c>
      <c r="K46" s="1">
        <v>5</v>
      </c>
      <c r="L46" s="1" t="s">
        <v>50</v>
      </c>
      <c r="M46" s="1">
        <v>4</v>
      </c>
      <c r="N46" s="1" t="s">
        <v>212</v>
      </c>
      <c r="O46" s="1">
        <v>5</v>
      </c>
      <c r="P46" s="1">
        <v>5</v>
      </c>
      <c r="Q46" s="1" t="s">
        <v>41</v>
      </c>
      <c r="R46" s="1" t="s">
        <v>52</v>
      </c>
      <c r="S46" s="1" t="s">
        <v>43</v>
      </c>
      <c r="T46" s="1" t="s">
        <v>43</v>
      </c>
      <c r="U46" s="1" t="s">
        <v>53</v>
      </c>
      <c r="V46" s="1" t="s">
        <v>43</v>
      </c>
      <c r="W46" s="1" t="s">
        <v>44</v>
      </c>
      <c r="X46" s="1" t="s">
        <v>44</v>
      </c>
      <c r="Y46" s="1" t="s">
        <v>44</v>
      </c>
      <c r="Z46" s="1" t="s">
        <v>43</v>
      </c>
      <c r="AA46" s="1" t="s">
        <v>44</v>
      </c>
      <c r="AB46" s="1" t="s">
        <v>43</v>
      </c>
      <c r="AC46" s="1" t="s">
        <v>44</v>
      </c>
      <c r="AD46" s="1" t="s">
        <v>45</v>
      </c>
      <c r="AE46" s="1" t="s">
        <v>37</v>
      </c>
      <c r="AF46" s="1" t="s">
        <v>37</v>
      </c>
      <c r="AG46" s="1" t="s">
        <v>213</v>
      </c>
      <c r="AH46" s="1">
        <v>11961320095</v>
      </c>
      <c r="AI46" s="1" t="s">
        <v>214</v>
      </c>
      <c r="AJ46" t="s">
        <v>48</v>
      </c>
    </row>
    <row r="47" spans="1:36" ht="12.6">
      <c r="A47" s="2">
        <v>45457.531485254629</v>
      </c>
      <c r="B47" s="1" t="s">
        <v>63</v>
      </c>
      <c r="C47" s="1" t="s">
        <v>37</v>
      </c>
      <c r="D47" s="1" t="s">
        <v>37</v>
      </c>
      <c r="E47" s="1" t="s">
        <v>37</v>
      </c>
      <c r="F47" s="1" t="s">
        <v>69</v>
      </c>
      <c r="G47" s="1">
        <v>4</v>
      </c>
      <c r="H47" s="1">
        <v>3</v>
      </c>
      <c r="I47" s="1">
        <v>2</v>
      </c>
      <c r="J47" s="1">
        <v>1</v>
      </c>
      <c r="K47" s="1">
        <v>2</v>
      </c>
      <c r="L47" s="1" t="s">
        <v>215</v>
      </c>
      <c r="M47" s="1">
        <v>3</v>
      </c>
      <c r="N47" s="1" t="s">
        <v>216</v>
      </c>
      <c r="O47" s="1">
        <v>3</v>
      </c>
      <c r="P47" s="1">
        <v>4</v>
      </c>
      <c r="Q47" s="1" t="s">
        <v>66</v>
      </c>
      <c r="R47" s="1" t="s">
        <v>42</v>
      </c>
      <c r="S47" s="1" t="s">
        <v>43</v>
      </c>
      <c r="T47" s="1" t="s">
        <v>43</v>
      </c>
      <c r="U47" s="1" t="s">
        <v>44</v>
      </c>
      <c r="V47" s="1" t="s">
        <v>43</v>
      </c>
      <c r="W47" s="1" t="s">
        <v>44</v>
      </c>
      <c r="X47" s="1" t="s">
        <v>43</v>
      </c>
      <c r="Y47" s="1" t="s">
        <v>44</v>
      </c>
      <c r="Z47" s="1" t="s">
        <v>43</v>
      </c>
      <c r="AA47" s="1" t="s">
        <v>44</v>
      </c>
      <c r="AB47" s="1" t="s">
        <v>43</v>
      </c>
      <c r="AC47" s="1" t="s">
        <v>44</v>
      </c>
      <c r="AD47" s="1" t="s">
        <v>45</v>
      </c>
      <c r="AE47" s="1" t="s">
        <v>37</v>
      </c>
      <c r="AF47" s="1" t="s">
        <v>37</v>
      </c>
      <c r="AG47" s="1" t="s">
        <v>217</v>
      </c>
      <c r="AH47" s="1">
        <v>11998144834</v>
      </c>
      <c r="AI47" s="1" t="s">
        <v>218</v>
      </c>
      <c r="AJ47" t="s">
        <v>62</v>
      </c>
    </row>
    <row r="48" spans="1:36" ht="12.6">
      <c r="A48" s="2">
        <v>45457.535810601854</v>
      </c>
      <c r="B48" s="1" t="s">
        <v>36</v>
      </c>
      <c r="C48" s="1" t="s">
        <v>37</v>
      </c>
      <c r="D48" s="1" t="s">
        <v>37</v>
      </c>
      <c r="E48" s="1" t="s">
        <v>37</v>
      </c>
      <c r="F48" s="1" t="s">
        <v>84</v>
      </c>
      <c r="G48" s="1">
        <v>3</v>
      </c>
      <c r="H48" s="1">
        <v>4</v>
      </c>
      <c r="I48" s="1">
        <v>5</v>
      </c>
      <c r="J48" s="1">
        <v>1</v>
      </c>
      <c r="K48" s="1">
        <v>4</v>
      </c>
      <c r="L48" s="1" t="s">
        <v>219</v>
      </c>
      <c r="M48" s="1">
        <v>4</v>
      </c>
      <c r="N48" s="1" t="s">
        <v>111</v>
      </c>
      <c r="O48" s="1">
        <v>4</v>
      </c>
      <c r="P48" s="1">
        <v>4</v>
      </c>
      <c r="Q48" s="1" t="s">
        <v>66</v>
      </c>
      <c r="R48" s="1" t="s">
        <v>53</v>
      </c>
      <c r="S48" s="1" t="s">
        <v>44</v>
      </c>
      <c r="T48" s="1" t="s">
        <v>44</v>
      </c>
      <c r="U48" s="1" t="s">
        <v>53</v>
      </c>
      <c r="V48" s="1" t="s">
        <v>43</v>
      </c>
      <c r="W48" s="1" t="s">
        <v>44</v>
      </c>
      <c r="X48" s="1" t="s">
        <v>44</v>
      </c>
      <c r="Y48" s="1" t="s">
        <v>44</v>
      </c>
      <c r="Z48" s="1" t="s">
        <v>43</v>
      </c>
      <c r="AA48" s="1" t="s">
        <v>44</v>
      </c>
      <c r="AB48" s="1" t="s">
        <v>43</v>
      </c>
      <c r="AC48" s="1" t="s">
        <v>44</v>
      </c>
      <c r="AD48" s="1" t="s">
        <v>45</v>
      </c>
      <c r="AE48" s="1" t="s">
        <v>37</v>
      </c>
      <c r="AF48" s="1" t="s">
        <v>37</v>
      </c>
      <c r="AG48" s="1" t="s">
        <v>220</v>
      </c>
      <c r="AH48" s="1" t="s">
        <v>82</v>
      </c>
      <c r="AI48" s="1" t="s">
        <v>221</v>
      </c>
      <c r="AJ48" t="s">
        <v>48</v>
      </c>
    </row>
    <row r="49" spans="1:36" ht="12.6">
      <c r="A49" s="2">
        <v>45457.536079062498</v>
      </c>
      <c r="B49" s="1" t="s">
        <v>98</v>
      </c>
      <c r="C49" s="1" t="s">
        <v>37</v>
      </c>
      <c r="D49" s="1" t="s">
        <v>37</v>
      </c>
      <c r="E49" s="1" t="s">
        <v>37</v>
      </c>
      <c r="F49" s="1" t="s">
        <v>38</v>
      </c>
      <c r="G49" s="1">
        <v>3</v>
      </c>
      <c r="H49" s="1">
        <v>5</v>
      </c>
      <c r="I49" s="1">
        <v>5</v>
      </c>
      <c r="J49" s="1">
        <v>5</v>
      </c>
      <c r="K49" s="1">
        <v>1</v>
      </c>
      <c r="L49" s="1" t="s">
        <v>173</v>
      </c>
      <c r="M49" s="1">
        <v>2</v>
      </c>
      <c r="N49" s="1" t="s">
        <v>141</v>
      </c>
      <c r="O49" s="1">
        <v>4</v>
      </c>
      <c r="P49" s="1">
        <v>3</v>
      </c>
      <c r="Q49" s="1" t="s">
        <v>41</v>
      </c>
      <c r="R49" s="1" t="s">
        <v>53</v>
      </c>
      <c r="S49" s="1" t="s">
        <v>43</v>
      </c>
      <c r="T49" s="1" t="s">
        <v>44</v>
      </c>
      <c r="U49" s="1" t="s">
        <v>44</v>
      </c>
      <c r="V49" s="1" t="s">
        <v>43</v>
      </c>
      <c r="W49" s="1" t="s">
        <v>44</v>
      </c>
      <c r="X49" s="1" t="s">
        <v>44</v>
      </c>
      <c r="Y49" s="1" t="s">
        <v>44</v>
      </c>
      <c r="Z49" s="1" t="s">
        <v>44</v>
      </c>
      <c r="AA49" s="1" t="s">
        <v>44</v>
      </c>
      <c r="AB49" s="1" t="s">
        <v>43</v>
      </c>
      <c r="AC49" s="1" t="s">
        <v>43</v>
      </c>
      <c r="AD49" s="1" t="s">
        <v>45</v>
      </c>
      <c r="AE49" s="1" t="s">
        <v>37</v>
      </c>
      <c r="AF49" s="1" t="s">
        <v>37</v>
      </c>
      <c r="AG49" s="1" t="s">
        <v>222</v>
      </c>
      <c r="AH49" s="1">
        <v>11996303060</v>
      </c>
      <c r="AI49" s="1" t="s">
        <v>223</v>
      </c>
      <c r="AJ49" t="s">
        <v>62</v>
      </c>
    </row>
    <row r="50" spans="1:36" ht="12.6">
      <c r="A50" s="2">
        <v>45457.539471446755</v>
      </c>
      <c r="B50" s="1" t="s">
        <v>169</v>
      </c>
      <c r="C50" s="1" t="s">
        <v>37</v>
      </c>
      <c r="D50" s="1" t="s">
        <v>37</v>
      </c>
      <c r="E50" s="1" t="s">
        <v>37</v>
      </c>
      <c r="F50" s="1" t="s">
        <v>49</v>
      </c>
      <c r="G50" s="1">
        <v>4</v>
      </c>
      <c r="H50" s="1">
        <v>2</v>
      </c>
      <c r="I50" s="1">
        <v>1</v>
      </c>
      <c r="J50" s="1">
        <v>1</v>
      </c>
      <c r="K50" s="1">
        <v>5</v>
      </c>
      <c r="L50" s="1" t="s">
        <v>173</v>
      </c>
      <c r="M50" s="1">
        <v>2</v>
      </c>
      <c r="N50" s="1" t="s">
        <v>76</v>
      </c>
      <c r="O50" s="1">
        <v>1</v>
      </c>
      <c r="P50" s="1">
        <v>3</v>
      </c>
      <c r="Q50" s="1" t="s">
        <v>66</v>
      </c>
      <c r="R50" s="1" t="s">
        <v>53</v>
      </c>
      <c r="S50" s="1" t="s">
        <v>44</v>
      </c>
      <c r="T50" s="1" t="s">
        <v>53</v>
      </c>
      <c r="U50" s="1" t="s">
        <v>53</v>
      </c>
      <c r="V50" s="1" t="s">
        <v>44</v>
      </c>
      <c r="W50" s="1" t="s">
        <v>53</v>
      </c>
      <c r="X50" s="1" t="s">
        <v>44</v>
      </c>
      <c r="Y50" s="1" t="s">
        <v>44</v>
      </c>
      <c r="Z50" s="1" t="s">
        <v>43</v>
      </c>
      <c r="AA50" s="1" t="s">
        <v>44</v>
      </c>
      <c r="AB50" s="1" t="s">
        <v>43</v>
      </c>
      <c r="AC50" s="1" t="s">
        <v>44</v>
      </c>
      <c r="AD50" s="1" t="s">
        <v>45</v>
      </c>
      <c r="AE50" s="1" t="s">
        <v>37</v>
      </c>
      <c r="AF50" s="1" t="s">
        <v>37</v>
      </c>
      <c r="AG50" s="1" t="s">
        <v>224</v>
      </c>
      <c r="AH50" s="1">
        <v>11972827639</v>
      </c>
      <c r="AI50" s="1" t="s">
        <v>225</v>
      </c>
      <c r="AJ50" t="s">
        <v>56</v>
      </c>
    </row>
    <row r="51" spans="1:36" ht="12.6">
      <c r="A51" s="2">
        <v>45457.539787974536</v>
      </c>
      <c r="B51" s="1" t="s">
        <v>98</v>
      </c>
      <c r="C51" s="1" t="s">
        <v>37</v>
      </c>
      <c r="D51" s="1" t="s">
        <v>37</v>
      </c>
      <c r="E51" s="1" t="s">
        <v>37</v>
      </c>
      <c r="F51" s="1" t="s">
        <v>89</v>
      </c>
      <c r="G51" s="1">
        <v>3</v>
      </c>
      <c r="H51" s="1">
        <v>2</v>
      </c>
      <c r="I51" s="1">
        <v>1</v>
      </c>
      <c r="J51" s="1">
        <v>1</v>
      </c>
      <c r="K51" s="1">
        <v>4</v>
      </c>
      <c r="L51" s="1" t="s">
        <v>226</v>
      </c>
      <c r="M51" s="1">
        <v>3</v>
      </c>
      <c r="N51" s="1" t="s">
        <v>227</v>
      </c>
      <c r="O51" s="1">
        <v>4</v>
      </c>
      <c r="P51" s="1">
        <v>4</v>
      </c>
      <c r="Q51" s="1" t="s">
        <v>41</v>
      </c>
      <c r="R51" s="1" t="s">
        <v>42</v>
      </c>
      <c r="S51" s="1" t="s">
        <v>44</v>
      </c>
      <c r="T51" s="1" t="s">
        <v>43</v>
      </c>
      <c r="U51" s="1" t="s">
        <v>53</v>
      </c>
      <c r="V51" s="1" t="s">
        <v>43</v>
      </c>
      <c r="W51" s="1" t="s">
        <v>44</v>
      </c>
      <c r="X51" s="1" t="s">
        <v>44</v>
      </c>
      <c r="Y51" s="1" t="s">
        <v>44</v>
      </c>
      <c r="Z51" s="1" t="s">
        <v>43</v>
      </c>
      <c r="AA51" s="1" t="s">
        <v>44</v>
      </c>
      <c r="AB51" s="1" t="s">
        <v>43</v>
      </c>
      <c r="AC51" s="1" t="s">
        <v>44</v>
      </c>
      <c r="AD51" s="1" t="s">
        <v>45</v>
      </c>
      <c r="AE51" s="1" t="s">
        <v>37</v>
      </c>
      <c r="AF51" s="1" t="s">
        <v>37</v>
      </c>
      <c r="AG51" s="1" t="s">
        <v>228</v>
      </c>
      <c r="AH51" s="1">
        <v>65999818183</v>
      </c>
      <c r="AI51" s="1" t="s">
        <v>229</v>
      </c>
      <c r="AJ51" t="s">
        <v>48</v>
      </c>
    </row>
    <row r="52" spans="1:36" ht="12.6">
      <c r="A52" s="2">
        <v>45457.541026643521</v>
      </c>
      <c r="B52" s="1" t="s">
        <v>36</v>
      </c>
      <c r="C52" s="1" t="s">
        <v>37</v>
      </c>
      <c r="D52" s="1" t="s">
        <v>37</v>
      </c>
      <c r="E52" s="1" t="s">
        <v>37</v>
      </c>
      <c r="F52" s="1" t="s">
        <v>84</v>
      </c>
      <c r="G52" s="1">
        <v>1</v>
      </c>
      <c r="H52" s="1">
        <v>5</v>
      </c>
      <c r="I52" s="1">
        <v>1</v>
      </c>
      <c r="J52" s="1">
        <v>1</v>
      </c>
      <c r="K52" s="1">
        <v>5</v>
      </c>
      <c r="L52" s="1" t="s">
        <v>160</v>
      </c>
      <c r="M52" s="1">
        <v>3</v>
      </c>
      <c r="N52" s="1" t="s">
        <v>111</v>
      </c>
      <c r="O52" s="1">
        <v>5</v>
      </c>
      <c r="P52" s="1">
        <v>5</v>
      </c>
      <c r="Q52" s="1" t="s">
        <v>41</v>
      </c>
      <c r="R52" s="1" t="s">
        <v>53</v>
      </c>
      <c r="S52" s="1" t="s">
        <v>43</v>
      </c>
      <c r="T52" s="1" t="s">
        <v>44</v>
      </c>
      <c r="U52" s="1" t="s">
        <v>44</v>
      </c>
      <c r="V52" s="1" t="s">
        <v>44</v>
      </c>
      <c r="W52" s="1" t="s">
        <v>44</v>
      </c>
      <c r="X52" s="1" t="s">
        <v>43</v>
      </c>
      <c r="Y52" s="1" t="s">
        <v>44</v>
      </c>
      <c r="Z52" s="1" t="s">
        <v>43</v>
      </c>
      <c r="AA52" s="1" t="s">
        <v>44</v>
      </c>
      <c r="AB52" s="1" t="s">
        <v>43</v>
      </c>
      <c r="AC52" s="1" t="s">
        <v>44</v>
      </c>
      <c r="AD52" s="1" t="s">
        <v>45</v>
      </c>
      <c r="AE52" s="1" t="s">
        <v>37</v>
      </c>
      <c r="AF52" s="1" t="s">
        <v>37</v>
      </c>
      <c r="AG52" s="1" t="s">
        <v>230</v>
      </c>
      <c r="AH52" s="1">
        <v>11964380157</v>
      </c>
      <c r="AI52" s="1" t="s">
        <v>231</v>
      </c>
      <c r="AJ52" t="s">
        <v>62</v>
      </c>
    </row>
    <row r="53" spans="1:36" ht="12.6">
      <c r="A53" s="2">
        <v>45457.541070451392</v>
      </c>
      <c r="B53" s="1" t="s">
        <v>63</v>
      </c>
      <c r="C53" s="1" t="s">
        <v>37</v>
      </c>
      <c r="D53" s="1" t="s">
        <v>37</v>
      </c>
      <c r="E53" s="1" t="s">
        <v>37</v>
      </c>
      <c r="F53" s="1" t="s">
        <v>84</v>
      </c>
      <c r="G53" s="1">
        <v>4</v>
      </c>
      <c r="H53" s="1">
        <v>2</v>
      </c>
      <c r="I53" s="1">
        <v>1</v>
      </c>
      <c r="J53" s="1">
        <v>1</v>
      </c>
      <c r="K53" s="1">
        <v>5</v>
      </c>
      <c r="L53" s="1" t="s">
        <v>215</v>
      </c>
      <c r="M53" s="1">
        <v>3</v>
      </c>
      <c r="N53" s="1" t="s">
        <v>232</v>
      </c>
      <c r="O53" s="1">
        <v>5</v>
      </c>
      <c r="P53" s="1">
        <v>4</v>
      </c>
      <c r="Q53" s="1" t="s">
        <v>41</v>
      </c>
      <c r="R53" s="1" t="s">
        <v>52</v>
      </c>
      <c r="S53" s="1" t="s">
        <v>44</v>
      </c>
      <c r="T53" s="1" t="s">
        <v>44</v>
      </c>
      <c r="U53" s="1" t="s">
        <v>53</v>
      </c>
      <c r="V53" s="1" t="s">
        <v>44</v>
      </c>
      <c r="W53" s="1" t="s">
        <v>53</v>
      </c>
      <c r="X53" s="1" t="s">
        <v>43</v>
      </c>
      <c r="Y53" s="1" t="s">
        <v>44</v>
      </c>
      <c r="Z53" s="1" t="s">
        <v>43</v>
      </c>
      <c r="AA53" s="1" t="s">
        <v>44</v>
      </c>
      <c r="AB53" s="1" t="s">
        <v>43</v>
      </c>
      <c r="AC53" s="1" t="s">
        <v>44</v>
      </c>
      <c r="AD53" s="1" t="s">
        <v>45</v>
      </c>
      <c r="AE53" s="1" t="s">
        <v>37</v>
      </c>
      <c r="AF53" s="1" t="s">
        <v>37</v>
      </c>
      <c r="AG53" s="1" t="s">
        <v>233</v>
      </c>
      <c r="AH53" s="1">
        <v>11949479079</v>
      </c>
      <c r="AI53" s="1" t="s">
        <v>234</v>
      </c>
      <c r="AJ53" t="s">
        <v>56</v>
      </c>
    </row>
    <row r="54" spans="1:36" ht="12.6">
      <c r="A54" s="2">
        <v>45457.545824652778</v>
      </c>
      <c r="B54" s="1" t="s">
        <v>98</v>
      </c>
      <c r="C54" s="1" t="s">
        <v>37</v>
      </c>
      <c r="D54" s="1" t="s">
        <v>37</v>
      </c>
      <c r="E54" s="1" t="s">
        <v>37</v>
      </c>
      <c r="F54" s="1" t="s">
        <v>49</v>
      </c>
      <c r="G54" s="1">
        <v>4</v>
      </c>
      <c r="H54" s="1">
        <v>5</v>
      </c>
      <c r="I54" s="1">
        <v>5</v>
      </c>
      <c r="J54" s="1">
        <v>1</v>
      </c>
      <c r="K54" s="1">
        <v>3</v>
      </c>
      <c r="L54" s="1" t="s">
        <v>57</v>
      </c>
      <c r="M54" s="1">
        <v>4</v>
      </c>
      <c r="N54" s="1" t="s">
        <v>184</v>
      </c>
      <c r="O54" s="1">
        <v>5</v>
      </c>
      <c r="P54" s="1">
        <v>5</v>
      </c>
      <c r="Q54" s="1" t="s">
        <v>41</v>
      </c>
      <c r="R54" s="1" t="s">
        <v>42</v>
      </c>
      <c r="S54" s="1" t="s">
        <v>44</v>
      </c>
      <c r="T54" s="1" t="s">
        <v>53</v>
      </c>
      <c r="U54" s="1" t="s">
        <v>53</v>
      </c>
      <c r="V54" s="1" t="s">
        <v>44</v>
      </c>
      <c r="W54" s="1" t="s">
        <v>53</v>
      </c>
      <c r="X54" s="1" t="s">
        <v>53</v>
      </c>
      <c r="Y54" s="1" t="s">
        <v>44</v>
      </c>
      <c r="Z54" s="1" t="s">
        <v>43</v>
      </c>
      <c r="AA54" s="1" t="s">
        <v>44</v>
      </c>
      <c r="AB54" s="1" t="s">
        <v>43</v>
      </c>
      <c r="AC54" s="1" t="s">
        <v>43</v>
      </c>
      <c r="AD54" s="1" t="s">
        <v>59</v>
      </c>
      <c r="AE54" s="1" t="s">
        <v>37</v>
      </c>
      <c r="AF54" s="1" t="s">
        <v>37</v>
      </c>
      <c r="AG54" s="1" t="s">
        <v>235</v>
      </c>
      <c r="AH54" s="1">
        <v>11971044282</v>
      </c>
      <c r="AI54" s="1" t="s">
        <v>236</v>
      </c>
      <c r="AJ54" t="s">
        <v>56</v>
      </c>
    </row>
    <row r="55" spans="1:36" ht="12.6">
      <c r="A55" s="2">
        <v>45457.545836967591</v>
      </c>
      <c r="B55" s="1" t="s">
        <v>98</v>
      </c>
      <c r="C55" s="1" t="s">
        <v>37</v>
      </c>
      <c r="D55" s="1" t="s">
        <v>37</v>
      </c>
      <c r="E55" s="1" t="s">
        <v>37</v>
      </c>
      <c r="F55" s="1" t="s">
        <v>49</v>
      </c>
      <c r="G55" s="1">
        <v>5</v>
      </c>
      <c r="H55" s="1">
        <v>5</v>
      </c>
      <c r="I55" s="1">
        <v>3</v>
      </c>
      <c r="J55" s="1">
        <v>1</v>
      </c>
      <c r="K55" s="1">
        <v>3</v>
      </c>
      <c r="L55" s="1" t="s">
        <v>237</v>
      </c>
      <c r="M55" s="1">
        <v>5</v>
      </c>
      <c r="N55" s="1" t="s">
        <v>187</v>
      </c>
      <c r="O55" s="1">
        <v>5</v>
      </c>
      <c r="P55" s="1">
        <v>2</v>
      </c>
      <c r="Q55" s="1" t="s">
        <v>41</v>
      </c>
      <c r="R55" s="1" t="s">
        <v>42</v>
      </c>
      <c r="S55" s="1" t="s">
        <v>44</v>
      </c>
      <c r="T55" s="1" t="s">
        <v>42</v>
      </c>
      <c r="U55" s="1" t="s">
        <v>52</v>
      </c>
      <c r="V55" s="1" t="s">
        <v>44</v>
      </c>
      <c r="W55" s="1" t="s">
        <v>44</v>
      </c>
      <c r="X55" s="1" t="s">
        <v>44</v>
      </c>
      <c r="Y55" s="1" t="s">
        <v>44</v>
      </c>
      <c r="Z55" s="1" t="s">
        <v>44</v>
      </c>
      <c r="AA55" s="1" t="s">
        <v>44</v>
      </c>
      <c r="AB55" s="1" t="s">
        <v>43</v>
      </c>
      <c r="AC55" s="1" t="s">
        <v>43</v>
      </c>
      <c r="AD55" s="1" t="s">
        <v>45</v>
      </c>
      <c r="AE55" s="1" t="s">
        <v>37</v>
      </c>
      <c r="AF55" s="1" t="s">
        <v>37</v>
      </c>
      <c r="AG55" s="1" t="s">
        <v>238</v>
      </c>
      <c r="AH55" s="1">
        <v>11940172883</v>
      </c>
      <c r="AI55" s="1" t="s">
        <v>239</v>
      </c>
      <c r="AJ55" t="s">
        <v>56</v>
      </c>
    </row>
    <row r="56" spans="1:36" ht="12.6">
      <c r="A56" s="2">
        <v>45457.547228807874</v>
      </c>
      <c r="B56" s="1" t="s">
        <v>63</v>
      </c>
      <c r="C56" s="1" t="s">
        <v>37</v>
      </c>
      <c r="D56" s="1" t="s">
        <v>37</v>
      </c>
      <c r="E56" s="1" t="s">
        <v>37</v>
      </c>
      <c r="F56" s="1" t="s">
        <v>49</v>
      </c>
      <c r="G56" s="1">
        <v>5</v>
      </c>
      <c r="H56" s="1">
        <v>4</v>
      </c>
      <c r="I56" s="1">
        <v>1</v>
      </c>
      <c r="J56" s="1">
        <v>1</v>
      </c>
      <c r="K56" s="1">
        <v>5</v>
      </c>
      <c r="L56" s="1" t="s">
        <v>70</v>
      </c>
      <c r="M56" s="1">
        <v>3</v>
      </c>
      <c r="N56" s="1" t="s">
        <v>240</v>
      </c>
      <c r="O56" s="1">
        <v>5</v>
      </c>
      <c r="P56" s="1">
        <v>5</v>
      </c>
      <c r="Q56" s="1" t="s">
        <v>66</v>
      </c>
      <c r="R56" s="1" t="s">
        <v>52</v>
      </c>
      <c r="S56" s="1" t="s">
        <v>44</v>
      </c>
      <c r="T56" s="1" t="s">
        <v>44</v>
      </c>
      <c r="U56" s="1" t="s">
        <v>42</v>
      </c>
      <c r="V56" s="1" t="s">
        <v>43</v>
      </c>
      <c r="W56" s="1" t="s">
        <v>44</v>
      </c>
      <c r="X56" s="1" t="s">
        <v>44</v>
      </c>
      <c r="Y56" s="1" t="s">
        <v>44</v>
      </c>
      <c r="Z56" s="1" t="s">
        <v>43</v>
      </c>
      <c r="AA56" s="1" t="s">
        <v>44</v>
      </c>
      <c r="AB56" s="1" t="s">
        <v>43</v>
      </c>
      <c r="AC56" s="1" t="s">
        <v>43</v>
      </c>
      <c r="AD56" s="1" t="s">
        <v>45</v>
      </c>
      <c r="AE56" s="1" t="s">
        <v>37</v>
      </c>
      <c r="AF56" s="1" t="s">
        <v>37</v>
      </c>
      <c r="AG56" s="1" t="s">
        <v>241</v>
      </c>
      <c r="AH56" s="1">
        <v>85988223162</v>
      </c>
      <c r="AI56" s="1" t="s">
        <v>242</v>
      </c>
      <c r="AJ56" t="s">
        <v>56</v>
      </c>
    </row>
    <row r="57" spans="1:36" ht="12.6">
      <c r="A57" s="2">
        <v>45457.551793125</v>
      </c>
      <c r="B57" s="1" t="s">
        <v>98</v>
      </c>
      <c r="C57" s="1" t="s">
        <v>37</v>
      </c>
      <c r="D57" s="1" t="s">
        <v>37</v>
      </c>
      <c r="E57" s="1" t="s">
        <v>37</v>
      </c>
      <c r="F57" s="1" t="s">
        <v>69</v>
      </c>
      <c r="G57" s="1">
        <v>4</v>
      </c>
      <c r="H57" s="1">
        <v>2</v>
      </c>
      <c r="I57" s="1">
        <v>4</v>
      </c>
      <c r="J57" s="1">
        <v>2</v>
      </c>
      <c r="K57" s="1">
        <v>4</v>
      </c>
      <c r="L57" s="1" t="s">
        <v>243</v>
      </c>
      <c r="M57" s="1">
        <v>3</v>
      </c>
      <c r="N57" s="1" t="s">
        <v>76</v>
      </c>
      <c r="O57" s="1">
        <v>5</v>
      </c>
      <c r="P57" s="1">
        <v>3</v>
      </c>
      <c r="Q57" s="1" t="s">
        <v>41</v>
      </c>
      <c r="R57" s="1" t="s">
        <v>44</v>
      </c>
      <c r="S57" s="1" t="s">
        <v>44</v>
      </c>
      <c r="T57" s="1" t="s">
        <v>44</v>
      </c>
      <c r="U57" s="1" t="s">
        <v>44</v>
      </c>
      <c r="V57" s="1" t="s">
        <v>43</v>
      </c>
      <c r="W57" s="1" t="s">
        <v>44</v>
      </c>
      <c r="X57" s="1" t="s">
        <v>44</v>
      </c>
      <c r="Y57" s="1" t="s">
        <v>44</v>
      </c>
      <c r="Z57" s="1" t="s">
        <v>43</v>
      </c>
      <c r="AA57" s="1" t="s">
        <v>44</v>
      </c>
      <c r="AB57" s="1" t="s">
        <v>43</v>
      </c>
      <c r="AC57" s="1" t="s">
        <v>44</v>
      </c>
      <c r="AD57" s="1" t="s">
        <v>45</v>
      </c>
      <c r="AE57" s="1" t="s">
        <v>37</v>
      </c>
      <c r="AF57" s="1" t="s">
        <v>37</v>
      </c>
      <c r="AG57" s="1" t="s">
        <v>244</v>
      </c>
      <c r="AH57" s="1">
        <v>12981153088</v>
      </c>
      <c r="AI57" s="1" t="s">
        <v>245</v>
      </c>
      <c r="AJ57" t="s">
        <v>62</v>
      </c>
    </row>
    <row r="58" spans="1:36" ht="12.6">
      <c r="A58" s="2">
        <v>45457.555017916668</v>
      </c>
      <c r="B58" s="1" t="s">
        <v>98</v>
      </c>
      <c r="C58" s="1" t="s">
        <v>37</v>
      </c>
      <c r="D58" s="1" t="s">
        <v>37</v>
      </c>
      <c r="E58" s="1" t="s">
        <v>37</v>
      </c>
      <c r="F58" s="1" t="s">
        <v>49</v>
      </c>
      <c r="G58" s="1">
        <v>4</v>
      </c>
      <c r="H58" s="1">
        <v>2</v>
      </c>
      <c r="I58" s="1">
        <v>1</v>
      </c>
      <c r="J58" s="1">
        <v>1</v>
      </c>
      <c r="K58" s="1">
        <v>4</v>
      </c>
      <c r="L58" s="1" t="s">
        <v>39</v>
      </c>
      <c r="M58" s="1">
        <v>4</v>
      </c>
      <c r="N58" s="1" t="s">
        <v>246</v>
      </c>
      <c r="O58" s="1">
        <v>5</v>
      </c>
      <c r="P58" s="1">
        <v>3</v>
      </c>
      <c r="Q58" s="1" t="s">
        <v>41</v>
      </c>
      <c r="R58" s="1" t="s">
        <v>44</v>
      </c>
      <c r="S58" s="1" t="s">
        <v>44</v>
      </c>
      <c r="T58" s="1" t="s">
        <v>43</v>
      </c>
      <c r="U58" s="1" t="s">
        <v>44</v>
      </c>
      <c r="V58" s="1" t="s">
        <v>43</v>
      </c>
      <c r="W58" s="1" t="s">
        <v>44</v>
      </c>
      <c r="X58" s="1" t="s">
        <v>44</v>
      </c>
      <c r="Y58" s="1" t="s">
        <v>43</v>
      </c>
      <c r="Z58" s="1" t="s">
        <v>43</v>
      </c>
      <c r="AA58" s="1" t="s">
        <v>44</v>
      </c>
      <c r="AB58" s="1" t="s">
        <v>43</v>
      </c>
      <c r="AC58" s="1" t="s">
        <v>43</v>
      </c>
      <c r="AD58" s="1" t="s">
        <v>45</v>
      </c>
      <c r="AE58" s="1" t="s">
        <v>37</v>
      </c>
      <c r="AF58" s="1" t="s">
        <v>37</v>
      </c>
      <c r="AG58" s="1" t="s">
        <v>247</v>
      </c>
      <c r="AH58" s="1">
        <v>15991670380</v>
      </c>
      <c r="AI58" s="1" t="s">
        <v>248</v>
      </c>
      <c r="AJ58" t="s">
        <v>79</v>
      </c>
    </row>
    <row r="59" spans="1:36" ht="12.6">
      <c r="A59" s="2">
        <v>45457.563269004633</v>
      </c>
      <c r="B59" s="1" t="s">
        <v>36</v>
      </c>
      <c r="C59" s="1" t="s">
        <v>37</v>
      </c>
      <c r="D59" s="1" t="s">
        <v>37</v>
      </c>
      <c r="E59" s="1" t="s">
        <v>37</v>
      </c>
      <c r="F59" s="1" t="s">
        <v>49</v>
      </c>
      <c r="G59" s="1">
        <v>4</v>
      </c>
      <c r="H59" s="1">
        <v>3</v>
      </c>
      <c r="I59" s="1">
        <v>1</v>
      </c>
      <c r="J59" s="1">
        <v>1</v>
      </c>
      <c r="K59" s="1">
        <v>4</v>
      </c>
      <c r="L59" s="1" t="s">
        <v>39</v>
      </c>
      <c r="M59" s="1">
        <v>3</v>
      </c>
      <c r="N59" s="1" t="s">
        <v>249</v>
      </c>
      <c r="O59" s="1">
        <v>4</v>
      </c>
      <c r="P59" s="1">
        <v>4</v>
      </c>
      <c r="Q59" s="1" t="s">
        <v>41</v>
      </c>
      <c r="R59" s="1" t="s">
        <v>44</v>
      </c>
      <c r="S59" s="1" t="s">
        <v>43</v>
      </c>
      <c r="T59" s="1" t="s">
        <v>44</v>
      </c>
      <c r="U59" s="1" t="s">
        <v>44</v>
      </c>
      <c r="V59" s="1" t="s">
        <v>43</v>
      </c>
      <c r="W59" s="1" t="s">
        <v>44</v>
      </c>
      <c r="X59" s="1" t="s">
        <v>43</v>
      </c>
      <c r="Y59" s="1" t="s">
        <v>44</v>
      </c>
      <c r="Z59" s="1" t="s">
        <v>43</v>
      </c>
      <c r="AA59" s="1" t="s">
        <v>44</v>
      </c>
      <c r="AB59" s="1" t="s">
        <v>43</v>
      </c>
      <c r="AC59" s="1" t="s">
        <v>44</v>
      </c>
      <c r="AD59" s="1" t="s">
        <v>45</v>
      </c>
      <c r="AE59" s="1" t="s">
        <v>37</v>
      </c>
      <c r="AF59" s="1" t="s">
        <v>37</v>
      </c>
      <c r="AG59" s="1" t="s">
        <v>250</v>
      </c>
      <c r="AH59" s="1">
        <v>82982242741</v>
      </c>
      <c r="AI59" s="1" t="s">
        <v>251</v>
      </c>
      <c r="AJ59" t="s">
        <v>62</v>
      </c>
    </row>
    <row r="60" spans="1:36" ht="12.6">
      <c r="A60" s="2">
        <v>45457.572679421297</v>
      </c>
      <c r="B60" s="1" t="s">
        <v>98</v>
      </c>
      <c r="C60" s="1" t="s">
        <v>37</v>
      </c>
      <c r="D60" s="1" t="s">
        <v>37</v>
      </c>
      <c r="E60" s="1" t="s">
        <v>37</v>
      </c>
      <c r="F60" s="1" t="s">
        <v>69</v>
      </c>
      <c r="G60" s="1">
        <v>4</v>
      </c>
      <c r="H60" s="1">
        <v>1</v>
      </c>
      <c r="I60" s="1">
        <v>1</v>
      </c>
      <c r="J60" s="1">
        <v>1</v>
      </c>
      <c r="K60" s="1">
        <v>2</v>
      </c>
      <c r="L60" s="1" t="s">
        <v>114</v>
      </c>
      <c r="M60" s="1">
        <v>3</v>
      </c>
      <c r="N60" s="1" t="s">
        <v>111</v>
      </c>
      <c r="O60" s="1">
        <v>3</v>
      </c>
      <c r="P60" s="1">
        <v>1</v>
      </c>
      <c r="Q60" s="1" t="s">
        <v>41</v>
      </c>
      <c r="R60" s="1" t="s">
        <v>44</v>
      </c>
      <c r="S60" s="1" t="s">
        <v>43</v>
      </c>
      <c r="T60" s="1" t="s">
        <v>43</v>
      </c>
      <c r="U60" s="1" t="s">
        <v>44</v>
      </c>
      <c r="V60" s="1" t="s">
        <v>43</v>
      </c>
      <c r="W60" s="1" t="s">
        <v>44</v>
      </c>
      <c r="X60" s="1" t="s">
        <v>43</v>
      </c>
      <c r="Y60" s="1" t="s">
        <v>44</v>
      </c>
      <c r="Z60" s="1" t="s">
        <v>43</v>
      </c>
      <c r="AA60" s="1" t="s">
        <v>44</v>
      </c>
      <c r="AB60" s="1" t="s">
        <v>43</v>
      </c>
      <c r="AC60" s="1" t="s">
        <v>43</v>
      </c>
      <c r="AD60" s="1" t="s">
        <v>45</v>
      </c>
      <c r="AE60" s="1" t="s">
        <v>37</v>
      </c>
      <c r="AF60" s="1" t="s">
        <v>37</v>
      </c>
      <c r="AG60" s="1" t="s">
        <v>252</v>
      </c>
      <c r="AH60" s="1">
        <v>12997816579</v>
      </c>
      <c r="AI60" s="1" t="s">
        <v>253</v>
      </c>
      <c r="AJ60" t="s">
        <v>79</v>
      </c>
    </row>
    <row r="61" spans="1:36" ht="12.6">
      <c r="A61" s="2">
        <v>45457.580796956019</v>
      </c>
      <c r="B61" s="1" t="s">
        <v>63</v>
      </c>
      <c r="C61" s="1" t="s">
        <v>37</v>
      </c>
      <c r="D61" s="1" t="s">
        <v>37</v>
      </c>
      <c r="E61" s="1" t="s">
        <v>37</v>
      </c>
      <c r="F61" s="1" t="s">
        <v>69</v>
      </c>
      <c r="G61" s="1">
        <v>3</v>
      </c>
      <c r="H61" s="1">
        <v>5</v>
      </c>
      <c r="I61" s="1">
        <v>1</v>
      </c>
      <c r="J61" s="1">
        <v>1</v>
      </c>
      <c r="K61" s="1">
        <v>5</v>
      </c>
      <c r="L61" s="1" t="s">
        <v>118</v>
      </c>
      <c r="M61" s="1">
        <v>5</v>
      </c>
      <c r="N61" s="1" t="s">
        <v>111</v>
      </c>
      <c r="O61" s="1">
        <v>5</v>
      </c>
      <c r="P61" s="1">
        <v>5</v>
      </c>
      <c r="Q61" s="1" t="s">
        <v>41</v>
      </c>
      <c r="R61" s="1" t="s">
        <v>42</v>
      </c>
      <c r="S61" s="1" t="s">
        <v>44</v>
      </c>
      <c r="T61" s="1" t="s">
        <v>44</v>
      </c>
      <c r="U61" s="1" t="s">
        <v>53</v>
      </c>
      <c r="V61" s="1" t="s">
        <v>43</v>
      </c>
      <c r="W61" s="1" t="s">
        <v>44</v>
      </c>
      <c r="X61" s="1" t="s">
        <v>43</v>
      </c>
      <c r="Y61" s="1" t="s">
        <v>44</v>
      </c>
      <c r="Z61" s="1" t="s">
        <v>43</v>
      </c>
      <c r="AA61" s="1" t="s">
        <v>44</v>
      </c>
      <c r="AB61" s="1" t="s">
        <v>43</v>
      </c>
      <c r="AC61" s="1" t="s">
        <v>44</v>
      </c>
      <c r="AD61" s="1" t="s">
        <v>45</v>
      </c>
      <c r="AE61" s="1" t="s">
        <v>37</v>
      </c>
      <c r="AF61" s="1" t="s">
        <v>37</v>
      </c>
      <c r="AG61" s="1" t="s">
        <v>254</v>
      </c>
      <c r="AH61" s="1"/>
      <c r="AI61" s="1" t="s">
        <v>255</v>
      </c>
      <c r="AJ61" t="s">
        <v>48</v>
      </c>
    </row>
    <row r="62" spans="1:36" ht="12.6">
      <c r="A62" s="2">
        <v>45457.580830497682</v>
      </c>
      <c r="B62" s="1" t="s">
        <v>169</v>
      </c>
      <c r="C62" s="1" t="s">
        <v>37</v>
      </c>
      <c r="D62" s="1" t="s">
        <v>37</v>
      </c>
      <c r="E62" s="1" t="s">
        <v>37</v>
      </c>
      <c r="F62" s="1" t="s">
        <v>49</v>
      </c>
      <c r="G62" s="1">
        <v>1</v>
      </c>
      <c r="H62" s="1">
        <v>5</v>
      </c>
      <c r="I62" s="1">
        <v>5</v>
      </c>
      <c r="J62" s="1">
        <v>5</v>
      </c>
      <c r="K62" s="1">
        <v>5</v>
      </c>
      <c r="L62" s="1" t="s">
        <v>106</v>
      </c>
      <c r="M62" s="1">
        <v>1</v>
      </c>
      <c r="N62" s="1" t="s">
        <v>256</v>
      </c>
      <c r="O62" s="1">
        <v>5</v>
      </c>
      <c r="P62" s="1">
        <v>5</v>
      </c>
      <c r="Q62" s="1" t="s">
        <v>41</v>
      </c>
      <c r="R62" s="1" t="s">
        <v>42</v>
      </c>
      <c r="S62" s="1" t="s">
        <v>44</v>
      </c>
      <c r="T62" s="1" t="s">
        <v>44</v>
      </c>
      <c r="U62" s="1" t="s">
        <v>44</v>
      </c>
      <c r="V62" s="1" t="s">
        <v>44</v>
      </c>
      <c r="W62" s="1" t="s">
        <v>44</v>
      </c>
      <c r="X62" s="1" t="s">
        <v>44</v>
      </c>
      <c r="Y62" s="1" t="s">
        <v>44</v>
      </c>
      <c r="Z62" s="1" t="s">
        <v>43</v>
      </c>
      <c r="AA62" s="1" t="s">
        <v>44</v>
      </c>
      <c r="AB62" s="1" t="s">
        <v>43</v>
      </c>
      <c r="AC62" s="1" t="s">
        <v>44</v>
      </c>
      <c r="AD62" s="1" t="s">
        <v>45</v>
      </c>
      <c r="AE62" s="1" t="s">
        <v>37</v>
      </c>
      <c r="AF62" s="1" t="s">
        <v>37</v>
      </c>
      <c r="AG62" s="1" t="s">
        <v>257</v>
      </c>
      <c r="AH62" s="1">
        <v>11991401803</v>
      </c>
      <c r="AI62" s="1"/>
      <c r="AJ62" t="s">
        <v>56</v>
      </c>
    </row>
    <row r="63" spans="1:36" ht="12.6">
      <c r="A63" s="2">
        <v>45458.53868972222</v>
      </c>
      <c r="B63" s="1" t="s">
        <v>98</v>
      </c>
      <c r="C63" s="1" t="s">
        <v>37</v>
      </c>
      <c r="D63" s="1" t="s">
        <v>37</v>
      </c>
      <c r="E63" s="1" t="s">
        <v>37</v>
      </c>
      <c r="F63" s="1" t="s">
        <v>89</v>
      </c>
      <c r="G63" s="1">
        <v>4</v>
      </c>
      <c r="H63" s="1">
        <v>2</v>
      </c>
      <c r="I63" s="1">
        <v>3</v>
      </c>
      <c r="J63" s="1">
        <v>1</v>
      </c>
      <c r="K63" s="1">
        <v>5</v>
      </c>
      <c r="L63" s="1" t="s">
        <v>258</v>
      </c>
      <c r="M63" s="1">
        <v>4</v>
      </c>
      <c r="N63" s="1" t="s">
        <v>111</v>
      </c>
      <c r="O63" s="1">
        <v>3</v>
      </c>
      <c r="P63" s="1">
        <v>3</v>
      </c>
      <c r="Q63" s="1" t="s">
        <v>41</v>
      </c>
      <c r="R63" s="1" t="s">
        <v>44</v>
      </c>
      <c r="S63" s="1" t="s">
        <v>44</v>
      </c>
      <c r="T63" s="1" t="s">
        <v>43</v>
      </c>
      <c r="U63" s="1" t="s">
        <v>44</v>
      </c>
      <c r="V63" s="1" t="s">
        <v>44</v>
      </c>
      <c r="W63" s="1" t="s">
        <v>44</v>
      </c>
      <c r="X63" s="1" t="s">
        <v>44</v>
      </c>
      <c r="Y63" s="1" t="s">
        <v>44</v>
      </c>
      <c r="Z63" s="1" t="s">
        <v>43</v>
      </c>
      <c r="AA63" s="1" t="s">
        <v>44</v>
      </c>
      <c r="AB63" s="1" t="s">
        <v>43</v>
      </c>
      <c r="AC63" s="1" t="s">
        <v>44</v>
      </c>
      <c r="AD63" s="1" t="s">
        <v>59</v>
      </c>
      <c r="AE63" s="1" t="s">
        <v>37</v>
      </c>
      <c r="AF63" s="1" t="s">
        <v>37</v>
      </c>
      <c r="AG63" s="1" t="s">
        <v>259</v>
      </c>
      <c r="AH63" s="1">
        <v>12996802191</v>
      </c>
      <c r="AI63" s="1" t="s">
        <v>260</v>
      </c>
      <c r="AJ63" t="s">
        <v>62</v>
      </c>
    </row>
    <row r="64" spans="1:36" ht="12.6">
      <c r="A64" s="2">
        <v>45458.539370127313</v>
      </c>
      <c r="B64" s="1" t="s">
        <v>36</v>
      </c>
      <c r="C64" s="1" t="s">
        <v>37</v>
      </c>
      <c r="D64" s="1" t="s">
        <v>37</v>
      </c>
      <c r="E64" s="1" t="s">
        <v>37</v>
      </c>
      <c r="F64" s="1" t="s">
        <v>69</v>
      </c>
      <c r="G64" s="1">
        <v>1</v>
      </c>
      <c r="H64" s="1">
        <v>3</v>
      </c>
      <c r="I64" s="1">
        <v>4</v>
      </c>
      <c r="J64" s="1">
        <v>1</v>
      </c>
      <c r="K64" s="1">
        <v>5</v>
      </c>
      <c r="L64" s="1" t="s">
        <v>261</v>
      </c>
      <c r="M64" s="1">
        <v>2</v>
      </c>
      <c r="N64" s="1" t="s">
        <v>111</v>
      </c>
      <c r="O64" s="1">
        <v>4</v>
      </c>
      <c r="P64" s="1">
        <v>1</v>
      </c>
      <c r="Q64" s="1" t="s">
        <v>66</v>
      </c>
      <c r="R64" s="1" t="s">
        <v>44</v>
      </c>
      <c r="S64" s="1" t="s">
        <v>43</v>
      </c>
      <c r="T64" s="1" t="s">
        <v>44</v>
      </c>
      <c r="U64" s="1" t="s">
        <v>53</v>
      </c>
      <c r="V64" s="1" t="s">
        <v>43</v>
      </c>
      <c r="W64" s="1" t="s">
        <v>44</v>
      </c>
      <c r="X64" s="1" t="s">
        <v>44</v>
      </c>
      <c r="Y64" s="1" t="s">
        <v>44</v>
      </c>
      <c r="Z64" s="1" t="s">
        <v>43</v>
      </c>
      <c r="AA64" s="1" t="s">
        <v>44</v>
      </c>
      <c r="AB64" s="1" t="s">
        <v>43</v>
      </c>
      <c r="AC64" s="1" t="s">
        <v>44</v>
      </c>
      <c r="AD64" s="1" t="s">
        <v>45</v>
      </c>
      <c r="AE64" s="1" t="s">
        <v>37</v>
      </c>
      <c r="AF64" s="1" t="s">
        <v>37</v>
      </c>
      <c r="AG64" s="1" t="s">
        <v>262</v>
      </c>
      <c r="AH64" s="1">
        <v>11995990606</v>
      </c>
      <c r="AI64" s="1" t="s">
        <v>263</v>
      </c>
      <c r="AJ64" t="s">
        <v>62</v>
      </c>
    </row>
    <row r="65" spans="1:36" ht="12.6">
      <c r="A65" s="2">
        <v>45458.539564085644</v>
      </c>
      <c r="B65" s="1" t="s">
        <v>63</v>
      </c>
      <c r="C65" s="1" t="s">
        <v>37</v>
      </c>
      <c r="D65" s="1" t="s">
        <v>37</v>
      </c>
      <c r="E65" s="1" t="s">
        <v>37</v>
      </c>
      <c r="F65" s="1" t="s">
        <v>49</v>
      </c>
      <c r="G65" s="1">
        <v>4</v>
      </c>
      <c r="H65" s="1">
        <v>4</v>
      </c>
      <c r="I65" s="1">
        <v>1</v>
      </c>
      <c r="J65" s="1">
        <v>1</v>
      </c>
      <c r="K65" s="1">
        <v>5</v>
      </c>
      <c r="L65" s="1" t="s">
        <v>264</v>
      </c>
      <c r="M65" s="1">
        <v>3</v>
      </c>
      <c r="N65" s="1" t="s">
        <v>91</v>
      </c>
      <c r="O65" s="1">
        <v>4</v>
      </c>
      <c r="P65" s="1">
        <v>3</v>
      </c>
      <c r="Q65" s="1" t="s">
        <v>66</v>
      </c>
      <c r="R65" s="1" t="s">
        <v>53</v>
      </c>
      <c r="S65" s="1" t="s">
        <v>43</v>
      </c>
      <c r="T65" s="1" t="s">
        <v>53</v>
      </c>
      <c r="U65" s="1" t="s">
        <v>53</v>
      </c>
      <c r="V65" s="1" t="s">
        <v>43</v>
      </c>
      <c r="W65" s="1" t="s">
        <v>53</v>
      </c>
      <c r="X65" s="1" t="s">
        <v>44</v>
      </c>
      <c r="Y65" s="1" t="s">
        <v>44</v>
      </c>
      <c r="Z65" s="1" t="s">
        <v>44</v>
      </c>
      <c r="AA65" s="1" t="s">
        <v>44</v>
      </c>
      <c r="AB65" s="1" t="s">
        <v>43</v>
      </c>
      <c r="AC65" s="1" t="s">
        <v>43</v>
      </c>
      <c r="AD65" s="1" t="s">
        <v>45</v>
      </c>
      <c r="AE65" s="1" t="s">
        <v>37</v>
      </c>
      <c r="AF65" s="1" t="s">
        <v>37</v>
      </c>
      <c r="AG65" s="1" t="s">
        <v>265</v>
      </c>
      <c r="AH65" s="1">
        <v>41991788821</v>
      </c>
      <c r="AI65" s="1" t="s">
        <v>266</v>
      </c>
      <c r="AJ65" t="s">
        <v>48</v>
      </c>
    </row>
    <row r="66" spans="1:36" ht="12.6">
      <c r="A66" s="2">
        <v>45458.545659027775</v>
      </c>
      <c r="B66" s="1" t="s">
        <v>98</v>
      </c>
      <c r="C66" s="1" t="s">
        <v>37</v>
      </c>
      <c r="D66" s="1" t="s">
        <v>37</v>
      </c>
      <c r="E66" s="1" t="s">
        <v>37</v>
      </c>
      <c r="F66" s="1" t="s">
        <v>69</v>
      </c>
      <c r="G66" s="1">
        <v>4</v>
      </c>
      <c r="H66" s="1">
        <v>2</v>
      </c>
      <c r="I66" s="1">
        <v>2</v>
      </c>
      <c r="J66" s="1">
        <v>1</v>
      </c>
      <c r="K66" s="1">
        <v>4</v>
      </c>
      <c r="L66" s="1" t="s">
        <v>261</v>
      </c>
      <c r="M66" s="1">
        <v>3</v>
      </c>
      <c r="N66" s="1" t="s">
        <v>111</v>
      </c>
      <c r="O66" s="1">
        <v>4</v>
      </c>
      <c r="P66" s="1">
        <v>2</v>
      </c>
      <c r="Q66" s="1" t="s">
        <v>41</v>
      </c>
      <c r="R66" s="1" t="s">
        <v>53</v>
      </c>
      <c r="S66" s="1" t="s">
        <v>43</v>
      </c>
      <c r="T66" s="1" t="s">
        <v>43</v>
      </c>
      <c r="U66" s="1" t="s">
        <v>44</v>
      </c>
      <c r="V66" s="1" t="s">
        <v>43</v>
      </c>
      <c r="W66" s="1" t="s">
        <v>44</v>
      </c>
      <c r="X66" s="1" t="s">
        <v>43</v>
      </c>
      <c r="Y66" s="1" t="s">
        <v>44</v>
      </c>
      <c r="Z66" s="1" t="s">
        <v>43</v>
      </c>
      <c r="AA66" s="1" t="s">
        <v>44</v>
      </c>
      <c r="AB66" s="1" t="s">
        <v>43</v>
      </c>
      <c r="AC66" s="1" t="s">
        <v>43</v>
      </c>
      <c r="AD66" s="1" t="s">
        <v>45</v>
      </c>
      <c r="AE66" s="1" t="s">
        <v>37</v>
      </c>
      <c r="AF66" s="1" t="s">
        <v>37</v>
      </c>
      <c r="AG66" s="1" t="s">
        <v>267</v>
      </c>
      <c r="AH66" s="1">
        <v>9199063072</v>
      </c>
      <c r="AI66" s="1" t="s">
        <v>268</v>
      </c>
      <c r="AJ66" t="s">
        <v>62</v>
      </c>
    </row>
    <row r="67" spans="1:36" ht="12.6">
      <c r="A67" s="2">
        <v>45458.546116145837</v>
      </c>
      <c r="B67" s="1" t="s">
        <v>36</v>
      </c>
      <c r="C67" s="1" t="s">
        <v>37</v>
      </c>
      <c r="D67" s="1" t="s">
        <v>37</v>
      </c>
      <c r="E67" s="1" t="s">
        <v>37</v>
      </c>
      <c r="F67" s="1" t="s">
        <v>49</v>
      </c>
      <c r="G67" s="1">
        <v>5</v>
      </c>
      <c r="H67" s="1">
        <v>4</v>
      </c>
      <c r="I67" s="1">
        <v>2</v>
      </c>
      <c r="J67" s="1">
        <v>1</v>
      </c>
      <c r="K67" s="1">
        <v>4</v>
      </c>
      <c r="L67" s="1" t="s">
        <v>269</v>
      </c>
      <c r="M67" s="1">
        <v>4</v>
      </c>
      <c r="N67" s="1" t="s">
        <v>71</v>
      </c>
      <c r="O67" s="1">
        <v>5</v>
      </c>
      <c r="P67" s="1">
        <v>4</v>
      </c>
      <c r="Q67" s="1" t="s">
        <v>41</v>
      </c>
      <c r="R67" s="1" t="s">
        <v>53</v>
      </c>
      <c r="S67" s="1" t="s">
        <v>43</v>
      </c>
      <c r="T67" s="1" t="s">
        <v>43</v>
      </c>
      <c r="U67" s="1" t="s">
        <v>53</v>
      </c>
      <c r="V67" s="1" t="s">
        <v>43</v>
      </c>
      <c r="W67" s="1" t="s">
        <v>44</v>
      </c>
      <c r="X67" s="1" t="s">
        <v>44</v>
      </c>
      <c r="Y67" s="1" t="s">
        <v>44</v>
      </c>
      <c r="Z67" s="1" t="s">
        <v>43</v>
      </c>
      <c r="AA67" s="1" t="s">
        <v>44</v>
      </c>
      <c r="AB67" s="1" t="s">
        <v>43</v>
      </c>
      <c r="AC67" s="1" t="s">
        <v>43</v>
      </c>
      <c r="AD67" s="1" t="s">
        <v>45</v>
      </c>
      <c r="AE67" s="1" t="s">
        <v>37</v>
      </c>
      <c r="AF67" s="1" t="s">
        <v>37</v>
      </c>
      <c r="AG67" s="1" t="s">
        <v>270</v>
      </c>
      <c r="AH67" s="1">
        <v>91981341463</v>
      </c>
      <c r="AI67" s="1" t="s">
        <v>271</v>
      </c>
      <c r="AJ67" t="s">
        <v>62</v>
      </c>
    </row>
    <row r="68" spans="1:36" ht="12.6">
      <c r="A68" s="2">
        <v>45458.550482650462</v>
      </c>
      <c r="B68" s="1" t="s">
        <v>98</v>
      </c>
      <c r="C68" s="1" t="s">
        <v>37</v>
      </c>
      <c r="D68" s="1" t="s">
        <v>37</v>
      </c>
      <c r="E68" s="1" t="s">
        <v>37</v>
      </c>
      <c r="F68" s="1" t="s">
        <v>49</v>
      </c>
      <c r="G68" s="1">
        <v>5</v>
      </c>
      <c r="H68" s="1">
        <v>5</v>
      </c>
      <c r="I68" s="1">
        <v>1</v>
      </c>
      <c r="J68" s="1">
        <v>2</v>
      </c>
      <c r="K68" s="1">
        <v>4</v>
      </c>
      <c r="L68" s="1" t="s">
        <v>118</v>
      </c>
      <c r="M68" s="1">
        <v>1</v>
      </c>
      <c r="N68" s="1" t="s">
        <v>272</v>
      </c>
      <c r="O68" s="1">
        <v>5</v>
      </c>
      <c r="P68" s="1">
        <v>5</v>
      </c>
      <c r="Q68" s="1" t="s">
        <v>41</v>
      </c>
      <c r="R68" s="1" t="s">
        <v>53</v>
      </c>
      <c r="S68" s="1" t="s">
        <v>44</v>
      </c>
      <c r="T68" s="1" t="s">
        <v>53</v>
      </c>
      <c r="U68" s="1" t="s">
        <v>44</v>
      </c>
      <c r="V68" s="1" t="s">
        <v>44</v>
      </c>
      <c r="W68" s="1" t="s">
        <v>44</v>
      </c>
      <c r="X68" s="1" t="s">
        <v>44</v>
      </c>
      <c r="Y68" s="1" t="s">
        <v>44</v>
      </c>
      <c r="Z68" s="1" t="s">
        <v>43</v>
      </c>
      <c r="AA68" s="1" t="s">
        <v>44</v>
      </c>
      <c r="AB68" s="1" t="s">
        <v>43</v>
      </c>
      <c r="AC68" s="1" t="s">
        <v>44</v>
      </c>
      <c r="AD68" s="1" t="s">
        <v>45</v>
      </c>
      <c r="AE68" s="1" t="s">
        <v>37</v>
      </c>
      <c r="AF68" s="1" t="s">
        <v>37</v>
      </c>
      <c r="AG68" s="1" t="s">
        <v>273</v>
      </c>
      <c r="AH68" s="1">
        <v>11992069021</v>
      </c>
      <c r="AI68" s="1" t="s">
        <v>274</v>
      </c>
      <c r="AJ68" t="s">
        <v>48</v>
      </c>
    </row>
    <row r="69" spans="1:36" ht="12.6">
      <c r="A69" s="2">
        <v>45458.550504074075</v>
      </c>
      <c r="B69" s="1" t="s">
        <v>169</v>
      </c>
      <c r="C69" s="1" t="s">
        <v>37</v>
      </c>
      <c r="D69" s="1" t="s">
        <v>37</v>
      </c>
      <c r="E69" s="1" t="s">
        <v>37</v>
      </c>
      <c r="F69" s="1" t="s">
        <v>49</v>
      </c>
      <c r="G69" s="1">
        <v>4</v>
      </c>
      <c r="H69" s="1">
        <v>5</v>
      </c>
      <c r="I69" s="1">
        <v>5</v>
      </c>
      <c r="J69" s="1">
        <v>2</v>
      </c>
      <c r="K69" s="1">
        <v>4</v>
      </c>
      <c r="L69" s="1" t="s">
        <v>275</v>
      </c>
      <c r="M69" s="1">
        <v>4</v>
      </c>
      <c r="N69" s="1" t="s">
        <v>276</v>
      </c>
      <c r="O69" s="1">
        <v>4</v>
      </c>
      <c r="P69" s="1">
        <v>4</v>
      </c>
      <c r="Q69" s="1" t="s">
        <v>41</v>
      </c>
      <c r="R69" s="1" t="s">
        <v>52</v>
      </c>
      <c r="S69" s="1" t="s">
        <v>44</v>
      </c>
      <c r="T69" s="1" t="s">
        <v>53</v>
      </c>
      <c r="U69" s="1" t="s">
        <v>52</v>
      </c>
      <c r="V69" s="1" t="s">
        <v>44</v>
      </c>
      <c r="W69" s="1" t="s">
        <v>44</v>
      </c>
      <c r="X69" s="1" t="s">
        <v>43</v>
      </c>
      <c r="Y69" s="1" t="s">
        <v>44</v>
      </c>
      <c r="Z69" s="1" t="s">
        <v>43</v>
      </c>
      <c r="AA69" s="1" t="s">
        <v>44</v>
      </c>
      <c r="AB69" s="1" t="s">
        <v>43</v>
      </c>
      <c r="AC69" s="1" t="s">
        <v>44</v>
      </c>
      <c r="AD69" s="1" t="s">
        <v>45</v>
      </c>
      <c r="AE69" s="1" t="s">
        <v>37</v>
      </c>
      <c r="AF69" s="1" t="s">
        <v>37</v>
      </c>
      <c r="AG69" s="1" t="s">
        <v>277</v>
      </c>
      <c r="AH69" s="1">
        <v>11993929515</v>
      </c>
      <c r="AI69" s="1" t="s">
        <v>278</v>
      </c>
      <c r="AJ69" t="s">
        <v>56</v>
      </c>
    </row>
    <row r="70" spans="1:36" ht="12.6">
      <c r="A70" s="2">
        <v>45458.562734363426</v>
      </c>
      <c r="B70" s="1" t="s">
        <v>36</v>
      </c>
      <c r="C70" s="1" t="s">
        <v>37</v>
      </c>
      <c r="D70" s="1" t="s">
        <v>37</v>
      </c>
      <c r="E70" s="1" t="s">
        <v>37</v>
      </c>
      <c r="F70" s="1" t="s">
        <v>84</v>
      </c>
      <c r="G70" s="1">
        <v>3</v>
      </c>
      <c r="H70" s="1">
        <v>4</v>
      </c>
      <c r="I70" s="1">
        <v>5</v>
      </c>
      <c r="J70" s="1">
        <v>1</v>
      </c>
      <c r="K70" s="1">
        <v>5</v>
      </c>
      <c r="L70" s="1" t="s">
        <v>226</v>
      </c>
      <c r="M70" s="1">
        <v>1</v>
      </c>
      <c r="N70" s="1" t="s">
        <v>152</v>
      </c>
      <c r="O70" s="1">
        <v>4</v>
      </c>
      <c r="P70" s="1">
        <v>4</v>
      </c>
      <c r="Q70" s="1" t="s">
        <v>41</v>
      </c>
      <c r="R70" s="1" t="s">
        <v>52</v>
      </c>
      <c r="S70" s="1" t="s">
        <v>44</v>
      </c>
      <c r="T70" s="1" t="s">
        <v>44</v>
      </c>
      <c r="U70" s="1" t="s">
        <v>52</v>
      </c>
      <c r="V70" s="1" t="s">
        <v>44</v>
      </c>
      <c r="W70" s="1" t="s">
        <v>44</v>
      </c>
      <c r="X70" s="1" t="s">
        <v>43</v>
      </c>
      <c r="Y70" s="1" t="s">
        <v>44</v>
      </c>
      <c r="Z70" s="1" t="s">
        <v>43</v>
      </c>
      <c r="AA70" s="1" t="s">
        <v>44</v>
      </c>
      <c r="AB70" s="1" t="s">
        <v>43</v>
      </c>
      <c r="AC70" s="1" t="s">
        <v>44</v>
      </c>
      <c r="AD70" s="1" t="s">
        <v>45</v>
      </c>
      <c r="AE70" s="1" t="s">
        <v>37</v>
      </c>
      <c r="AF70" s="1" t="s">
        <v>37</v>
      </c>
      <c r="AG70" s="1" t="s">
        <v>279</v>
      </c>
      <c r="AH70" s="1"/>
      <c r="AI70" s="1" t="s">
        <v>280</v>
      </c>
      <c r="AJ70" t="s">
        <v>56</v>
      </c>
    </row>
    <row r="71" spans="1:36" ht="12.6">
      <c r="A71" s="2">
        <v>45458.570144803241</v>
      </c>
      <c r="B71" s="1" t="s">
        <v>98</v>
      </c>
      <c r="C71" s="1" t="s">
        <v>37</v>
      </c>
      <c r="D71" s="1" t="s">
        <v>37</v>
      </c>
      <c r="E71" s="1" t="s">
        <v>37</v>
      </c>
      <c r="F71" s="1" t="s">
        <v>69</v>
      </c>
      <c r="G71" s="1">
        <v>4</v>
      </c>
      <c r="H71" s="1">
        <v>1</v>
      </c>
      <c r="I71" s="1">
        <v>1</v>
      </c>
      <c r="J71" s="1">
        <v>1</v>
      </c>
      <c r="K71" s="1">
        <v>2</v>
      </c>
      <c r="L71" s="1" t="s">
        <v>195</v>
      </c>
      <c r="M71" s="1">
        <v>1</v>
      </c>
      <c r="N71" s="1" t="s">
        <v>281</v>
      </c>
      <c r="O71" s="1">
        <v>5</v>
      </c>
      <c r="P71" s="1">
        <v>3</v>
      </c>
      <c r="Q71" s="1" t="s">
        <v>66</v>
      </c>
      <c r="R71" s="1" t="s">
        <v>44</v>
      </c>
      <c r="S71" s="1" t="s">
        <v>43</v>
      </c>
      <c r="T71" s="1" t="s">
        <v>53</v>
      </c>
      <c r="U71" s="1" t="s">
        <v>44</v>
      </c>
      <c r="V71" s="1" t="s">
        <v>43</v>
      </c>
      <c r="W71" s="1" t="s">
        <v>44</v>
      </c>
      <c r="X71" s="1" t="s">
        <v>43</v>
      </c>
      <c r="Y71" s="1" t="s">
        <v>44</v>
      </c>
      <c r="Z71" s="1" t="s">
        <v>43</v>
      </c>
      <c r="AA71" s="1" t="s">
        <v>44</v>
      </c>
      <c r="AB71" s="1" t="s">
        <v>43</v>
      </c>
      <c r="AC71" s="1" t="s">
        <v>44</v>
      </c>
      <c r="AD71" s="1" t="s">
        <v>45</v>
      </c>
      <c r="AE71" s="1" t="s">
        <v>37</v>
      </c>
      <c r="AF71" s="1" t="s">
        <v>37</v>
      </c>
      <c r="AG71" s="1" t="s">
        <v>282</v>
      </c>
      <c r="AH71" s="1">
        <v>11965829053</v>
      </c>
      <c r="AI71" s="1" t="s">
        <v>283</v>
      </c>
      <c r="AJ71" t="s">
        <v>62</v>
      </c>
    </row>
    <row r="72" spans="1:36" ht="12.6">
      <c r="A72" s="2">
        <v>45458.570587870374</v>
      </c>
      <c r="B72" s="1" t="s">
        <v>98</v>
      </c>
      <c r="C72" s="1" t="s">
        <v>37</v>
      </c>
      <c r="D72" s="1" t="s">
        <v>37</v>
      </c>
      <c r="E72" s="1" t="s">
        <v>37</v>
      </c>
      <c r="F72" s="1" t="s">
        <v>89</v>
      </c>
      <c r="G72" s="1">
        <v>3</v>
      </c>
      <c r="H72" s="1">
        <v>2</v>
      </c>
      <c r="I72" s="1">
        <v>1</v>
      </c>
      <c r="J72" s="1">
        <v>1</v>
      </c>
      <c r="K72" s="1">
        <v>2</v>
      </c>
      <c r="L72" s="1" t="s">
        <v>243</v>
      </c>
      <c r="M72" s="1">
        <v>4</v>
      </c>
      <c r="N72" s="1" t="s">
        <v>58</v>
      </c>
      <c r="O72" s="1">
        <v>5</v>
      </c>
      <c r="P72" s="1">
        <v>5</v>
      </c>
      <c r="Q72" s="1" t="s">
        <v>41</v>
      </c>
      <c r="R72" s="1" t="s">
        <v>42</v>
      </c>
      <c r="S72" s="1" t="s">
        <v>44</v>
      </c>
      <c r="T72" s="1" t="s">
        <v>42</v>
      </c>
      <c r="U72" s="1" t="s">
        <v>52</v>
      </c>
      <c r="V72" s="1" t="s">
        <v>43</v>
      </c>
      <c r="W72" s="1" t="s">
        <v>44</v>
      </c>
      <c r="X72" s="1" t="s">
        <v>43</v>
      </c>
      <c r="Y72" s="1" t="s">
        <v>44</v>
      </c>
      <c r="Z72" s="1" t="s">
        <v>53</v>
      </c>
      <c r="AA72" s="1" t="s">
        <v>44</v>
      </c>
      <c r="AB72" s="1" t="s">
        <v>43</v>
      </c>
      <c r="AC72" s="1" t="s">
        <v>43</v>
      </c>
      <c r="AD72" s="1" t="s">
        <v>284</v>
      </c>
      <c r="AE72" s="1" t="s">
        <v>37</v>
      </c>
      <c r="AF72" s="1" t="s">
        <v>37</v>
      </c>
      <c r="AG72" s="1" t="s">
        <v>285</v>
      </c>
      <c r="AH72" s="1">
        <v>11941760307</v>
      </c>
      <c r="AI72" s="1" t="s">
        <v>286</v>
      </c>
      <c r="AJ72" t="s">
        <v>56</v>
      </c>
    </row>
    <row r="73" spans="1:36" ht="12.6">
      <c r="A73" s="2">
        <v>45458.579668240738</v>
      </c>
      <c r="B73" s="1" t="s">
        <v>63</v>
      </c>
      <c r="C73" s="1" t="s">
        <v>37</v>
      </c>
      <c r="D73" s="1" t="s">
        <v>37</v>
      </c>
      <c r="E73" s="1" t="s">
        <v>37</v>
      </c>
      <c r="F73" s="1" t="s">
        <v>89</v>
      </c>
      <c r="G73" s="1">
        <v>4</v>
      </c>
      <c r="H73" s="1">
        <v>5</v>
      </c>
      <c r="I73" s="1">
        <v>4</v>
      </c>
      <c r="J73" s="1">
        <v>1</v>
      </c>
      <c r="K73" s="1">
        <v>5</v>
      </c>
      <c r="L73" s="1" t="s">
        <v>39</v>
      </c>
      <c r="M73" s="1">
        <v>3</v>
      </c>
      <c r="N73" s="1" t="s">
        <v>287</v>
      </c>
      <c r="O73" s="1">
        <v>5</v>
      </c>
      <c r="P73" s="1">
        <v>1</v>
      </c>
      <c r="Q73" s="1" t="s">
        <v>66</v>
      </c>
      <c r="R73" s="1" t="s">
        <v>44</v>
      </c>
      <c r="S73" s="1" t="s">
        <v>43</v>
      </c>
      <c r="T73" s="1" t="s">
        <v>43</v>
      </c>
      <c r="U73" s="1" t="s">
        <v>44</v>
      </c>
      <c r="V73" s="1" t="s">
        <v>43</v>
      </c>
      <c r="W73" s="1" t="s">
        <v>44</v>
      </c>
      <c r="X73" s="1" t="s">
        <v>44</v>
      </c>
      <c r="Y73" s="1" t="s">
        <v>44</v>
      </c>
      <c r="Z73" s="1" t="s">
        <v>44</v>
      </c>
      <c r="AA73" s="1" t="s">
        <v>44</v>
      </c>
      <c r="AB73" s="1" t="s">
        <v>43</v>
      </c>
      <c r="AC73" s="1" t="s">
        <v>44</v>
      </c>
      <c r="AD73" s="1" t="s">
        <v>45</v>
      </c>
      <c r="AE73" s="1" t="s">
        <v>37</v>
      </c>
      <c r="AF73" s="1" t="s">
        <v>37</v>
      </c>
      <c r="AG73" s="1" t="s">
        <v>288</v>
      </c>
      <c r="AH73" s="1">
        <v>11993544822</v>
      </c>
      <c r="AI73" s="1" t="s">
        <v>289</v>
      </c>
      <c r="AJ73" t="s">
        <v>62</v>
      </c>
    </row>
    <row r="74" spans="1:36" ht="12.6">
      <c r="A74" s="2">
        <v>45458.579850243055</v>
      </c>
      <c r="B74" s="1" t="s">
        <v>63</v>
      </c>
      <c r="C74" s="1" t="s">
        <v>37</v>
      </c>
      <c r="D74" s="1" t="s">
        <v>37</v>
      </c>
      <c r="E74" s="1" t="s">
        <v>37</v>
      </c>
      <c r="F74" s="1" t="s">
        <v>89</v>
      </c>
      <c r="G74" s="1">
        <v>4</v>
      </c>
      <c r="H74" s="1">
        <v>3</v>
      </c>
      <c r="I74" s="1">
        <v>2</v>
      </c>
      <c r="J74" s="1">
        <v>1</v>
      </c>
      <c r="K74" s="1">
        <v>4</v>
      </c>
      <c r="L74" s="1" t="s">
        <v>39</v>
      </c>
      <c r="M74" s="1">
        <v>4</v>
      </c>
      <c r="N74" s="1" t="s">
        <v>290</v>
      </c>
      <c r="O74" s="1">
        <v>5</v>
      </c>
      <c r="P74" s="1">
        <v>5</v>
      </c>
      <c r="Q74" s="1" t="s">
        <v>41</v>
      </c>
      <c r="R74" s="1" t="s">
        <v>44</v>
      </c>
      <c r="S74" s="1" t="s">
        <v>43</v>
      </c>
      <c r="T74" s="1" t="s">
        <v>44</v>
      </c>
      <c r="U74" s="1" t="s">
        <v>44</v>
      </c>
      <c r="V74" s="1" t="s">
        <v>43</v>
      </c>
      <c r="W74" s="1" t="s">
        <v>44</v>
      </c>
      <c r="X74" s="1" t="s">
        <v>44</v>
      </c>
      <c r="Y74" s="1" t="s">
        <v>44</v>
      </c>
      <c r="Z74" s="1" t="s">
        <v>44</v>
      </c>
      <c r="AA74" s="1" t="s">
        <v>44</v>
      </c>
      <c r="AB74" s="1" t="s">
        <v>43</v>
      </c>
      <c r="AC74" s="1" t="s">
        <v>44</v>
      </c>
      <c r="AD74" s="1" t="s">
        <v>45</v>
      </c>
      <c r="AE74" s="1" t="s">
        <v>37</v>
      </c>
      <c r="AF74" s="1" t="s">
        <v>37</v>
      </c>
      <c r="AG74" s="1" t="s">
        <v>291</v>
      </c>
      <c r="AH74" s="1">
        <v>11999661892</v>
      </c>
      <c r="AI74" s="1" t="s">
        <v>292</v>
      </c>
      <c r="AJ74" t="s">
        <v>62</v>
      </c>
    </row>
    <row r="75" spans="1:36" ht="12.6">
      <c r="A75" s="2">
        <v>45458.579877662036</v>
      </c>
      <c r="B75" s="1" t="s">
        <v>98</v>
      </c>
      <c r="C75" s="1" t="s">
        <v>37</v>
      </c>
      <c r="D75" s="1" t="s">
        <v>37</v>
      </c>
      <c r="E75" s="1" t="s">
        <v>37</v>
      </c>
      <c r="F75" s="1" t="s">
        <v>49</v>
      </c>
      <c r="G75" s="1">
        <v>3</v>
      </c>
      <c r="H75" s="1">
        <v>1</v>
      </c>
      <c r="I75" s="1">
        <v>1</v>
      </c>
      <c r="J75" s="1">
        <v>1</v>
      </c>
      <c r="K75" s="1">
        <v>5</v>
      </c>
      <c r="L75" s="1" t="s">
        <v>90</v>
      </c>
      <c r="M75" s="1">
        <v>3</v>
      </c>
      <c r="N75" s="1" t="s">
        <v>155</v>
      </c>
      <c r="O75" s="1">
        <v>4</v>
      </c>
      <c r="P75" s="1">
        <v>5</v>
      </c>
      <c r="Q75" s="1" t="s">
        <v>66</v>
      </c>
      <c r="R75" s="1" t="s">
        <v>53</v>
      </c>
      <c r="S75" s="1" t="s">
        <v>43</v>
      </c>
      <c r="T75" s="1" t="s">
        <v>53</v>
      </c>
      <c r="U75" s="1" t="s">
        <v>43</v>
      </c>
      <c r="V75" s="1" t="s">
        <v>43</v>
      </c>
      <c r="W75" s="1" t="s">
        <v>44</v>
      </c>
      <c r="X75" s="1" t="s">
        <v>44</v>
      </c>
      <c r="Y75" s="1" t="s">
        <v>53</v>
      </c>
      <c r="Z75" s="1" t="s">
        <v>43</v>
      </c>
      <c r="AA75" s="1" t="s">
        <v>44</v>
      </c>
      <c r="AB75" s="1" t="s">
        <v>43</v>
      </c>
      <c r="AC75" s="1" t="s">
        <v>43</v>
      </c>
      <c r="AD75" s="1" t="s">
        <v>59</v>
      </c>
      <c r="AE75" s="1" t="s">
        <v>37</v>
      </c>
      <c r="AF75" s="1" t="s">
        <v>37</v>
      </c>
      <c r="AG75" s="1" t="s">
        <v>293</v>
      </c>
      <c r="AH75" s="1">
        <v>11934327125</v>
      </c>
      <c r="AI75" s="1" t="s">
        <v>294</v>
      </c>
      <c r="AJ75" t="s">
        <v>62</v>
      </c>
    </row>
    <row r="76" spans="1:36" ht="12.6">
      <c r="A76" s="2">
        <v>45458.580910891207</v>
      </c>
      <c r="B76" s="1" t="s">
        <v>36</v>
      </c>
      <c r="C76" s="1" t="s">
        <v>37</v>
      </c>
      <c r="D76" s="1" t="s">
        <v>37</v>
      </c>
      <c r="E76" s="1" t="s">
        <v>37</v>
      </c>
      <c r="F76" s="1" t="s">
        <v>69</v>
      </c>
      <c r="G76" s="1">
        <v>5</v>
      </c>
      <c r="H76" s="1">
        <v>5</v>
      </c>
      <c r="I76" s="1">
        <v>4</v>
      </c>
      <c r="J76" s="1">
        <v>1</v>
      </c>
      <c r="K76" s="1">
        <v>5</v>
      </c>
      <c r="L76" s="1" t="s">
        <v>160</v>
      </c>
      <c r="M76" s="1">
        <v>5</v>
      </c>
      <c r="N76" s="1" t="s">
        <v>295</v>
      </c>
      <c r="O76" s="1">
        <v>5</v>
      </c>
      <c r="P76" s="1">
        <v>5</v>
      </c>
      <c r="Q76" s="1" t="s">
        <v>41</v>
      </c>
      <c r="R76" s="1" t="s">
        <v>53</v>
      </c>
      <c r="S76" s="1" t="s">
        <v>43</v>
      </c>
      <c r="T76" s="1" t="s">
        <v>44</v>
      </c>
      <c r="U76" s="1" t="s">
        <v>44</v>
      </c>
      <c r="V76" s="1" t="s">
        <v>43</v>
      </c>
      <c r="W76" s="1" t="s">
        <v>44</v>
      </c>
      <c r="X76" s="1" t="s">
        <v>43</v>
      </c>
      <c r="Y76" s="1" t="s">
        <v>44</v>
      </c>
      <c r="Z76" s="1" t="s">
        <v>43</v>
      </c>
      <c r="AA76" s="1" t="s">
        <v>43</v>
      </c>
      <c r="AB76" s="1" t="s">
        <v>43</v>
      </c>
      <c r="AC76" s="1" t="s">
        <v>44</v>
      </c>
      <c r="AD76" s="1" t="s">
        <v>45</v>
      </c>
      <c r="AE76" s="1" t="s">
        <v>37</v>
      </c>
      <c r="AF76" s="1" t="s">
        <v>37</v>
      </c>
      <c r="AG76" s="1" t="s">
        <v>296</v>
      </c>
      <c r="AH76" s="1">
        <v>11989946363</v>
      </c>
      <c r="AI76" s="1" t="s">
        <v>297</v>
      </c>
      <c r="AJ76" t="s">
        <v>62</v>
      </c>
    </row>
    <row r="77" spans="1:36" ht="12.6">
      <c r="A77" s="2">
        <v>45458.581422118055</v>
      </c>
      <c r="B77" s="1" t="s">
        <v>36</v>
      </c>
      <c r="C77" s="1" t="s">
        <v>37</v>
      </c>
      <c r="D77" s="1" t="s">
        <v>37</v>
      </c>
      <c r="E77" s="1" t="s">
        <v>37</v>
      </c>
      <c r="F77" s="1" t="s">
        <v>89</v>
      </c>
      <c r="G77" s="1">
        <v>2</v>
      </c>
      <c r="H77" s="1">
        <v>4</v>
      </c>
      <c r="I77" s="1">
        <v>3</v>
      </c>
      <c r="J77" s="1">
        <v>1</v>
      </c>
      <c r="K77" s="1">
        <v>5</v>
      </c>
      <c r="L77" s="1" t="s">
        <v>160</v>
      </c>
      <c r="M77" s="1">
        <v>3</v>
      </c>
      <c r="N77" s="1" t="s">
        <v>212</v>
      </c>
      <c r="O77" s="1">
        <v>5</v>
      </c>
      <c r="P77" s="1">
        <v>5</v>
      </c>
      <c r="Q77" s="1" t="s">
        <v>66</v>
      </c>
      <c r="R77" s="1" t="s">
        <v>53</v>
      </c>
      <c r="S77" s="1" t="s">
        <v>44</v>
      </c>
      <c r="T77" s="1" t="s">
        <v>44</v>
      </c>
      <c r="U77" s="1" t="s">
        <v>52</v>
      </c>
      <c r="V77" s="1" t="s">
        <v>44</v>
      </c>
      <c r="W77" s="1" t="s">
        <v>44</v>
      </c>
      <c r="X77" s="1" t="s">
        <v>44</v>
      </c>
      <c r="Y77" s="1" t="s">
        <v>44</v>
      </c>
      <c r="Z77" s="1" t="s">
        <v>43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37</v>
      </c>
      <c r="AF77" s="1" t="s">
        <v>37</v>
      </c>
      <c r="AG77" s="1" t="s">
        <v>298</v>
      </c>
      <c r="AH77" s="1">
        <v>11959010026</v>
      </c>
      <c r="AI77" s="1" t="s">
        <v>299</v>
      </c>
      <c r="AJ77" t="s">
        <v>56</v>
      </c>
    </row>
    <row r="78" spans="1:36" ht="12.6">
      <c r="A78" s="2">
        <v>45458.58334730324</v>
      </c>
      <c r="B78" s="1" t="s">
        <v>98</v>
      </c>
      <c r="C78" s="1" t="s">
        <v>37</v>
      </c>
      <c r="D78" s="1" t="s">
        <v>37</v>
      </c>
      <c r="E78" s="1" t="s">
        <v>37</v>
      </c>
      <c r="F78" s="1" t="s">
        <v>69</v>
      </c>
      <c r="G78" s="1">
        <v>5</v>
      </c>
      <c r="H78" s="1">
        <v>1</v>
      </c>
      <c r="I78" s="1">
        <v>5</v>
      </c>
      <c r="J78" s="1">
        <v>1</v>
      </c>
      <c r="K78" s="1">
        <v>5</v>
      </c>
      <c r="L78" s="1" t="s">
        <v>39</v>
      </c>
      <c r="M78" s="1">
        <v>2</v>
      </c>
      <c r="N78" s="1" t="s">
        <v>193</v>
      </c>
      <c r="O78" s="1">
        <v>4</v>
      </c>
      <c r="P78" s="1">
        <v>5</v>
      </c>
      <c r="Q78" s="1" t="s">
        <v>41</v>
      </c>
      <c r="R78" s="1" t="s">
        <v>44</v>
      </c>
      <c r="S78" s="1" t="s">
        <v>43</v>
      </c>
      <c r="T78" s="1" t="s">
        <v>44</v>
      </c>
      <c r="U78" s="1" t="s">
        <v>44</v>
      </c>
      <c r="V78" s="1" t="s">
        <v>43</v>
      </c>
      <c r="W78" s="1" t="s">
        <v>44</v>
      </c>
      <c r="X78" s="1" t="s">
        <v>43</v>
      </c>
      <c r="Y78" s="1" t="s">
        <v>44</v>
      </c>
      <c r="Z78" s="1" t="s">
        <v>43</v>
      </c>
      <c r="AA78" s="1" t="s">
        <v>44</v>
      </c>
      <c r="AB78" s="1" t="s">
        <v>43</v>
      </c>
      <c r="AC78" s="1" t="s">
        <v>43</v>
      </c>
      <c r="AD78" s="1" t="s">
        <v>45</v>
      </c>
      <c r="AE78" s="1" t="s">
        <v>37</v>
      </c>
      <c r="AF78" s="1" t="s">
        <v>37</v>
      </c>
      <c r="AG78" s="1" t="s">
        <v>300</v>
      </c>
      <c r="AH78" s="1">
        <v>11994197670</v>
      </c>
      <c r="AI78" s="1" t="s">
        <v>301</v>
      </c>
      <c r="AJ78" t="s">
        <v>79</v>
      </c>
    </row>
    <row r="79" spans="1:36" ht="12.6">
      <c r="A79" s="2">
        <v>45458.583378240743</v>
      </c>
      <c r="B79" s="1" t="s">
        <v>36</v>
      </c>
      <c r="C79" s="1" t="s">
        <v>37</v>
      </c>
      <c r="D79" s="1" t="s">
        <v>37</v>
      </c>
      <c r="E79" s="1" t="s">
        <v>37</v>
      </c>
      <c r="F79" s="1" t="s">
        <v>49</v>
      </c>
      <c r="G79" s="1">
        <v>1</v>
      </c>
      <c r="H79" s="1">
        <v>4</v>
      </c>
      <c r="I79" s="1">
        <v>5</v>
      </c>
      <c r="J79" s="1">
        <v>1</v>
      </c>
      <c r="K79" s="1">
        <v>3</v>
      </c>
      <c r="L79" s="1" t="s">
        <v>302</v>
      </c>
      <c r="M79" s="1">
        <v>4</v>
      </c>
      <c r="N79" s="1" t="s">
        <v>303</v>
      </c>
      <c r="O79" s="1">
        <v>4</v>
      </c>
      <c r="P79" s="1">
        <v>3</v>
      </c>
      <c r="Q79" s="1" t="s">
        <v>66</v>
      </c>
      <c r="R79" s="1" t="s">
        <v>44</v>
      </c>
      <c r="S79" s="1" t="s">
        <v>44</v>
      </c>
      <c r="T79" s="1" t="s">
        <v>44</v>
      </c>
      <c r="U79" s="1" t="s">
        <v>53</v>
      </c>
      <c r="V79" s="1" t="s">
        <v>43</v>
      </c>
      <c r="W79" s="1" t="s">
        <v>44</v>
      </c>
      <c r="X79" s="1" t="s">
        <v>44</v>
      </c>
      <c r="Y79" s="1" t="s">
        <v>44</v>
      </c>
      <c r="Z79" s="1" t="s">
        <v>43</v>
      </c>
      <c r="AA79" s="1" t="s">
        <v>44</v>
      </c>
      <c r="AB79" s="1" t="s">
        <v>43</v>
      </c>
      <c r="AC79" s="1" t="s">
        <v>44</v>
      </c>
      <c r="AD79" s="1" t="s">
        <v>45</v>
      </c>
      <c r="AE79" s="1" t="s">
        <v>37</v>
      </c>
      <c r="AF79" s="1" t="s">
        <v>37</v>
      </c>
      <c r="AG79" s="1" t="s">
        <v>304</v>
      </c>
      <c r="AH79" s="1">
        <v>11997018487</v>
      </c>
      <c r="AI79" s="1" t="s">
        <v>305</v>
      </c>
      <c r="AJ79" t="s">
        <v>48</v>
      </c>
    </row>
    <row r="80" spans="1:36" ht="12.6">
      <c r="A80" s="2">
        <v>45458.586848182866</v>
      </c>
      <c r="B80" s="1" t="s">
        <v>36</v>
      </c>
      <c r="C80" s="1" t="s">
        <v>37</v>
      </c>
      <c r="D80" s="1" t="s">
        <v>37</v>
      </c>
      <c r="E80" s="1" t="s">
        <v>37</v>
      </c>
      <c r="F80" s="1" t="s">
        <v>89</v>
      </c>
      <c r="G80" s="1">
        <v>5</v>
      </c>
      <c r="H80" s="1">
        <v>5</v>
      </c>
      <c r="I80" s="1">
        <v>3</v>
      </c>
      <c r="J80" s="1">
        <v>1</v>
      </c>
      <c r="K80" s="1">
        <v>1</v>
      </c>
      <c r="L80" s="1" t="s">
        <v>94</v>
      </c>
      <c r="M80" s="1">
        <v>5</v>
      </c>
      <c r="N80" s="1" t="s">
        <v>272</v>
      </c>
      <c r="O80" s="1">
        <v>5</v>
      </c>
      <c r="P80" s="1">
        <v>5</v>
      </c>
      <c r="Q80" s="1" t="s">
        <v>66</v>
      </c>
      <c r="R80" s="1" t="s">
        <v>42</v>
      </c>
      <c r="S80" s="1" t="s">
        <v>44</v>
      </c>
      <c r="T80" s="1" t="s">
        <v>53</v>
      </c>
      <c r="U80" s="1" t="s">
        <v>42</v>
      </c>
      <c r="V80" s="1" t="s">
        <v>43</v>
      </c>
      <c r="W80" s="1" t="s">
        <v>44</v>
      </c>
      <c r="X80" s="1" t="s">
        <v>44</v>
      </c>
      <c r="Y80" s="1" t="s">
        <v>44</v>
      </c>
      <c r="Z80" s="1" t="s">
        <v>44</v>
      </c>
      <c r="AA80" s="1" t="s">
        <v>44</v>
      </c>
      <c r="AB80" s="1" t="s">
        <v>43</v>
      </c>
      <c r="AC80" s="1" t="s">
        <v>44</v>
      </c>
      <c r="AD80" s="1" t="s">
        <v>45</v>
      </c>
      <c r="AE80" s="1" t="s">
        <v>37</v>
      </c>
      <c r="AF80" s="1" t="s">
        <v>37</v>
      </c>
      <c r="AG80" s="1" t="s">
        <v>306</v>
      </c>
      <c r="AH80" s="1">
        <v>11967035757</v>
      </c>
      <c r="AI80" s="1" t="s">
        <v>307</v>
      </c>
      <c r="AJ80" t="s">
        <v>56</v>
      </c>
    </row>
    <row r="81" spans="1:36" ht="12.6">
      <c r="A81" s="2">
        <v>45458.586866909725</v>
      </c>
      <c r="B81" s="1" t="s">
        <v>63</v>
      </c>
      <c r="C81" s="1" t="s">
        <v>37</v>
      </c>
      <c r="D81" s="1" t="s">
        <v>37</v>
      </c>
      <c r="E81" s="1" t="s">
        <v>37</v>
      </c>
      <c r="F81" s="1" t="s">
        <v>49</v>
      </c>
      <c r="G81" s="1">
        <v>3</v>
      </c>
      <c r="H81" s="1">
        <v>2</v>
      </c>
      <c r="I81" s="1">
        <v>5</v>
      </c>
      <c r="J81" s="1">
        <v>4</v>
      </c>
      <c r="K81" s="1">
        <v>5</v>
      </c>
      <c r="L81" s="1" t="s">
        <v>269</v>
      </c>
      <c r="M81" s="1">
        <v>4</v>
      </c>
      <c r="N81" s="1" t="s">
        <v>308</v>
      </c>
      <c r="O81" s="1">
        <v>5</v>
      </c>
      <c r="P81" s="1">
        <v>5</v>
      </c>
      <c r="Q81" s="1" t="s">
        <v>41</v>
      </c>
      <c r="R81" s="1" t="s">
        <v>53</v>
      </c>
      <c r="S81" s="1" t="s">
        <v>44</v>
      </c>
      <c r="T81" s="1" t="s">
        <v>43</v>
      </c>
      <c r="U81" s="1" t="s">
        <v>53</v>
      </c>
      <c r="V81" s="1" t="s">
        <v>44</v>
      </c>
      <c r="W81" s="1" t="s">
        <v>44</v>
      </c>
      <c r="X81" s="1" t="s">
        <v>44</v>
      </c>
      <c r="Y81" s="1" t="s">
        <v>44</v>
      </c>
      <c r="Z81" s="1" t="s">
        <v>43</v>
      </c>
      <c r="AA81" s="1" t="s">
        <v>44</v>
      </c>
      <c r="AB81" s="1" t="s">
        <v>43</v>
      </c>
      <c r="AC81" s="1" t="s">
        <v>44</v>
      </c>
      <c r="AD81" s="1" t="s">
        <v>45</v>
      </c>
      <c r="AE81" s="1" t="s">
        <v>37</v>
      </c>
      <c r="AF81" s="1" t="s">
        <v>37</v>
      </c>
      <c r="AG81" s="1" t="s">
        <v>309</v>
      </c>
      <c r="AH81" s="1">
        <v>1198123664</v>
      </c>
      <c r="AI81" s="1" t="s">
        <v>310</v>
      </c>
      <c r="AJ81" t="s">
        <v>48</v>
      </c>
    </row>
    <row r="82" spans="1:36" ht="12.6">
      <c r="A82" s="2">
        <v>45458.596983402778</v>
      </c>
      <c r="B82" s="1" t="s">
        <v>36</v>
      </c>
      <c r="C82" s="1" t="s">
        <v>37</v>
      </c>
      <c r="D82" s="1" t="s">
        <v>37</v>
      </c>
      <c r="E82" s="1" t="s">
        <v>37</v>
      </c>
      <c r="F82" s="1" t="s">
        <v>49</v>
      </c>
      <c r="G82" s="1">
        <v>4</v>
      </c>
      <c r="H82" s="1">
        <v>3</v>
      </c>
      <c r="I82" s="1">
        <v>1</v>
      </c>
      <c r="J82" s="1">
        <v>1</v>
      </c>
      <c r="K82" s="1">
        <v>4</v>
      </c>
      <c r="L82" s="1" t="s">
        <v>311</v>
      </c>
      <c r="M82" s="1">
        <v>1</v>
      </c>
      <c r="N82" s="1" t="s">
        <v>111</v>
      </c>
      <c r="O82" s="1">
        <v>1</v>
      </c>
      <c r="P82" s="1">
        <v>1</v>
      </c>
      <c r="Q82" s="1" t="s">
        <v>66</v>
      </c>
      <c r="R82" s="1" t="s">
        <v>53</v>
      </c>
      <c r="S82" s="1" t="s">
        <v>43</v>
      </c>
      <c r="T82" s="1" t="s">
        <v>44</v>
      </c>
      <c r="U82" s="1" t="s">
        <v>44</v>
      </c>
      <c r="V82" s="1" t="s">
        <v>44</v>
      </c>
      <c r="W82" s="1" t="s">
        <v>44</v>
      </c>
      <c r="X82" s="1" t="s">
        <v>43</v>
      </c>
      <c r="Y82" s="1" t="s">
        <v>44</v>
      </c>
      <c r="Z82" s="1" t="s">
        <v>43</v>
      </c>
      <c r="AA82" s="1" t="s">
        <v>44</v>
      </c>
      <c r="AB82" s="1" t="s">
        <v>44</v>
      </c>
      <c r="AC82" s="1" t="s">
        <v>43</v>
      </c>
      <c r="AD82" s="1" t="s">
        <v>45</v>
      </c>
      <c r="AE82" s="1" t="s">
        <v>37</v>
      </c>
      <c r="AF82" s="1" t="s">
        <v>37</v>
      </c>
      <c r="AG82" s="1" t="s">
        <v>312</v>
      </c>
      <c r="AH82" s="1">
        <v>11972554010</v>
      </c>
      <c r="AI82" s="1" t="s">
        <v>313</v>
      </c>
      <c r="AJ82" t="s">
        <v>62</v>
      </c>
    </row>
    <row r="83" spans="1:36" ht="12.6">
      <c r="A83" s="2">
        <v>45458.597133055555</v>
      </c>
      <c r="B83" s="1" t="s">
        <v>36</v>
      </c>
      <c r="C83" s="1" t="s">
        <v>37</v>
      </c>
      <c r="D83" s="1" t="s">
        <v>37</v>
      </c>
      <c r="E83" s="1" t="s">
        <v>37</v>
      </c>
      <c r="F83" s="1" t="s">
        <v>49</v>
      </c>
      <c r="G83" s="1">
        <v>5</v>
      </c>
      <c r="H83" s="1">
        <v>5</v>
      </c>
      <c r="I83" s="1">
        <v>2</v>
      </c>
      <c r="J83" s="1">
        <v>1</v>
      </c>
      <c r="K83" s="1">
        <v>5</v>
      </c>
      <c r="L83" s="1" t="s">
        <v>269</v>
      </c>
      <c r="M83" s="1">
        <v>5</v>
      </c>
      <c r="N83" s="1" t="s">
        <v>314</v>
      </c>
      <c r="O83" s="1">
        <v>5</v>
      </c>
      <c r="P83" s="1">
        <v>5</v>
      </c>
      <c r="Q83" s="1" t="s">
        <v>41</v>
      </c>
      <c r="R83" s="1" t="s">
        <v>53</v>
      </c>
      <c r="S83" s="1" t="s">
        <v>43</v>
      </c>
      <c r="T83" s="1" t="s">
        <v>43</v>
      </c>
      <c r="U83" s="1" t="s">
        <v>44</v>
      </c>
      <c r="V83" s="1" t="s">
        <v>43</v>
      </c>
      <c r="W83" s="1" t="s">
        <v>44</v>
      </c>
      <c r="X83" s="1" t="s">
        <v>43</v>
      </c>
      <c r="Y83" s="1" t="s">
        <v>43</v>
      </c>
      <c r="Z83" s="1" t="s">
        <v>43</v>
      </c>
      <c r="AA83" s="1" t="s">
        <v>44</v>
      </c>
      <c r="AB83" s="1" t="s">
        <v>43</v>
      </c>
      <c r="AC83" s="1" t="s">
        <v>43</v>
      </c>
      <c r="AD83" s="1" t="s">
        <v>45</v>
      </c>
      <c r="AE83" s="1" t="s">
        <v>37</v>
      </c>
      <c r="AF83" s="1" t="s">
        <v>37</v>
      </c>
      <c r="AG83" s="1" t="s">
        <v>315</v>
      </c>
      <c r="AH83" s="1">
        <v>11969144489</v>
      </c>
      <c r="AI83" s="1" t="s">
        <v>316</v>
      </c>
      <c r="AJ83" t="s">
        <v>79</v>
      </c>
    </row>
    <row r="84" spans="1:36" ht="12.6">
      <c r="A84" s="2">
        <v>45458.59727356481</v>
      </c>
      <c r="B84" s="1" t="s">
        <v>36</v>
      </c>
      <c r="C84" s="1" t="s">
        <v>37</v>
      </c>
      <c r="D84" s="1" t="s">
        <v>37</v>
      </c>
      <c r="E84" s="1" t="s">
        <v>37</v>
      </c>
      <c r="F84" s="1" t="s">
        <v>89</v>
      </c>
      <c r="G84" s="1">
        <v>5</v>
      </c>
      <c r="H84" s="1">
        <v>3</v>
      </c>
      <c r="I84" s="1">
        <v>1</v>
      </c>
      <c r="J84" s="1">
        <v>1</v>
      </c>
      <c r="K84" s="1">
        <v>4</v>
      </c>
      <c r="L84" s="1" t="s">
        <v>118</v>
      </c>
      <c r="M84" s="1">
        <v>4</v>
      </c>
      <c r="N84" s="1" t="s">
        <v>287</v>
      </c>
      <c r="O84" s="1">
        <v>5</v>
      </c>
      <c r="P84" s="1">
        <v>2</v>
      </c>
      <c r="Q84" s="1" t="s">
        <v>41</v>
      </c>
      <c r="R84" s="1" t="s">
        <v>42</v>
      </c>
      <c r="S84" s="1" t="s">
        <v>43</v>
      </c>
      <c r="T84" s="1" t="s">
        <v>44</v>
      </c>
      <c r="U84" s="1" t="s">
        <v>53</v>
      </c>
      <c r="V84" s="1" t="s">
        <v>43</v>
      </c>
      <c r="W84" s="1" t="s">
        <v>53</v>
      </c>
      <c r="X84" s="1" t="s">
        <v>43</v>
      </c>
      <c r="Y84" s="1" t="s">
        <v>44</v>
      </c>
      <c r="Z84" s="1" t="s">
        <v>43</v>
      </c>
      <c r="AA84" s="1" t="s">
        <v>44</v>
      </c>
      <c r="AB84" s="1" t="s">
        <v>43</v>
      </c>
      <c r="AC84" s="1" t="s">
        <v>43</v>
      </c>
      <c r="AD84" s="1" t="s">
        <v>45</v>
      </c>
      <c r="AE84" s="1" t="s">
        <v>37</v>
      </c>
      <c r="AF84" s="1" t="s">
        <v>37</v>
      </c>
      <c r="AG84" s="1" t="s">
        <v>317</v>
      </c>
      <c r="AH84" s="1">
        <v>11993270569</v>
      </c>
      <c r="AI84" s="1" t="s">
        <v>318</v>
      </c>
      <c r="AJ84" t="s">
        <v>48</v>
      </c>
    </row>
    <row r="85" spans="1:36" ht="12.6">
      <c r="A85" s="2">
        <v>45458.597299537039</v>
      </c>
      <c r="B85" s="1" t="s">
        <v>36</v>
      </c>
      <c r="C85" s="1" t="s">
        <v>37</v>
      </c>
      <c r="D85" s="1" t="s">
        <v>37</v>
      </c>
      <c r="E85" s="1" t="s">
        <v>37</v>
      </c>
      <c r="F85" s="1" t="s">
        <v>49</v>
      </c>
      <c r="G85" s="1">
        <v>3</v>
      </c>
      <c r="H85" s="1">
        <v>4</v>
      </c>
      <c r="I85" s="1">
        <v>2</v>
      </c>
      <c r="J85" s="1">
        <v>1</v>
      </c>
      <c r="K85" s="1">
        <v>5</v>
      </c>
      <c r="L85" s="1" t="s">
        <v>39</v>
      </c>
      <c r="M85" s="1">
        <v>3</v>
      </c>
      <c r="N85" s="1" t="s">
        <v>295</v>
      </c>
      <c r="O85" s="1">
        <v>4</v>
      </c>
      <c r="P85" s="1">
        <v>3</v>
      </c>
      <c r="Q85" s="1" t="s">
        <v>41</v>
      </c>
      <c r="R85" s="1" t="s">
        <v>53</v>
      </c>
      <c r="S85" s="1" t="s">
        <v>44</v>
      </c>
      <c r="T85" s="1" t="s">
        <v>44</v>
      </c>
      <c r="U85" s="1" t="s">
        <v>53</v>
      </c>
      <c r="V85" s="1" t="s">
        <v>43</v>
      </c>
      <c r="W85" s="1" t="s">
        <v>44</v>
      </c>
      <c r="X85" s="1" t="s">
        <v>43</v>
      </c>
      <c r="Y85" s="1" t="s">
        <v>44</v>
      </c>
      <c r="Z85" s="1" t="s">
        <v>43</v>
      </c>
      <c r="AA85" s="1" t="s">
        <v>44</v>
      </c>
      <c r="AB85" s="1" t="s">
        <v>43</v>
      </c>
      <c r="AC85" s="1" t="s">
        <v>44</v>
      </c>
      <c r="AD85" s="1" t="s">
        <v>45</v>
      </c>
      <c r="AE85" s="1" t="s">
        <v>37</v>
      </c>
      <c r="AF85" s="1" t="s">
        <v>37</v>
      </c>
      <c r="AG85" s="1" t="s">
        <v>319</v>
      </c>
      <c r="AH85" s="1">
        <v>11988072020</v>
      </c>
      <c r="AI85" s="1" t="s">
        <v>320</v>
      </c>
      <c r="AJ85" t="s">
        <v>48</v>
      </c>
    </row>
    <row r="86" spans="1:36" ht="12.6">
      <c r="A86" s="2">
        <v>45458.600617349541</v>
      </c>
      <c r="B86" s="1" t="s">
        <v>36</v>
      </c>
      <c r="C86" s="1" t="s">
        <v>37</v>
      </c>
      <c r="D86" s="1" t="s">
        <v>37</v>
      </c>
      <c r="E86" s="1" t="s">
        <v>37</v>
      </c>
      <c r="F86" s="1" t="s">
        <v>49</v>
      </c>
      <c r="G86" s="1">
        <v>5</v>
      </c>
      <c r="H86" s="1">
        <v>4</v>
      </c>
      <c r="I86" s="1">
        <v>1</v>
      </c>
      <c r="J86" s="1">
        <v>1</v>
      </c>
      <c r="K86" s="1">
        <v>5</v>
      </c>
      <c r="L86" s="1" t="s">
        <v>321</v>
      </c>
      <c r="M86" s="1">
        <v>2</v>
      </c>
      <c r="N86" s="1" t="s">
        <v>322</v>
      </c>
      <c r="O86" s="1">
        <v>4</v>
      </c>
      <c r="P86" s="1">
        <v>5</v>
      </c>
      <c r="Q86" s="1" t="s">
        <v>66</v>
      </c>
      <c r="R86" s="1" t="s">
        <v>42</v>
      </c>
      <c r="S86" s="1" t="s">
        <v>43</v>
      </c>
      <c r="T86" s="1" t="s">
        <v>44</v>
      </c>
      <c r="U86" s="1" t="s">
        <v>42</v>
      </c>
      <c r="V86" s="1" t="s">
        <v>44</v>
      </c>
      <c r="W86" s="1" t="s">
        <v>53</v>
      </c>
      <c r="X86" s="1" t="s">
        <v>53</v>
      </c>
      <c r="Y86" s="1" t="s">
        <v>44</v>
      </c>
      <c r="Z86" s="1" t="s">
        <v>43</v>
      </c>
      <c r="AA86" s="1" t="s">
        <v>44</v>
      </c>
      <c r="AB86" s="1" t="s">
        <v>43</v>
      </c>
      <c r="AC86" s="1" t="s">
        <v>43</v>
      </c>
      <c r="AD86" s="1" t="s">
        <v>45</v>
      </c>
      <c r="AE86" s="1" t="s">
        <v>37</v>
      </c>
      <c r="AF86" s="1" t="s">
        <v>37</v>
      </c>
      <c r="AG86" s="1" t="s">
        <v>323</v>
      </c>
      <c r="AH86" s="1">
        <v>11964472494</v>
      </c>
      <c r="AI86" s="1" t="s">
        <v>324</v>
      </c>
      <c r="AJ86" t="s">
        <v>56</v>
      </c>
    </row>
    <row r="87" spans="1:36" ht="12.6">
      <c r="A87" s="2">
        <v>45458.601490173613</v>
      </c>
      <c r="B87" s="1" t="s">
        <v>98</v>
      </c>
      <c r="C87" s="1" t="s">
        <v>37</v>
      </c>
      <c r="D87" s="1" t="s">
        <v>37</v>
      </c>
      <c r="E87" s="1" t="s">
        <v>37</v>
      </c>
      <c r="F87" s="1" t="s">
        <v>89</v>
      </c>
      <c r="G87" s="1">
        <v>3</v>
      </c>
      <c r="H87" s="1">
        <v>2</v>
      </c>
      <c r="I87" s="1">
        <v>1</v>
      </c>
      <c r="J87" s="1">
        <v>1</v>
      </c>
      <c r="K87" s="1">
        <v>4</v>
      </c>
      <c r="L87" s="1" t="s">
        <v>118</v>
      </c>
      <c r="M87" s="1">
        <v>1</v>
      </c>
      <c r="N87" s="1" t="s">
        <v>178</v>
      </c>
      <c r="O87" s="1">
        <v>5</v>
      </c>
      <c r="P87" s="1">
        <v>4</v>
      </c>
      <c r="Q87" s="1" t="s">
        <v>41</v>
      </c>
      <c r="R87" s="1" t="s">
        <v>52</v>
      </c>
      <c r="S87" s="1" t="s">
        <v>53</v>
      </c>
      <c r="T87" s="1" t="s">
        <v>52</v>
      </c>
      <c r="U87" s="1" t="s">
        <v>42</v>
      </c>
      <c r="V87" s="1" t="s">
        <v>44</v>
      </c>
      <c r="W87" s="1" t="s">
        <v>53</v>
      </c>
      <c r="X87" s="1" t="s">
        <v>44</v>
      </c>
      <c r="Y87" s="1" t="s">
        <v>44</v>
      </c>
      <c r="Z87" s="1" t="s">
        <v>43</v>
      </c>
      <c r="AA87" s="1" t="s">
        <v>53</v>
      </c>
      <c r="AB87" s="1" t="s">
        <v>43</v>
      </c>
      <c r="AC87" s="1" t="s">
        <v>44</v>
      </c>
      <c r="AD87" s="1" t="s">
        <v>59</v>
      </c>
      <c r="AE87" s="1" t="s">
        <v>37</v>
      </c>
      <c r="AF87" s="1" t="s">
        <v>37</v>
      </c>
      <c r="AG87" s="1" t="s">
        <v>325</v>
      </c>
      <c r="AH87" s="1">
        <v>14997276925</v>
      </c>
      <c r="AI87" s="1" t="s">
        <v>326</v>
      </c>
      <c r="AJ87" t="s">
        <v>56</v>
      </c>
    </row>
    <row r="88" spans="1:36" ht="12.6">
      <c r="A88" s="2">
        <v>45458.608015717589</v>
      </c>
      <c r="B88" s="1" t="s">
        <v>63</v>
      </c>
      <c r="C88" s="1" t="s">
        <v>37</v>
      </c>
      <c r="D88" s="1" t="s">
        <v>37</v>
      </c>
      <c r="E88" s="1" t="s">
        <v>37</v>
      </c>
      <c r="F88" s="1" t="s">
        <v>49</v>
      </c>
      <c r="G88" s="1">
        <v>5</v>
      </c>
      <c r="H88" s="1">
        <v>5</v>
      </c>
      <c r="I88" s="1">
        <v>1</v>
      </c>
      <c r="J88" s="1">
        <v>5</v>
      </c>
      <c r="K88" s="1">
        <v>5</v>
      </c>
      <c r="L88" s="1" t="s">
        <v>57</v>
      </c>
      <c r="M88" s="1">
        <v>5</v>
      </c>
      <c r="N88" s="1" t="s">
        <v>212</v>
      </c>
      <c r="O88" s="1">
        <v>5</v>
      </c>
      <c r="P88" s="1">
        <v>5</v>
      </c>
      <c r="Q88" s="1" t="s">
        <v>41</v>
      </c>
      <c r="R88" s="1" t="s">
        <v>53</v>
      </c>
      <c r="S88" s="1" t="s">
        <v>44</v>
      </c>
      <c r="T88" s="1" t="s">
        <v>53</v>
      </c>
      <c r="U88" s="1" t="s">
        <v>53</v>
      </c>
      <c r="V88" s="1" t="s">
        <v>44</v>
      </c>
      <c r="W88" s="1" t="s">
        <v>44</v>
      </c>
      <c r="X88" s="1" t="s">
        <v>44</v>
      </c>
      <c r="Y88" s="1" t="s">
        <v>44</v>
      </c>
      <c r="Z88" s="1" t="s">
        <v>44</v>
      </c>
      <c r="AA88" s="1" t="s">
        <v>44</v>
      </c>
      <c r="AB88" s="1" t="s">
        <v>43</v>
      </c>
      <c r="AC88" s="1" t="s">
        <v>44</v>
      </c>
      <c r="AD88" s="1" t="s">
        <v>45</v>
      </c>
      <c r="AE88" s="1" t="s">
        <v>37</v>
      </c>
      <c r="AF88" s="1" t="s">
        <v>37</v>
      </c>
      <c r="AG88" s="1" t="s">
        <v>327</v>
      </c>
      <c r="AH88" s="1">
        <v>11950635563</v>
      </c>
      <c r="AI88" s="1" t="s">
        <v>328</v>
      </c>
      <c r="AJ88" t="s">
        <v>56</v>
      </c>
    </row>
    <row r="89" spans="1:36" ht="12.6">
      <c r="A89" s="2">
        <v>45458.608596724538</v>
      </c>
      <c r="B89" s="1" t="s">
        <v>63</v>
      </c>
      <c r="C89" s="1" t="s">
        <v>37</v>
      </c>
      <c r="D89" s="1" t="s">
        <v>37</v>
      </c>
      <c r="E89" s="1" t="s">
        <v>37</v>
      </c>
      <c r="F89" s="1" t="s">
        <v>84</v>
      </c>
      <c r="G89" s="1">
        <v>3</v>
      </c>
      <c r="H89" s="1">
        <v>5</v>
      </c>
      <c r="I89" s="1">
        <v>3</v>
      </c>
      <c r="J89" s="1">
        <v>1</v>
      </c>
      <c r="K89" s="1">
        <v>4</v>
      </c>
      <c r="L89" s="1" t="s">
        <v>151</v>
      </c>
      <c r="M89" s="1">
        <v>4</v>
      </c>
      <c r="N89" s="1" t="s">
        <v>329</v>
      </c>
      <c r="O89" s="1">
        <v>4</v>
      </c>
      <c r="P89" s="1">
        <v>2</v>
      </c>
      <c r="Q89" s="1" t="s">
        <v>66</v>
      </c>
      <c r="R89" s="1" t="s">
        <v>53</v>
      </c>
      <c r="S89" s="1" t="s">
        <v>44</v>
      </c>
      <c r="T89" s="1" t="s">
        <v>44</v>
      </c>
      <c r="U89" s="1" t="s">
        <v>53</v>
      </c>
      <c r="V89" s="1" t="s">
        <v>43</v>
      </c>
      <c r="W89" s="1" t="s">
        <v>53</v>
      </c>
      <c r="X89" s="1" t="s">
        <v>44</v>
      </c>
      <c r="Y89" s="1" t="s">
        <v>44</v>
      </c>
      <c r="Z89" s="1" t="s">
        <v>53</v>
      </c>
      <c r="AA89" s="1" t="s">
        <v>44</v>
      </c>
      <c r="AB89" s="1" t="s">
        <v>43</v>
      </c>
      <c r="AC89" s="1" t="s">
        <v>44</v>
      </c>
      <c r="AD89" s="1" t="s">
        <v>45</v>
      </c>
      <c r="AE89" s="1" t="s">
        <v>37</v>
      </c>
      <c r="AF89" s="1" t="s">
        <v>37</v>
      </c>
      <c r="AG89" s="1" t="s">
        <v>330</v>
      </c>
      <c r="AH89" s="1">
        <v>11964524909</v>
      </c>
      <c r="AI89" s="1" t="s">
        <v>331</v>
      </c>
      <c r="AJ89" t="s">
        <v>56</v>
      </c>
    </row>
    <row r="90" spans="1:36" ht="12.6">
      <c r="A90" s="2">
        <v>45458.608695960647</v>
      </c>
      <c r="B90" s="1" t="s">
        <v>63</v>
      </c>
      <c r="C90" s="1" t="s">
        <v>37</v>
      </c>
      <c r="D90" s="1" t="s">
        <v>37</v>
      </c>
      <c r="E90" s="1" t="s">
        <v>37</v>
      </c>
      <c r="F90" s="1" t="s">
        <v>49</v>
      </c>
      <c r="G90" s="1">
        <v>4</v>
      </c>
      <c r="H90" s="1">
        <v>5</v>
      </c>
      <c r="I90" s="1">
        <v>5</v>
      </c>
      <c r="J90" s="1">
        <v>1</v>
      </c>
      <c r="K90" s="1">
        <v>5</v>
      </c>
      <c r="L90" s="1" t="s">
        <v>39</v>
      </c>
      <c r="M90" s="1">
        <v>4</v>
      </c>
      <c r="N90" s="1" t="s">
        <v>332</v>
      </c>
      <c r="O90" s="1">
        <v>5</v>
      </c>
      <c r="P90" s="1">
        <v>5</v>
      </c>
      <c r="Q90" s="1" t="s">
        <v>66</v>
      </c>
      <c r="R90" s="1" t="s">
        <v>42</v>
      </c>
      <c r="S90" s="1" t="s">
        <v>43</v>
      </c>
      <c r="T90" s="1" t="s">
        <v>44</v>
      </c>
      <c r="U90" s="1" t="s">
        <v>44</v>
      </c>
      <c r="V90" s="1" t="s">
        <v>44</v>
      </c>
      <c r="W90" s="1" t="s">
        <v>44</v>
      </c>
      <c r="X90" s="1" t="s">
        <v>44</v>
      </c>
      <c r="Y90" s="1" t="s">
        <v>44</v>
      </c>
      <c r="Z90" s="1" t="s">
        <v>43</v>
      </c>
      <c r="AA90" s="1" t="s">
        <v>44</v>
      </c>
      <c r="AB90" s="1" t="s">
        <v>43</v>
      </c>
      <c r="AC90" s="1" t="s">
        <v>43</v>
      </c>
      <c r="AD90" s="1" t="s">
        <v>45</v>
      </c>
      <c r="AE90" s="1" t="s">
        <v>37</v>
      </c>
      <c r="AF90" s="1" t="s">
        <v>37</v>
      </c>
      <c r="AG90" s="1" t="s">
        <v>333</v>
      </c>
      <c r="AH90" s="1">
        <v>11999925350</v>
      </c>
      <c r="AI90" s="1" t="s">
        <v>334</v>
      </c>
      <c r="AJ90" t="s">
        <v>48</v>
      </c>
    </row>
    <row r="91" spans="1:36" ht="12.6">
      <c r="A91" s="2">
        <v>45458.609226805551</v>
      </c>
      <c r="B91" s="1" t="s">
        <v>36</v>
      </c>
      <c r="C91" s="1" t="s">
        <v>37</v>
      </c>
      <c r="D91" s="1" t="s">
        <v>37</v>
      </c>
      <c r="E91" s="1" t="s">
        <v>37</v>
      </c>
      <c r="F91" s="1" t="s">
        <v>89</v>
      </c>
      <c r="G91" s="1">
        <v>4</v>
      </c>
      <c r="H91" s="1">
        <v>3</v>
      </c>
      <c r="I91" s="1">
        <v>2</v>
      </c>
      <c r="J91" s="1">
        <v>1</v>
      </c>
      <c r="K91" s="1">
        <v>5</v>
      </c>
      <c r="L91" s="1" t="s">
        <v>131</v>
      </c>
      <c r="M91" s="1">
        <v>3</v>
      </c>
      <c r="N91" s="1" t="s">
        <v>135</v>
      </c>
      <c r="O91" s="1">
        <v>4</v>
      </c>
      <c r="P91" s="1">
        <v>5</v>
      </c>
      <c r="Q91" s="1" t="s">
        <v>41</v>
      </c>
      <c r="R91" s="1" t="s">
        <v>52</v>
      </c>
      <c r="S91" s="1" t="s">
        <v>44</v>
      </c>
      <c r="T91" s="1" t="s">
        <v>44</v>
      </c>
      <c r="U91" s="1" t="s">
        <v>53</v>
      </c>
      <c r="V91" s="1" t="s">
        <v>43</v>
      </c>
      <c r="W91" s="1" t="s">
        <v>44</v>
      </c>
      <c r="X91" s="1" t="s">
        <v>44</v>
      </c>
      <c r="Y91" s="1" t="s">
        <v>44</v>
      </c>
      <c r="Z91" s="1" t="s">
        <v>43</v>
      </c>
      <c r="AA91" s="1" t="s">
        <v>44</v>
      </c>
      <c r="AB91" s="1" t="s">
        <v>43</v>
      </c>
      <c r="AC91" s="1" t="s">
        <v>43</v>
      </c>
      <c r="AD91" s="1" t="s">
        <v>45</v>
      </c>
      <c r="AE91" s="1" t="s">
        <v>37</v>
      </c>
      <c r="AF91" s="1" t="s">
        <v>37</v>
      </c>
      <c r="AG91" s="1" t="s">
        <v>335</v>
      </c>
      <c r="AH91" s="1">
        <v>51997420748</v>
      </c>
      <c r="AI91" s="1" t="s">
        <v>336</v>
      </c>
      <c r="AJ91" t="s">
        <v>56</v>
      </c>
    </row>
    <row r="92" spans="1:36" ht="12.6">
      <c r="A92" s="2">
        <v>45458.614327870368</v>
      </c>
      <c r="B92" s="1" t="s">
        <v>169</v>
      </c>
      <c r="C92" s="1" t="s">
        <v>37</v>
      </c>
      <c r="D92" s="1" t="s">
        <v>37</v>
      </c>
      <c r="E92" s="1" t="s">
        <v>37</v>
      </c>
      <c r="F92" s="1" t="s">
        <v>69</v>
      </c>
      <c r="G92" s="1">
        <v>1</v>
      </c>
      <c r="H92" s="1">
        <v>2</v>
      </c>
      <c r="I92" s="1">
        <v>5</v>
      </c>
      <c r="J92" s="1">
        <v>1</v>
      </c>
      <c r="K92" s="1">
        <v>5</v>
      </c>
      <c r="L92" s="1" t="s">
        <v>160</v>
      </c>
      <c r="M92" s="1">
        <v>5</v>
      </c>
      <c r="N92" s="1" t="s">
        <v>337</v>
      </c>
      <c r="O92" s="1">
        <v>5</v>
      </c>
      <c r="P92" s="1">
        <v>5</v>
      </c>
      <c r="Q92" s="1" t="s">
        <v>66</v>
      </c>
      <c r="R92" s="1" t="s">
        <v>42</v>
      </c>
      <c r="S92" s="1" t="s">
        <v>44</v>
      </c>
      <c r="T92" s="1" t="s">
        <v>53</v>
      </c>
      <c r="U92" s="1" t="s">
        <v>52</v>
      </c>
      <c r="V92" s="1" t="s">
        <v>44</v>
      </c>
      <c r="W92" s="1" t="s">
        <v>44</v>
      </c>
      <c r="X92" s="1" t="s">
        <v>44</v>
      </c>
      <c r="Y92" s="1" t="s">
        <v>44</v>
      </c>
      <c r="Z92" s="1" t="s">
        <v>44</v>
      </c>
      <c r="AA92" s="1" t="s">
        <v>44</v>
      </c>
      <c r="AB92" s="1" t="s">
        <v>43</v>
      </c>
      <c r="AC92" s="1" t="s">
        <v>44</v>
      </c>
      <c r="AD92" s="1" t="s">
        <v>45</v>
      </c>
      <c r="AE92" s="1" t="s">
        <v>37</v>
      </c>
      <c r="AF92" s="1" t="s">
        <v>37</v>
      </c>
      <c r="AG92" s="1" t="s">
        <v>338</v>
      </c>
      <c r="AH92" s="1" t="s">
        <v>82</v>
      </c>
      <c r="AI92" s="1" t="s">
        <v>339</v>
      </c>
      <c r="AJ92" t="s">
        <v>56</v>
      </c>
    </row>
    <row r="93" spans="1:36" ht="12.6">
      <c r="A93" s="2">
        <v>45458.614769155094</v>
      </c>
      <c r="B93" s="1" t="s">
        <v>169</v>
      </c>
      <c r="C93" s="1" t="s">
        <v>37</v>
      </c>
      <c r="D93" s="1" t="s">
        <v>37</v>
      </c>
      <c r="E93" s="1" t="s">
        <v>37</v>
      </c>
      <c r="F93" s="1" t="s">
        <v>49</v>
      </c>
      <c r="G93" s="1">
        <v>3</v>
      </c>
      <c r="H93" s="1">
        <v>5</v>
      </c>
      <c r="I93" s="1">
        <v>3</v>
      </c>
      <c r="J93" s="1">
        <v>1</v>
      </c>
      <c r="K93" s="1">
        <v>4</v>
      </c>
      <c r="L93" s="1" t="s">
        <v>39</v>
      </c>
      <c r="M93" s="1">
        <v>3</v>
      </c>
      <c r="N93" s="1" t="s">
        <v>295</v>
      </c>
      <c r="O93" s="1">
        <v>4</v>
      </c>
      <c r="P93" s="1">
        <v>4</v>
      </c>
      <c r="Q93" s="1" t="s">
        <v>41</v>
      </c>
      <c r="R93" s="1" t="s">
        <v>42</v>
      </c>
      <c r="S93" s="1" t="s">
        <v>44</v>
      </c>
      <c r="T93" s="1" t="s">
        <v>53</v>
      </c>
      <c r="U93" s="1" t="s">
        <v>52</v>
      </c>
      <c r="V93" s="1" t="s">
        <v>44</v>
      </c>
      <c r="W93" s="1" t="s">
        <v>44</v>
      </c>
      <c r="X93" s="1" t="s">
        <v>44</v>
      </c>
      <c r="Y93" s="1" t="s">
        <v>44</v>
      </c>
      <c r="Z93" s="1" t="s">
        <v>44</v>
      </c>
      <c r="AA93" s="1" t="s">
        <v>44</v>
      </c>
      <c r="AB93" s="1" t="s">
        <v>43</v>
      </c>
      <c r="AC93" s="1" t="s">
        <v>44</v>
      </c>
      <c r="AD93" s="1" t="s">
        <v>45</v>
      </c>
      <c r="AE93" s="1" t="s">
        <v>37</v>
      </c>
      <c r="AF93" s="1" t="s">
        <v>37</v>
      </c>
      <c r="AG93" s="1" t="s">
        <v>340</v>
      </c>
      <c r="AH93" s="1" t="s">
        <v>82</v>
      </c>
      <c r="AI93" s="1" t="s">
        <v>341</v>
      </c>
      <c r="AJ93" t="s">
        <v>56</v>
      </c>
    </row>
    <row r="94" spans="1:36" ht="12.6">
      <c r="A94" s="2">
        <v>45458.620240300923</v>
      </c>
      <c r="B94" s="1" t="s">
        <v>63</v>
      </c>
      <c r="C94" s="1" t="s">
        <v>37</v>
      </c>
      <c r="D94" s="1" t="s">
        <v>37</v>
      </c>
      <c r="E94" s="1" t="s">
        <v>37</v>
      </c>
      <c r="F94" s="1" t="s">
        <v>84</v>
      </c>
      <c r="G94" s="1">
        <v>2</v>
      </c>
      <c r="H94" s="1">
        <v>2</v>
      </c>
      <c r="I94" s="1">
        <v>2</v>
      </c>
      <c r="J94" s="1">
        <v>1</v>
      </c>
      <c r="K94" s="1">
        <v>2</v>
      </c>
      <c r="L94" s="1" t="s">
        <v>50</v>
      </c>
      <c r="M94" s="1">
        <v>3</v>
      </c>
      <c r="N94" s="1" t="s">
        <v>342</v>
      </c>
      <c r="O94" s="1">
        <v>3</v>
      </c>
      <c r="P94" s="1">
        <v>3</v>
      </c>
      <c r="Q94" s="1" t="s">
        <v>66</v>
      </c>
      <c r="R94" s="1" t="s">
        <v>53</v>
      </c>
      <c r="S94" s="1" t="s">
        <v>44</v>
      </c>
      <c r="T94" s="1" t="s">
        <v>53</v>
      </c>
      <c r="U94" s="1" t="s">
        <v>53</v>
      </c>
      <c r="V94" s="1" t="s">
        <v>43</v>
      </c>
      <c r="W94" s="1" t="s">
        <v>44</v>
      </c>
      <c r="X94" s="1" t="s">
        <v>44</v>
      </c>
      <c r="Y94" s="1" t="s">
        <v>44</v>
      </c>
      <c r="Z94" s="1" t="s">
        <v>43</v>
      </c>
      <c r="AA94" s="1" t="s">
        <v>44</v>
      </c>
      <c r="AB94" s="1" t="s">
        <v>43</v>
      </c>
      <c r="AC94" s="1" t="s">
        <v>44</v>
      </c>
      <c r="AD94" s="1" t="s">
        <v>59</v>
      </c>
      <c r="AE94" s="1" t="s">
        <v>37</v>
      </c>
      <c r="AF94" s="1" t="s">
        <v>37</v>
      </c>
      <c r="AG94" s="1" t="s">
        <v>343</v>
      </c>
      <c r="AH94" s="1">
        <v>11982031600</v>
      </c>
      <c r="AI94" s="1" t="s">
        <v>344</v>
      </c>
      <c r="AJ94" t="s">
        <v>48</v>
      </c>
    </row>
    <row r="95" spans="1:36" ht="12.6">
      <c r="A95" s="2">
        <v>45458.622910034726</v>
      </c>
      <c r="B95" s="1" t="s">
        <v>36</v>
      </c>
      <c r="C95" s="1" t="s">
        <v>37</v>
      </c>
      <c r="D95" s="1" t="s">
        <v>37</v>
      </c>
      <c r="E95" s="1" t="s">
        <v>37</v>
      </c>
      <c r="F95" s="1" t="s">
        <v>69</v>
      </c>
      <c r="G95" s="1">
        <v>3</v>
      </c>
      <c r="H95" s="1">
        <v>1</v>
      </c>
      <c r="I95" s="1">
        <v>2</v>
      </c>
      <c r="J95" s="1">
        <v>1</v>
      </c>
      <c r="K95" s="1">
        <v>5</v>
      </c>
      <c r="L95" s="1" t="s">
        <v>94</v>
      </c>
      <c r="M95" s="1">
        <v>2</v>
      </c>
      <c r="N95" s="1" t="s">
        <v>119</v>
      </c>
      <c r="O95" s="1">
        <v>1</v>
      </c>
      <c r="P95" s="1">
        <v>3</v>
      </c>
      <c r="Q95" s="1" t="s">
        <v>41</v>
      </c>
      <c r="R95" s="1" t="s">
        <v>44</v>
      </c>
      <c r="S95" s="1" t="s">
        <v>43</v>
      </c>
      <c r="T95" s="1" t="s">
        <v>43</v>
      </c>
      <c r="U95" s="1" t="s">
        <v>44</v>
      </c>
      <c r="V95" s="1" t="s">
        <v>43</v>
      </c>
      <c r="W95" s="1" t="s">
        <v>44</v>
      </c>
      <c r="X95" s="1" t="s">
        <v>43</v>
      </c>
      <c r="Y95" s="1" t="s">
        <v>44</v>
      </c>
      <c r="Z95" s="1" t="s">
        <v>43</v>
      </c>
      <c r="AA95" s="1" t="s">
        <v>44</v>
      </c>
      <c r="AB95" s="1" t="s">
        <v>43</v>
      </c>
      <c r="AC95" s="1" t="s">
        <v>44</v>
      </c>
      <c r="AD95" s="1" t="s">
        <v>45</v>
      </c>
      <c r="AE95" s="1" t="s">
        <v>37</v>
      </c>
      <c r="AF95" s="1" t="s">
        <v>37</v>
      </c>
      <c r="AG95" s="1" t="s">
        <v>345</v>
      </c>
      <c r="AH95" s="1">
        <v>11979631446</v>
      </c>
      <c r="AI95" s="1" t="s">
        <v>346</v>
      </c>
      <c r="AJ95" t="s">
        <v>79</v>
      </c>
    </row>
    <row r="96" spans="1:36" ht="12.6">
      <c r="A96" s="2">
        <v>45458.623504293981</v>
      </c>
      <c r="B96" s="1" t="s">
        <v>36</v>
      </c>
      <c r="C96" s="1" t="s">
        <v>37</v>
      </c>
      <c r="D96" s="1" t="s">
        <v>37</v>
      </c>
      <c r="E96" s="1" t="s">
        <v>37</v>
      </c>
      <c r="F96" s="1" t="s">
        <v>49</v>
      </c>
      <c r="G96" s="1">
        <v>4</v>
      </c>
      <c r="H96" s="1">
        <v>4</v>
      </c>
      <c r="I96" s="1">
        <v>3</v>
      </c>
      <c r="J96" s="1">
        <v>1</v>
      </c>
      <c r="K96" s="1">
        <v>3</v>
      </c>
      <c r="L96" s="1" t="s">
        <v>347</v>
      </c>
      <c r="M96" s="1">
        <v>3</v>
      </c>
      <c r="N96" s="1" t="s">
        <v>308</v>
      </c>
      <c r="O96" s="1">
        <v>5</v>
      </c>
      <c r="P96" s="1">
        <v>4</v>
      </c>
      <c r="Q96" s="1" t="s">
        <v>41</v>
      </c>
      <c r="R96" s="1" t="s">
        <v>44</v>
      </c>
      <c r="S96" s="1" t="s">
        <v>43</v>
      </c>
      <c r="T96" s="1" t="s">
        <v>43</v>
      </c>
      <c r="U96" s="1" t="s">
        <v>44</v>
      </c>
      <c r="V96" s="1" t="s">
        <v>43</v>
      </c>
      <c r="W96" s="1" t="s">
        <v>44</v>
      </c>
      <c r="X96" s="1" t="s">
        <v>43</v>
      </c>
      <c r="Y96" s="1" t="s">
        <v>44</v>
      </c>
      <c r="Z96" s="1" t="s">
        <v>43</v>
      </c>
      <c r="AA96" s="1" t="s">
        <v>44</v>
      </c>
      <c r="AB96" s="1" t="s">
        <v>43</v>
      </c>
      <c r="AC96" s="1" t="s">
        <v>43</v>
      </c>
      <c r="AD96" s="1" t="s">
        <v>45</v>
      </c>
      <c r="AE96" s="1" t="s">
        <v>37</v>
      </c>
      <c r="AF96" s="1" t="s">
        <v>37</v>
      </c>
      <c r="AG96" s="1" t="s">
        <v>348</v>
      </c>
      <c r="AH96" s="1">
        <v>11984809747</v>
      </c>
      <c r="AI96" s="1" t="s">
        <v>349</v>
      </c>
      <c r="AJ96" t="s">
        <v>79</v>
      </c>
    </row>
    <row r="97" spans="1:36" ht="12.6">
      <c r="A97" s="2">
        <v>45458.627659247686</v>
      </c>
      <c r="B97" s="1" t="s">
        <v>36</v>
      </c>
      <c r="C97" s="1" t="s">
        <v>37</v>
      </c>
      <c r="D97" s="1" t="s">
        <v>37</v>
      </c>
      <c r="E97" s="1" t="s">
        <v>37</v>
      </c>
      <c r="F97" s="1" t="s">
        <v>49</v>
      </c>
      <c r="G97" s="1">
        <v>5</v>
      </c>
      <c r="H97" s="1">
        <v>3</v>
      </c>
      <c r="I97" s="1">
        <v>1</v>
      </c>
      <c r="J97" s="1">
        <v>1</v>
      </c>
      <c r="K97" s="1">
        <v>4</v>
      </c>
      <c r="L97" s="1" t="s">
        <v>321</v>
      </c>
      <c r="M97" s="1">
        <v>2</v>
      </c>
      <c r="N97" s="1" t="s">
        <v>111</v>
      </c>
      <c r="O97" s="1">
        <v>3</v>
      </c>
      <c r="P97" s="1">
        <v>3</v>
      </c>
      <c r="Q97" s="1" t="s">
        <v>66</v>
      </c>
      <c r="R97" s="1" t="s">
        <v>53</v>
      </c>
      <c r="S97" s="1" t="s">
        <v>44</v>
      </c>
      <c r="T97" s="1" t="s">
        <v>43</v>
      </c>
      <c r="U97" s="1" t="s">
        <v>44</v>
      </c>
      <c r="V97" s="1" t="s">
        <v>44</v>
      </c>
      <c r="W97" s="1" t="s">
        <v>44</v>
      </c>
      <c r="X97" s="1" t="s">
        <v>43</v>
      </c>
      <c r="Y97" s="1" t="s">
        <v>44</v>
      </c>
      <c r="Z97" s="1" t="s">
        <v>43</v>
      </c>
      <c r="AA97" s="1" t="s">
        <v>44</v>
      </c>
      <c r="AB97" s="1" t="s">
        <v>43</v>
      </c>
      <c r="AC97" s="1" t="s">
        <v>43</v>
      </c>
      <c r="AD97" s="1" t="s">
        <v>45</v>
      </c>
      <c r="AE97" s="1" t="s">
        <v>37</v>
      </c>
      <c r="AF97" s="1" t="s">
        <v>37</v>
      </c>
      <c r="AG97" s="1" t="s">
        <v>350</v>
      </c>
      <c r="AH97" s="1">
        <v>11975575839</v>
      </c>
      <c r="AI97" s="1" t="s">
        <v>351</v>
      </c>
      <c r="AJ97" t="s">
        <v>62</v>
      </c>
    </row>
    <row r="98" spans="1:36" ht="12.6">
      <c r="A98" s="2">
        <v>45458.628396504631</v>
      </c>
      <c r="B98" s="1" t="s">
        <v>36</v>
      </c>
      <c r="C98" s="1" t="s">
        <v>37</v>
      </c>
      <c r="D98" s="1" t="s">
        <v>37</v>
      </c>
      <c r="E98" s="1" t="s">
        <v>37</v>
      </c>
      <c r="F98" s="1" t="s">
        <v>89</v>
      </c>
      <c r="G98" s="1">
        <v>4</v>
      </c>
      <c r="H98" s="1">
        <v>5</v>
      </c>
      <c r="I98" s="1">
        <v>5</v>
      </c>
      <c r="J98" s="1">
        <v>3</v>
      </c>
      <c r="K98" s="1">
        <v>4</v>
      </c>
      <c r="L98" s="1" t="s">
        <v>147</v>
      </c>
      <c r="M98" s="1">
        <v>4</v>
      </c>
      <c r="N98" s="1" t="s">
        <v>352</v>
      </c>
      <c r="O98" s="1">
        <v>5</v>
      </c>
      <c r="P98" s="1">
        <v>4</v>
      </c>
      <c r="Q98" s="1" t="s">
        <v>41</v>
      </c>
      <c r="R98" s="1" t="s">
        <v>53</v>
      </c>
      <c r="S98" s="1" t="s">
        <v>43</v>
      </c>
      <c r="T98" s="1" t="s">
        <v>44</v>
      </c>
      <c r="U98" s="1" t="s">
        <v>44</v>
      </c>
      <c r="V98" s="1" t="s">
        <v>43</v>
      </c>
      <c r="W98" s="1" t="s">
        <v>44</v>
      </c>
      <c r="X98" s="1" t="s">
        <v>43</v>
      </c>
      <c r="Y98" s="1" t="s">
        <v>44</v>
      </c>
      <c r="Z98" s="1" t="s">
        <v>44</v>
      </c>
      <c r="AA98" s="1" t="s">
        <v>44</v>
      </c>
      <c r="AB98" s="1" t="s">
        <v>43</v>
      </c>
      <c r="AC98" s="1" t="s">
        <v>43</v>
      </c>
      <c r="AD98" s="1" t="s">
        <v>45</v>
      </c>
      <c r="AE98" s="1" t="s">
        <v>37</v>
      </c>
      <c r="AF98" s="1" t="s">
        <v>37</v>
      </c>
      <c r="AG98" s="1" t="s">
        <v>353</v>
      </c>
      <c r="AH98" s="1">
        <v>11989387961</v>
      </c>
      <c r="AI98" s="1" t="s">
        <v>354</v>
      </c>
      <c r="AJ98" t="s">
        <v>62</v>
      </c>
    </row>
    <row r="99" spans="1:36" ht="12.6">
      <c r="A99" s="2">
        <v>45458.628618923613</v>
      </c>
      <c r="B99" s="1" t="s">
        <v>36</v>
      </c>
      <c r="C99" s="1" t="s">
        <v>37</v>
      </c>
      <c r="D99" s="1" t="s">
        <v>37</v>
      </c>
      <c r="E99" s="1" t="s">
        <v>37</v>
      </c>
      <c r="F99" s="1" t="s">
        <v>49</v>
      </c>
      <c r="G99" s="1">
        <v>3</v>
      </c>
      <c r="H99" s="1">
        <v>4</v>
      </c>
      <c r="I99" s="1">
        <v>1</v>
      </c>
      <c r="J99" s="1">
        <v>1</v>
      </c>
      <c r="K99" s="1">
        <v>5</v>
      </c>
      <c r="L99" s="1" t="s">
        <v>258</v>
      </c>
      <c r="M99" s="1">
        <v>4</v>
      </c>
      <c r="N99" s="1" t="s">
        <v>355</v>
      </c>
      <c r="O99" s="1">
        <v>5</v>
      </c>
      <c r="P99" s="1">
        <v>4</v>
      </c>
      <c r="Q99" s="1" t="s">
        <v>41</v>
      </c>
      <c r="R99" s="1" t="s">
        <v>44</v>
      </c>
      <c r="S99" s="1" t="s">
        <v>43</v>
      </c>
      <c r="T99" s="1" t="s">
        <v>43</v>
      </c>
      <c r="U99" s="1" t="s">
        <v>44</v>
      </c>
      <c r="V99" s="1" t="s">
        <v>43</v>
      </c>
      <c r="W99" s="1" t="s">
        <v>44</v>
      </c>
      <c r="X99" s="1" t="s">
        <v>43</v>
      </c>
      <c r="Y99" s="1" t="s">
        <v>44</v>
      </c>
      <c r="Z99" s="1" t="s">
        <v>43</v>
      </c>
      <c r="AA99" s="1" t="s">
        <v>44</v>
      </c>
      <c r="AB99" s="1" t="s">
        <v>43</v>
      </c>
      <c r="AC99" s="1" t="s">
        <v>43</v>
      </c>
      <c r="AD99" s="1" t="s">
        <v>45</v>
      </c>
      <c r="AE99" s="1" t="s">
        <v>37</v>
      </c>
      <c r="AF99" s="1" t="s">
        <v>37</v>
      </c>
      <c r="AG99" s="1" t="s">
        <v>356</v>
      </c>
      <c r="AH99" s="1">
        <v>11967760639</v>
      </c>
      <c r="AI99" s="1" t="s">
        <v>357</v>
      </c>
      <c r="AJ99" t="s">
        <v>79</v>
      </c>
    </row>
    <row r="100" spans="1:36" ht="12.6">
      <c r="A100" s="2">
        <v>45458.633964872686</v>
      </c>
      <c r="B100" s="1" t="s">
        <v>63</v>
      </c>
      <c r="C100" s="1" t="s">
        <v>37</v>
      </c>
      <c r="D100" s="1" t="s">
        <v>37</v>
      </c>
      <c r="E100" s="1" t="s">
        <v>37</v>
      </c>
      <c r="F100" s="1" t="s">
        <v>69</v>
      </c>
      <c r="G100" s="1">
        <v>1</v>
      </c>
      <c r="H100" s="1">
        <v>1</v>
      </c>
      <c r="I100" s="1">
        <v>1</v>
      </c>
      <c r="J100" s="1">
        <v>1</v>
      </c>
      <c r="K100" s="1">
        <v>5</v>
      </c>
      <c r="L100" s="1" t="s">
        <v>358</v>
      </c>
      <c r="M100" s="1">
        <v>3</v>
      </c>
      <c r="N100" s="1" t="s">
        <v>355</v>
      </c>
      <c r="O100" s="1">
        <v>4</v>
      </c>
      <c r="P100" s="1">
        <v>4</v>
      </c>
      <c r="Q100" s="1" t="s">
        <v>41</v>
      </c>
      <c r="R100" s="1" t="s">
        <v>53</v>
      </c>
      <c r="S100" s="1" t="s">
        <v>43</v>
      </c>
      <c r="T100" s="1" t="s">
        <v>44</v>
      </c>
      <c r="U100" s="1" t="s">
        <v>53</v>
      </c>
      <c r="V100" s="1" t="s">
        <v>43</v>
      </c>
      <c r="W100" s="1" t="s">
        <v>53</v>
      </c>
      <c r="X100" s="1" t="s">
        <v>53</v>
      </c>
      <c r="Y100" s="1" t="s">
        <v>44</v>
      </c>
      <c r="Z100" s="1" t="s">
        <v>44</v>
      </c>
      <c r="AA100" s="1" t="s">
        <v>44</v>
      </c>
      <c r="AB100" s="1" t="s">
        <v>43</v>
      </c>
      <c r="AC100" s="1" t="s">
        <v>43</v>
      </c>
      <c r="AD100" s="1" t="s">
        <v>45</v>
      </c>
      <c r="AE100" s="1" t="s">
        <v>37</v>
      </c>
      <c r="AF100" s="1" t="s">
        <v>37</v>
      </c>
      <c r="AG100" s="1" t="s">
        <v>359</v>
      </c>
      <c r="AH100" s="1">
        <v>21985497069</v>
      </c>
      <c r="AI100" s="1" t="s">
        <v>360</v>
      </c>
      <c r="AJ100" t="s">
        <v>48</v>
      </c>
    </row>
    <row r="101" spans="1:36" ht="12.6">
      <c r="A101" s="2">
        <v>45458.634067858795</v>
      </c>
      <c r="B101" s="1" t="s">
        <v>169</v>
      </c>
      <c r="C101" s="1" t="s">
        <v>37</v>
      </c>
      <c r="D101" s="1" t="s">
        <v>37</v>
      </c>
      <c r="E101" s="1" t="s">
        <v>37</v>
      </c>
      <c r="F101" s="1" t="s">
        <v>49</v>
      </c>
      <c r="G101" s="1">
        <v>5</v>
      </c>
      <c r="H101" s="1">
        <v>3</v>
      </c>
      <c r="I101" s="1">
        <v>5</v>
      </c>
      <c r="J101" s="1">
        <v>1</v>
      </c>
      <c r="K101" s="1">
        <v>5</v>
      </c>
      <c r="L101" s="1" t="s">
        <v>94</v>
      </c>
      <c r="M101" s="1">
        <v>5</v>
      </c>
      <c r="N101" s="1" t="s">
        <v>128</v>
      </c>
      <c r="O101" s="1">
        <v>5</v>
      </c>
      <c r="P101" s="1">
        <v>5</v>
      </c>
      <c r="Q101" s="1" t="s">
        <v>41</v>
      </c>
      <c r="R101" s="1" t="s">
        <v>53</v>
      </c>
      <c r="S101" s="1" t="s">
        <v>43</v>
      </c>
      <c r="T101" s="1" t="s">
        <v>43</v>
      </c>
      <c r="U101" s="1" t="s">
        <v>53</v>
      </c>
      <c r="V101" s="1" t="s">
        <v>43</v>
      </c>
      <c r="W101" s="1" t="s">
        <v>44</v>
      </c>
      <c r="X101" s="1" t="s">
        <v>43</v>
      </c>
      <c r="Y101" s="1" t="s">
        <v>44</v>
      </c>
      <c r="Z101" s="1" t="s">
        <v>44</v>
      </c>
      <c r="AA101" s="1" t="s">
        <v>44</v>
      </c>
      <c r="AB101" s="1" t="s">
        <v>43</v>
      </c>
      <c r="AC101" s="1" t="s">
        <v>43</v>
      </c>
      <c r="AD101" s="1" t="s">
        <v>45</v>
      </c>
      <c r="AE101" s="1" t="s">
        <v>37</v>
      </c>
      <c r="AF101" s="1" t="s">
        <v>37</v>
      </c>
      <c r="AG101" s="1" t="s">
        <v>361</v>
      </c>
      <c r="AH101" s="1">
        <v>11970555151</v>
      </c>
      <c r="AI101" s="1" t="s">
        <v>362</v>
      </c>
      <c r="AJ101" t="s">
        <v>62</v>
      </c>
    </row>
    <row r="102" spans="1:36" ht="12.6"/>
    <row r="103" spans="1:36" ht="12.6"/>
    <row r="104" spans="1:36" ht="12.6"/>
    <row r="106" spans="1:36" ht="15.75" customHeight="1">
      <c r="A106" s="84" t="s">
        <v>1</v>
      </c>
      <c r="B106" s="84"/>
      <c r="C106" s="84"/>
    </row>
    <row r="107" spans="1:36" ht="15.75" customHeight="1">
      <c r="A107" s="8" t="s">
        <v>363</v>
      </c>
      <c r="B107">
        <f>COUNTIF(Tabela2[Em qual das faixas etárias abaixo você se encontra?],A107)</f>
        <v>0</v>
      </c>
      <c r="C107" s="10">
        <f>B107/$B$113</f>
        <v>0</v>
      </c>
    </row>
    <row r="108" spans="1:36" ht="15.75" customHeight="1">
      <c r="A108" s="8" t="s">
        <v>98</v>
      </c>
      <c r="B108">
        <f>COUNTIF(Tabela2[Em qual das faixas etárias abaixo você se encontra?],A108)</f>
        <v>28</v>
      </c>
      <c r="C108" s="10">
        <f t="shared" ref="C108:C113" si="0">B108/$B$113</f>
        <v>0.28000000000000003</v>
      </c>
    </row>
    <row r="109" spans="1:36" ht="15.75" customHeight="1">
      <c r="A109" s="8" t="s">
        <v>36</v>
      </c>
      <c r="B109">
        <f>COUNTIF(Tabela2[Em qual das faixas etárias abaixo você se encontra?],A109)</f>
        <v>42</v>
      </c>
      <c r="C109" s="10">
        <f t="shared" si="0"/>
        <v>0.42</v>
      </c>
    </row>
    <row r="110" spans="1:36" ht="15.75" customHeight="1">
      <c r="A110" s="8" t="s">
        <v>63</v>
      </c>
      <c r="B110">
        <f>COUNTIF(Tabela2[Em qual das faixas etárias abaixo você se encontra?],A110)</f>
        <v>22</v>
      </c>
      <c r="C110" s="10">
        <f t="shared" si="0"/>
        <v>0.22</v>
      </c>
    </row>
    <row r="111" spans="1:36" ht="15.75" customHeight="1">
      <c r="A111" s="8" t="s">
        <v>169</v>
      </c>
      <c r="B111">
        <f>COUNTIF(Tabela2[Em qual das faixas etárias abaixo você se encontra?],A111)</f>
        <v>8</v>
      </c>
      <c r="C111" s="10">
        <f t="shared" si="0"/>
        <v>0.08</v>
      </c>
    </row>
    <row r="112" spans="1:36" ht="15.75" customHeight="1">
      <c r="A112" s="8" t="s">
        <v>364</v>
      </c>
      <c r="B112">
        <f>COUNTIF(Tabela2[Em qual das faixas etárias abaixo você se encontra?],A112)</f>
        <v>0</v>
      </c>
      <c r="C112" s="10">
        <f t="shared" si="0"/>
        <v>0</v>
      </c>
    </row>
    <row r="113" spans="1:3" ht="15.75" customHeight="1">
      <c r="A113" s="8" t="s">
        <v>365</v>
      </c>
      <c r="B113">
        <f>SUM(B107:B112)</f>
        <v>100</v>
      </c>
      <c r="C113" s="10">
        <f t="shared" si="0"/>
        <v>1</v>
      </c>
    </row>
    <row r="115" spans="1:3" ht="15.75" customHeight="1">
      <c r="A115" s="84" t="s">
        <v>5</v>
      </c>
      <c r="B115" s="84"/>
      <c r="C115" s="84"/>
    </row>
    <row r="116" spans="1:3" ht="15.75" customHeight="1">
      <c r="A116" s="8" t="s">
        <v>49</v>
      </c>
      <c r="B116">
        <f>COUNTIF(Tabela2[Com que frequência você costuma consumir saladas na Olga Ri?],A116)</f>
        <v>41</v>
      </c>
      <c r="C116" s="10">
        <f>B116/$B$121</f>
        <v>0.41</v>
      </c>
    </row>
    <row r="117" spans="1:3" ht="15.75" customHeight="1">
      <c r="A117" s="8" t="s">
        <v>69</v>
      </c>
      <c r="B117">
        <f>COUNTIF(Tabela2[Com que frequência você costuma consumir saladas na Olga Ri?],A117)</f>
        <v>24</v>
      </c>
      <c r="C117" s="10">
        <f t="shared" ref="C117:C121" si="1">B117/$B$121</f>
        <v>0.24</v>
      </c>
    </row>
    <row r="118" spans="1:3" ht="15.75" customHeight="1">
      <c r="A118" s="8" t="s">
        <v>89</v>
      </c>
      <c r="B118">
        <f>COUNTIF(Tabela2[Com que frequência você costuma consumir saladas na Olga Ri?],A118)</f>
        <v>16</v>
      </c>
      <c r="C118" s="10">
        <f t="shared" si="1"/>
        <v>0.16</v>
      </c>
    </row>
    <row r="119" spans="1:3" ht="15.75" customHeight="1">
      <c r="A119" s="8" t="s">
        <v>84</v>
      </c>
      <c r="B119">
        <f>COUNTIF(Tabela2[Com que frequência você costuma consumir saladas na Olga Ri?],A119)</f>
        <v>16</v>
      </c>
      <c r="C119" s="10">
        <f t="shared" si="1"/>
        <v>0.16</v>
      </c>
    </row>
    <row r="120" spans="1:3" ht="15.75" customHeight="1">
      <c r="A120" s="8" t="s">
        <v>38</v>
      </c>
      <c r="B120">
        <f>COUNTIF(Tabela2[Com que frequência você costuma consumir saladas na Olga Ri?],A120)</f>
        <v>3</v>
      </c>
      <c r="C120" s="10">
        <f t="shared" si="1"/>
        <v>0.03</v>
      </c>
    </row>
    <row r="121" spans="1:3" ht="15.75" customHeight="1">
      <c r="A121" s="8" t="s">
        <v>365</v>
      </c>
      <c r="B121">
        <f>SUM(B116:B120)</f>
        <v>100</v>
      </c>
      <c r="C121" s="10">
        <f t="shared" si="1"/>
        <v>1</v>
      </c>
    </row>
    <row r="123" spans="1:3" ht="15.75" customHeight="1">
      <c r="A123" s="84" t="s">
        <v>6</v>
      </c>
      <c r="B123" s="84"/>
      <c r="C123" s="84"/>
    </row>
    <row r="124" spans="1:3" ht="15.75" customHeight="1">
      <c r="A124">
        <v>5</v>
      </c>
      <c r="B124">
        <f>COUNTIF(Tabela2[Como você avalia o seu grau de importância do clima na escolha das refeições que você costuma adquirir?],A124)</f>
        <v>26</v>
      </c>
      <c r="C124" s="10">
        <f t="shared" ref="C124:C129" si="2">B124/$B$129</f>
        <v>0.26</v>
      </c>
    </row>
    <row r="125" spans="1:3" ht="15.75" customHeight="1">
      <c r="A125">
        <v>4</v>
      </c>
      <c r="B125">
        <f>COUNTIF(Tabela2[Como você avalia o seu grau de importância do clima na escolha das refeições que você costuma adquirir?],A125)</f>
        <v>31</v>
      </c>
      <c r="C125" s="10">
        <f t="shared" si="2"/>
        <v>0.31</v>
      </c>
    </row>
    <row r="126" spans="1:3" ht="15.75" customHeight="1">
      <c r="A126">
        <v>3</v>
      </c>
      <c r="B126">
        <f>COUNTIF(Tabela2[Como você avalia o seu grau de importância do clima na escolha das refeições que você costuma adquirir?],A126)</f>
        <v>26</v>
      </c>
      <c r="C126" s="10">
        <f t="shared" si="2"/>
        <v>0.26</v>
      </c>
    </row>
    <row r="127" spans="1:3" ht="15.75" customHeight="1">
      <c r="A127">
        <v>2</v>
      </c>
      <c r="B127">
        <f>COUNTIF(Tabela2[Como você avalia o seu grau de importância do clima na escolha das refeições que você costuma adquirir?],A127)</f>
        <v>6</v>
      </c>
      <c r="C127" s="10">
        <f t="shared" si="2"/>
        <v>0.06</v>
      </c>
    </row>
    <row r="128" spans="1:3" ht="15.75" customHeight="1">
      <c r="A128">
        <v>1</v>
      </c>
      <c r="B128">
        <f>COUNTIF(Tabela2[Como você avalia o seu grau de importância do clima na escolha das refeições que você costuma adquirir?],A128)</f>
        <v>11</v>
      </c>
      <c r="C128" s="10">
        <f t="shared" si="2"/>
        <v>0.11</v>
      </c>
    </row>
    <row r="129" spans="1:3" ht="15.75" customHeight="1">
      <c r="A129" s="9" t="s">
        <v>365</v>
      </c>
      <c r="B129">
        <f>SUM(B124:B128)</f>
        <v>100</v>
      </c>
      <c r="C129" s="10">
        <f t="shared" si="2"/>
        <v>1</v>
      </c>
    </row>
    <row r="131" spans="1:3" ht="15.75" customHeight="1">
      <c r="A131" s="9" t="s">
        <v>366</v>
      </c>
      <c r="B131" s="14">
        <f>SUM(C124:C125)</f>
        <v>0.57000000000000006</v>
      </c>
      <c r="C131" s="12" t="s">
        <v>367</v>
      </c>
    </row>
    <row r="132" spans="1:3" ht="15.75" customHeight="1">
      <c r="A132" s="9" t="s">
        <v>368</v>
      </c>
      <c r="B132" s="14">
        <f>SUM(C127:C128)</f>
        <v>0.16999999999999998</v>
      </c>
      <c r="C132" s="13">
        <f>AVERAGE(Tabela2[Como você avalia o seu grau de importância do clima na escolha das refeições que você costuma adquirir?])</f>
        <v>3.55</v>
      </c>
    </row>
    <row r="134" spans="1:3" ht="15.75" customHeight="1">
      <c r="A134" s="84" t="s">
        <v>7</v>
      </c>
      <c r="B134" s="84"/>
      <c r="C134" s="84"/>
    </row>
    <row r="135" spans="1:3" ht="15.75" customHeight="1">
      <c r="A135">
        <v>5</v>
      </c>
      <c r="B135">
        <f>COUNTIF(Tabela2[Como você avalia o seu grau interesse em comprar bowls* quentes?],A135)</f>
        <v>23</v>
      </c>
      <c r="C135" s="10">
        <f t="shared" ref="C135:C140" si="3">B135/B$140</f>
        <v>0.23</v>
      </c>
    </row>
    <row r="136" spans="1:3" ht="15.75" customHeight="1">
      <c r="A136">
        <v>4</v>
      </c>
      <c r="B136">
        <f>COUNTIF(Tabela2[Como você avalia o seu grau interesse em comprar bowls* quentes?],A136)</f>
        <v>21</v>
      </c>
      <c r="C136" s="10">
        <f t="shared" si="3"/>
        <v>0.21</v>
      </c>
    </row>
    <row r="137" spans="1:3" ht="15.75" customHeight="1">
      <c r="A137">
        <v>3</v>
      </c>
      <c r="B137">
        <f>COUNTIF(Tabela2[Como você avalia o seu grau interesse em comprar bowls* quentes?],A137)</f>
        <v>16</v>
      </c>
      <c r="C137" s="10">
        <f t="shared" si="3"/>
        <v>0.16</v>
      </c>
    </row>
    <row r="138" spans="1:3" ht="15.75" customHeight="1">
      <c r="A138">
        <v>2</v>
      </c>
      <c r="B138">
        <f>COUNTIF(Tabela2[Como você avalia o seu grau interesse em comprar bowls* quentes?],A138)</f>
        <v>26</v>
      </c>
      <c r="C138" s="10">
        <f t="shared" si="3"/>
        <v>0.26</v>
      </c>
    </row>
    <row r="139" spans="1:3" ht="15.75" customHeight="1">
      <c r="A139">
        <v>1</v>
      </c>
      <c r="B139">
        <f>COUNTIF(Tabela2[Como você avalia o seu grau interesse em comprar bowls* quentes?],A139)</f>
        <v>14</v>
      </c>
      <c r="C139" s="10">
        <f t="shared" si="3"/>
        <v>0.14000000000000001</v>
      </c>
    </row>
    <row r="140" spans="1:3" ht="15.75" customHeight="1">
      <c r="A140" s="9" t="s">
        <v>365</v>
      </c>
      <c r="B140">
        <f>SUM(B135:B139)</f>
        <v>100</v>
      </c>
      <c r="C140" s="10">
        <f t="shared" si="3"/>
        <v>1</v>
      </c>
    </row>
    <row r="142" spans="1:3" ht="15.75" customHeight="1">
      <c r="A142" s="9" t="s">
        <v>366</v>
      </c>
      <c r="B142" s="11">
        <f>SUM(C135:C136)</f>
        <v>0.44</v>
      </c>
    </row>
    <row r="143" spans="1:3" ht="15.75" customHeight="1">
      <c r="A143" s="9" t="s">
        <v>368</v>
      </c>
      <c r="B143" s="11">
        <f>SUM(C138:C139)</f>
        <v>0.4</v>
      </c>
    </row>
    <row r="145" spans="1:3" ht="15.75" customHeight="1">
      <c r="A145" s="84" t="s">
        <v>8</v>
      </c>
      <c r="B145" s="84"/>
      <c r="C145" s="84"/>
    </row>
    <row r="146" spans="1:3" ht="15.75" customHeight="1">
      <c r="A146">
        <v>5</v>
      </c>
      <c r="B146">
        <f>COUNTIF(Tabela2[Como você avalia o seu grau de conhecimento sobre as opções de pratos quentes oferecidos pela Olga RI?],A146)</f>
        <v>19</v>
      </c>
      <c r="C146" s="10">
        <f>B146/$B$151</f>
        <v>0.19</v>
      </c>
    </row>
    <row r="147" spans="1:3" ht="15.75" customHeight="1">
      <c r="A147">
        <v>4</v>
      </c>
      <c r="B147">
        <f>COUNTIF(Tabela2[Como você avalia o seu grau de conhecimento sobre as opções de pratos quentes oferecidos pela Olga RI?],A147)</f>
        <v>6</v>
      </c>
      <c r="C147" s="10">
        <f t="shared" ref="C147:C151" si="4">B147/$B$151</f>
        <v>0.06</v>
      </c>
    </row>
    <row r="148" spans="1:3" ht="15.75" customHeight="1">
      <c r="A148">
        <v>3</v>
      </c>
      <c r="B148">
        <f>COUNTIF(Tabela2[Como você avalia o seu grau de conhecimento sobre as opções de pratos quentes oferecidos pela Olga RI?],A148)</f>
        <v>18</v>
      </c>
      <c r="C148" s="10">
        <f t="shared" si="4"/>
        <v>0.18</v>
      </c>
    </row>
    <row r="149" spans="1:3" ht="15.75" customHeight="1">
      <c r="A149">
        <v>2</v>
      </c>
      <c r="B149">
        <f>COUNTIF(Tabela2[Como você avalia o seu grau de conhecimento sobre as opções de pratos quentes oferecidos pela Olga RI?],A149)</f>
        <v>23</v>
      </c>
      <c r="C149" s="10">
        <f t="shared" si="4"/>
        <v>0.23</v>
      </c>
    </row>
    <row r="150" spans="1:3" ht="15.75" customHeight="1">
      <c r="A150">
        <v>1</v>
      </c>
      <c r="B150">
        <f>COUNTIF(Tabela2[Como você avalia o seu grau de conhecimento sobre as opções de pratos quentes oferecidos pela Olga RI?],A150)</f>
        <v>34</v>
      </c>
      <c r="C150" s="10">
        <f t="shared" si="4"/>
        <v>0.34</v>
      </c>
    </row>
    <row r="151" spans="1:3" ht="15.75" customHeight="1">
      <c r="A151" s="9" t="s">
        <v>365</v>
      </c>
      <c r="B151">
        <f>SUM(B146:B150)</f>
        <v>100</v>
      </c>
      <c r="C151" s="10">
        <f t="shared" si="4"/>
        <v>1</v>
      </c>
    </row>
    <row r="153" spans="1:3" ht="15.75" customHeight="1">
      <c r="A153" s="9" t="s">
        <v>366</v>
      </c>
      <c r="B153" s="11">
        <f>SUM(C146:C147)</f>
        <v>0.25</v>
      </c>
    </row>
    <row r="154" spans="1:3" ht="15.75" customHeight="1">
      <c r="A154" s="9" t="s">
        <v>368</v>
      </c>
      <c r="B154" s="11">
        <f>SUM(C149:C150)</f>
        <v>0.57000000000000006</v>
      </c>
    </row>
    <row r="156" spans="1:3" ht="15.75" customHeight="1">
      <c r="A156" s="84" t="s">
        <v>369</v>
      </c>
      <c r="B156" s="84"/>
      <c r="C156" s="84"/>
    </row>
    <row r="157" spans="1:3" ht="15.75" customHeight="1">
      <c r="A157">
        <v>5</v>
      </c>
      <c r="B157">
        <f>COUNTIF(Tabela2["A Olga Ri é a primeira marca que vem à mente quando penso em comprar opções quentes,"
O quanto você concorda com essa afirmação?],A157)</f>
        <v>4</v>
      </c>
      <c r="C157" s="10">
        <f>B157/$B$162</f>
        <v>0.04</v>
      </c>
    </row>
    <row r="158" spans="1:3" ht="15.75" customHeight="1">
      <c r="A158">
        <v>4</v>
      </c>
      <c r="B158">
        <f>COUNTIF(Tabela2["A Olga Ri é a primeira marca que vem à mente quando penso em comprar opções quentes,"
O quanto você concorda com essa afirmação?],A158)</f>
        <v>1</v>
      </c>
      <c r="C158" s="10">
        <f t="shared" ref="C158:C162" si="5">B158/$B$162</f>
        <v>0.01</v>
      </c>
    </row>
    <row r="159" spans="1:3" ht="15.75" customHeight="1">
      <c r="A159">
        <v>3</v>
      </c>
      <c r="B159">
        <f>COUNTIF(Tabela2["A Olga Ri é a primeira marca que vem à mente quando penso em comprar opções quentes,"
O quanto você concorda com essa afirmação?],A159)</f>
        <v>4</v>
      </c>
      <c r="C159" s="10">
        <f t="shared" si="5"/>
        <v>0.04</v>
      </c>
    </row>
    <row r="160" spans="1:3" ht="15.75" customHeight="1">
      <c r="A160">
        <v>2</v>
      </c>
      <c r="B160">
        <f>COUNTIF(Tabela2["A Olga Ri é a primeira marca que vem à mente quando penso em comprar opções quentes,"
O quanto você concorda com essa afirmação?],A160)</f>
        <v>8</v>
      </c>
      <c r="C160" s="10">
        <f t="shared" si="5"/>
        <v>0.08</v>
      </c>
    </row>
    <row r="161" spans="1:3" ht="15.75" customHeight="1">
      <c r="A161">
        <v>1</v>
      </c>
      <c r="B161">
        <f>COUNTIF(Tabela2["A Olga Ri é a primeira marca que vem à mente quando penso em comprar opções quentes,"
O quanto você concorda com essa afirmação?],A161)</f>
        <v>83</v>
      </c>
      <c r="C161" s="10">
        <f t="shared" si="5"/>
        <v>0.83</v>
      </c>
    </row>
    <row r="162" spans="1:3" ht="15.75" customHeight="1">
      <c r="A162" s="9" t="s">
        <v>365</v>
      </c>
      <c r="B162">
        <f>SUM(B157:B161)</f>
        <v>100</v>
      </c>
      <c r="C162" s="10">
        <f t="shared" si="5"/>
        <v>1</v>
      </c>
    </row>
    <row r="164" spans="1:3" ht="15.75" customHeight="1">
      <c r="A164" s="9" t="s">
        <v>366</v>
      </c>
      <c r="B164" s="11">
        <f>SUM(C157:C158)</f>
        <v>0.05</v>
      </c>
    </row>
    <row r="165" spans="1:3" ht="15.75" customHeight="1">
      <c r="A165" s="9" t="s">
        <v>368</v>
      </c>
      <c r="B165" s="11">
        <f>SUM(C160:C161)</f>
        <v>0.90999999999999992</v>
      </c>
    </row>
    <row r="167" spans="1:3" ht="15.75" customHeight="1">
      <c r="A167" s="84" t="s">
        <v>370</v>
      </c>
      <c r="B167" s="84"/>
      <c r="C167" s="84"/>
    </row>
    <row r="168" spans="1:3" ht="15.75" customHeight="1">
      <c r="A168">
        <v>5</v>
      </c>
      <c r="B168">
        <f>COUNTIF(Tabela2[Considerando as opções de ingredientes quentes disponíveis para montar os bowls no Olga RI: 
Churrasco de Legumes com Cogumelos, Churrasco de Legumes com Frango, Gratinado e Salmão, Missô Bowl com Frango Crispy, Missô Bowl com Tofu.
Qual é o seu grau de],A168)</f>
        <v>42</v>
      </c>
      <c r="C168" s="10">
        <f>B168/$B$173</f>
        <v>0.42</v>
      </c>
    </row>
    <row r="169" spans="1:3" ht="15.75" customHeight="1">
      <c r="A169">
        <v>4</v>
      </c>
      <c r="B169">
        <f>COUNTIF(Tabela2[Considerando as opções de ingredientes quentes disponíveis para montar os bowls no Olga RI: 
Churrasco de Legumes com Cogumelos, Churrasco de Legumes com Frango, Gratinado e Salmão, Missô Bowl com Frango Crispy, Missô Bowl com Tofu.
Qual é o seu grau de],A169)</f>
        <v>31</v>
      </c>
      <c r="C169" s="10">
        <f t="shared" ref="C169:C173" si="6">B169/$B$173</f>
        <v>0.31</v>
      </c>
    </row>
    <row r="170" spans="1:3" ht="15.75" customHeight="1">
      <c r="A170">
        <v>3</v>
      </c>
      <c r="B170">
        <f>COUNTIF(Tabela2[Considerando as opções de ingredientes quentes disponíveis para montar os bowls no Olga RI: 
Churrasco de Legumes com Cogumelos, Churrasco de Legumes com Frango, Gratinado e Salmão, Missô Bowl com Frango Crispy, Missô Bowl com Tofu.
Qual é o seu grau de],A170)</f>
        <v>14</v>
      </c>
      <c r="C170" s="10">
        <f t="shared" si="6"/>
        <v>0.14000000000000001</v>
      </c>
    </row>
    <row r="171" spans="1:3" ht="15.75" customHeight="1">
      <c r="A171">
        <v>2</v>
      </c>
      <c r="B171">
        <f>COUNTIF(Tabela2[Considerando as opções de ingredientes quentes disponíveis para montar os bowls no Olga RI: 
Churrasco de Legumes com Cogumelos, Churrasco de Legumes com Frango, Gratinado e Salmão, Missô Bowl com Frango Crispy, Missô Bowl com Tofu.
Qual é o seu grau de],A171)</f>
        <v>6</v>
      </c>
      <c r="C171" s="10">
        <f t="shared" si="6"/>
        <v>0.06</v>
      </c>
    </row>
    <row r="172" spans="1:3" ht="15.75" customHeight="1">
      <c r="A172">
        <v>1</v>
      </c>
      <c r="B172">
        <f>COUNTIF(Tabela2[Considerando as opções de ingredientes quentes disponíveis para montar os bowls no Olga RI: 
Churrasco de Legumes com Cogumelos, Churrasco de Legumes com Frango, Gratinado e Salmão, Missô Bowl com Frango Crispy, Missô Bowl com Tofu.
Qual é o seu grau de],A172)</f>
        <v>7</v>
      </c>
      <c r="C172" s="10">
        <f t="shared" si="6"/>
        <v>7.0000000000000007E-2</v>
      </c>
    </row>
    <row r="173" spans="1:3" ht="15.75" customHeight="1">
      <c r="A173" s="9" t="s">
        <v>365</v>
      </c>
      <c r="B173">
        <f>SUM(B168:B172)</f>
        <v>100</v>
      </c>
      <c r="C173" s="10">
        <f t="shared" si="6"/>
        <v>1</v>
      </c>
    </row>
    <row r="175" spans="1:3" ht="15.75" customHeight="1">
      <c r="A175" s="9" t="s">
        <v>366</v>
      </c>
      <c r="B175" s="11">
        <f>SUM(C168:C169)</f>
        <v>0.73</v>
      </c>
    </row>
    <row r="176" spans="1:3" ht="15.75" customHeight="1">
      <c r="A176" s="9" t="s">
        <v>368</v>
      </c>
      <c r="B176" s="11">
        <f>SUM(C171:C172)</f>
        <v>0.13</v>
      </c>
    </row>
    <row r="178" spans="1:3" ht="15.75" customHeight="1">
      <c r="A178" s="85" t="s">
        <v>11</v>
      </c>
      <c r="B178" s="85"/>
      <c r="C178" s="85"/>
    </row>
    <row r="179" spans="1:3" ht="15.75" customHeight="1">
      <c r="A179" s="8" t="s">
        <v>70</v>
      </c>
      <c r="B179">
        <f>COUNTIF(Tabela2[[#All],[Quando você considera experimentar pratos quentes na Olga Ri, quais aspectos são mais importantes para a sua decisão?]],"*Ambiente e atmosfera do restaurante*")</f>
        <v>53</v>
      </c>
      <c r="C179" s="10">
        <f t="shared" ref="C179:C187" si="7">B179/$B$187</f>
        <v>0.21544715447154472</v>
      </c>
    </row>
    <row r="180" spans="1:3" ht="15.75" customHeight="1">
      <c r="A180" s="8" t="s">
        <v>371</v>
      </c>
      <c r="B180">
        <f>COUNTIF(Tabela2[[#All],[Quando você considera experimentar pratos quentes na Olga Ri, quais aspectos são mais importantes para a sua decisão?]],"*Avaliação ou recomendação de influenciadores*")</f>
        <v>9</v>
      </c>
      <c r="C180" s="10">
        <f t="shared" si="7"/>
        <v>3.6585365853658534E-2</v>
      </c>
    </row>
    <row r="181" spans="1:3" ht="15.75" customHeight="1">
      <c r="A181" s="8" t="s">
        <v>106</v>
      </c>
      <c r="B181">
        <f>COUNTIF(Tabela2[[#All],[Quando você considera experimentar pratos quentes na Olga Ri, quais aspectos são mais importantes para a sua decisão?]],"*Avaliação ou recomendação de outros clientes*")</f>
        <v>24</v>
      </c>
      <c r="C181" s="10">
        <f t="shared" si="7"/>
        <v>9.7560975609756101E-2</v>
      </c>
    </row>
    <row r="182" spans="1:3" ht="15.75" customHeight="1">
      <c r="A182" s="8" t="s">
        <v>110</v>
      </c>
      <c r="B182">
        <f>COUNTIF(Tabela2[[#All],[Quando você considera experimentar pratos quentes na Olga Ri, quais aspectos são mais importantes para a sua decisão?]],"*Opções vegetarianas e/ou veganas de pratos quentes*")</f>
        <v>21</v>
      </c>
      <c r="C182" s="10">
        <f t="shared" si="7"/>
        <v>8.5365853658536592E-2</v>
      </c>
    </row>
    <row r="183" spans="1:3" ht="15.75" customHeight="1">
      <c r="A183" s="8" t="s">
        <v>164</v>
      </c>
      <c r="B183">
        <f>COUNTIF(Tabela2[[#All],[Quando você considera experimentar pratos quentes na Olga Ri, quais aspectos são mais importantes para a sua decisão?]],"*Preço das opções quentes*")</f>
        <v>36</v>
      </c>
      <c r="C183" s="10">
        <f t="shared" si="7"/>
        <v>0.14634146341463414</v>
      </c>
    </row>
    <row r="184" spans="1:3" ht="15.75" customHeight="1">
      <c r="A184" s="8" t="s">
        <v>264</v>
      </c>
      <c r="B184">
        <f>COUNTIF(Tabela2[[#All],[Quando você considera experimentar pratos quentes na Olga Ri, quais aspectos são mais importantes para a sua decisão?]],"*Tempo de espera para ser servido*")</f>
        <v>39</v>
      </c>
      <c r="C184" s="10">
        <f t="shared" si="7"/>
        <v>0.15853658536585366</v>
      </c>
    </row>
    <row r="185" spans="1:3" ht="15.75" customHeight="1">
      <c r="A185" s="8" t="s">
        <v>94</v>
      </c>
      <c r="B185">
        <f>COUNTIF(Tabela2[[#All],[Quando você considera experimentar pratos quentes na Olga Ri, quais aspectos são mais importantes para a sua decisão?]],"*Variedade de opções quentes no cardápio*")</f>
        <v>62</v>
      </c>
      <c r="C185" s="10">
        <f t="shared" si="7"/>
        <v>0.25203252032520324</v>
      </c>
    </row>
    <row r="186" spans="1:3" ht="15.75" customHeight="1">
      <c r="A186" s="8" t="s">
        <v>372</v>
      </c>
      <c r="B186">
        <v>2</v>
      </c>
      <c r="C186" s="10">
        <f t="shared" si="7"/>
        <v>8.130081300813009E-3</v>
      </c>
    </row>
    <row r="187" spans="1:3" ht="15.75" customHeight="1">
      <c r="A187" s="8" t="s">
        <v>365</v>
      </c>
      <c r="B187">
        <f>SUM(B179:B186)</f>
        <v>246</v>
      </c>
      <c r="C187" s="10">
        <f t="shared" si="7"/>
        <v>1</v>
      </c>
    </row>
    <row r="189" spans="1:3" ht="15.75" customHeight="1">
      <c r="A189" s="8" t="s">
        <v>373</v>
      </c>
      <c r="B189">
        <f>B187/100</f>
        <v>2.46</v>
      </c>
    </row>
    <row r="190" spans="1:3" ht="15.75" customHeight="1">
      <c r="A190" s="9"/>
    </row>
    <row r="191" spans="1:3" ht="15.75" customHeight="1">
      <c r="A191" s="9"/>
    </row>
    <row r="192" spans="1:3" ht="15.75" customHeight="1">
      <c r="A192" s="84" t="s">
        <v>12</v>
      </c>
      <c r="B192" s="84"/>
      <c r="C192" s="84"/>
    </row>
    <row r="193" spans="1:3" ht="15.75" customHeight="1">
      <c r="A193">
        <v>5</v>
      </c>
      <c r="B193">
        <f>COUNTIF(Tabela2[Qual a probabilidade de mudanças realizadas no cardápio de opções quentes influenciarem a sua decisão de compra dos bowls quentes?],A193)</f>
        <v>13</v>
      </c>
      <c r="C193" s="10">
        <f>B193/$B$198</f>
        <v>0.13</v>
      </c>
    </row>
    <row r="194" spans="1:3" ht="15.75" customHeight="1">
      <c r="A194">
        <v>4</v>
      </c>
      <c r="B194">
        <f>COUNTIF(Tabela2[Qual a probabilidade de mudanças realizadas no cardápio de opções quentes influenciarem a sua decisão de compra dos bowls quentes?],A194)</f>
        <v>27</v>
      </c>
      <c r="C194" s="10">
        <f t="shared" ref="C194:C198" si="8">B194/$B$198</f>
        <v>0.27</v>
      </c>
    </row>
    <row r="195" spans="1:3" ht="15.75" customHeight="1">
      <c r="A195">
        <v>3</v>
      </c>
      <c r="B195">
        <f>COUNTIF(Tabela2[Qual a probabilidade de mudanças realizadas no cardápio de opções quentes influenciarem a sua decisão de compra dos bowls quentes?],A195)</f>
        <v>30</v>
      </c>
      <c r="C195" s="10">
        <f t="shared" si="8"/>
        <v>0.3</v>
      </c>
    </row>
    <row r="196" spans="1:3" ht="15.75" customHeight="1">
      <c r="A196">
        <v>2</v>
      </c>
      <c r="B196">
        <f>COUNTIF(Tabela2[Qual a probabilidade de mudanças realizadas no cardápio de opções quentes influenciarem a sua decisão de compra dos bowls quentes?],A196)</f>
        <v>16</v>
      </c>
      <c r="C196" s="10">
        <f t="shared" si="8"/>
        <v>0.16</v>
      </c>
    </row>
    <row r="197" spans="1:3" ht="15.75" customHeight="1">
      <c r="A197">
        <v>1</v>
      </c>
      <c r="B197">
        <f>COUNTIF(Tabela2[Qual a probabilidade de mudanças realizadas no cardápio de opções quentes influenciarem a sua decisão de compra dos bowls quentes?],A197)</f>
        <v>14</v>
      </c>
      <c r="C197" s="10">
        <f t="shared" si="8"/>
        <v>0.14000000000000001</v>
      </c>
    </row>
    <row r="198" spans="1:3" ht="15.75" customHeight="1">
      <c r="A198" s="9" t="s">
        <v>365</v>
      </c>
      <c r="B198">
        <f>SUM(B193:B197)</f>
        <v>100</v>
      </c>
      <c r="C198" s="10">
        <f t="shared" si="8"/>
        <v>1</v>
      </c>
    </row>
    <row r="200" spans="1:3" ht="15.75" customHeight="1">
      <c r="A200" s="9" t="s">
        <v>366</v>
      </c>
      <c r="B200" s="11">
        <f>SUM(C193:C194)</f>
        <v>0.4</v>
      </c>
    </row>
    <row r="201" spans="1:3" ht="15.75" customHeight="1">
      <c r="A201" s="9" t="s">
        <v>368</v>
      </c>
      <c r="B201" s="11">
        <f>SUM(C196:C197)</f>
        <v>0.30000000000000004</v>
      </c>
    </row>
    <row r="203" spans="1:3" ht="15.75" customHeight="1">
      <c r="A203" s="84" t="s">
        <v>13</v>
      </c>
      <c r="B203" s="84"/>
      <c r="C203" s="84"/>
    </row>
    <row r="204" spans="1:3" ht="15.75" customHeight="1">
      <c r="A204" s="8" t="s">
        <v>374</v>
      </c>
      <c r="B204">
        <f>COUNTIF(Tabela2[Que tipo de ingredientes quentes você mais gostaria de ver nos bowls quentes da Olga RI no futuro?],"*Frango Grelhado*")</f>
        <v>35</v>
      </c>
      <c r="C204" s="10">
        <f>B204/$B$211</f>
        <v>0.1417004048582996</v>
      </c>
    </row>
    <row r="205" spans="1:3" ht="15.75" customHeight="1">
      <c r="A205" s="8" t="s">
        <v>375</v>
      </c>
      <c r="B205">
        <f>COUNTIF(Tabela2[Que tipo de ingredientes quentes você mais gostaria de ver nos bowls quentes da Olga RI no futuro?],"*Carne seca desfiada*")</f>
        <v>33</v>
      </c>
      <c r="C205" s="10">
        <f t="shared" ref="C205:C211" si="9">B205/$B$211</f>
        <v>0.13360323886639677</v>
      </c>
    </row>
    <row r="206" spans="1:3" ht="15.75" customHeight="1">
      <c r="A206" s="8" t="s">
        <v>376</v>
      </c>
      <c r="B206">
        <f>COUNTIF(Tabela2[Que tipo de ingredientes quentes você mais gostaria de ver nos bowls quentes da Olga RI no futuro?],"*Filé mignon*")</f>
        <v>47</v>
      </c>
      <c r="C206" s="10">
        <f t="shared" si="9"/>
        <v>0.19028340080971659</v>
      </c>
    </row>
    <row r="207" spans="1:3" ht="15.75" customHeight="1">
      <c r="A207" s="8" t="s">
        <v>111</v>
      </c>
      <c r="B207">
        <f>COUNTIF(Tabela2[Que tipo de ingredientes quentes você mais gostaria de ver nos bowls quentes da Olga RI no futuro?],"*Falafel*")</f>
        <v>34</v>
      </c>
      <c r="C207" s="10">
        <f t="shared" si="9"/>
        <v>0.13765182186234817</v>
      </c>
    </row>
    <row r="208" spans="1:3" ht="15.75" customHeight="1">
      <c r="A208" s="8" t="s">
        <v>132</v>
      </c>
      <c r="B208">
        <f>COUNTIF(Tabela2[Que tipo de ingredientes quentes você mais gostaria de ver nos bowls quentes da Olga RI no futuro?],"*Salmão grelhado com molho teriyaki*")</f>
        <v>54</v>
      </c>
      <c r="C208" s="10">
        <f t="shared" si="9"/>
        <v>0.21862348178137653</v>
      </c>
    </row>
    <row r="209" spans="1:3" ht="15.75" customHeight="1">
      <c r="A209" s="8" t="s">
        <v>377</v>
      </c>
      <c r="B209">
        <f>COUNTIF(Tabela2[Que tipo de ingredientes quentes você mais gostaria de ver nos bowls quentes da Olga RI no futuro?],"*Atum selado com gergelim*")</f>
        <v>40</v>
      </c>
      <c r="C209" s="10">
        <f t="shared" si="9"/>
        <v>0.16194331983805668</v>
      </c>
    </row>
    <row r="210" spans="1:3" ht="15.75" customHeight="1">
      <c r="A210" s="8" t="s">
        <v>378</v>
      </c>
      <c r="B210">
        <v>4</v>
      </c>
      <c r="C210" s="10">
        <f t="shared" si="9"/>
        <v>1.6194331983805668E-2</v>
      </c>
    </row>
    <row r="211" spans="1:3" ht="15.75" customHeight="1">
      <c r="A211" s="8" t="s">
        <v>365</v>
      </c>
      <c r="B211">
        <f>SUM(B204:B210)</f>
        <v>247</v>
      </c>
      <c r="C211" s="10">
        <f t="shared" si="9"/>
        <v>1</v>
      </c>
    </row>
    <row r="213" spans="1:3" ht="15.75" customHeight="1">
      <c r="A213" s="8" t="s">
        <v>373</v>
      </c>
      <c r="B213">
        <f>B211/100</f>
        <v>2.4700000000000002</v>
      </c>
    </row>
    <row r="215" spans="1:3" ht="15.75" customHeight="1">
      <c r="A215" s="84" t="s">
        <v>379</v>
      </c>
      <c r="B215" s="84"/>
      <c r="C215" s="84"/>
    </row>
    <row r="216" spans="1:3" ht="15.75" customHeight="1">
      <c r="A216">
        <v>5</v>
      </c>
      <c r="B216">
        <f>COUNTIF(Tabela2[Levando em consideração que os ingredientes escolhidos por você estivessem disponíveis na próxima virada de cardápio da Olga RI, qual é a chance de você comprar esse bowl quente? ],A216)</f>
        <v>52</v>
      </c>
      <c r="C216" s="10">
        <f>B216/$B$221</f>
        <v>0.52</v>
      </c>
    </row>
    <row r="217" spans="1:3" ht="15.75" customHeight="1">
      <c r="A217">
        <v>4</v>
      </c>
      <c r="B217">
        <f>COUNTIF(Tabela2[Levando em consideração que os ingredientes escolhidos por você estivessem disponíveis na próxima virada de cardápio da Olga RI, qual é a chance de você comprar esse bowl quente? ],A217)</f>
        <v>32</v>
      </c>
      <c r="C217" s="10">
        <f t="shared" ref="C217:C220" si="10">B217/$B$221</f>
        <v>0.32</v>
      </c>
    </row>
    <row r="218" spans="1:3" ht="15.75" customHeight="1">
      <c r="A218">
        <v>3</v>
      </c>
      <c r="B218">
        <f>COUNTIF(Tabela2[Levando em consideração que os ingredientes escolhidos por você estivessem disponíveis na próxima virada de cardápio da Olga RI, qual é a chance de você comprar esse bowl quente? ],A218)</f>
        <v>13</v>
      </c>
      <c r="C218" s="10">
        <f t="shared" si="10"/>
        <v>0.13</v>
      </c>
    </row>
    <row r="219" spans="1:3" ht="15.75" customHeight="1">
      <c r="A219">
        <v>2</v>
      </c>
      <c r="B219">
        <f>COUNTIF(Tabela2[Levando em consideração que os ingredientes escolhidos por você estivessem disponíveis na próxima virada de cardápio da Olga RI, qual é a chance de você comprar esse bowl quente? ],A219)</f>
        <v>0</v>
      </c>
      <c r="C219" s="10">
        <f t="shared" si="10"/>
        <v>0</v>
      </c>
    </row>
    <row r="220" spans="1:3" ht="15.75" customHeight="1">
      <c r="A220">
        <v>1</v>
      </c>
      <c r="B220">
        <f>COUNTIF(Tabela2[Levando em consideração que os ingredientes escolhidos por você estivessem disponíveis na próxima virada de cardápio da Olga RI, qual é a chance de você comprar esse bowl quente? ],A220)</f>
        <v>3</v>
      </c>
      <c r="C220" s="10">
        <f t="shared" si="10"/>
        <v>0.03</v>
      </c>
    </row>
    <row r="221" spans="1:3" ht="15.75" customHeight="1">
      <c r="A221" s="9" t="s">
        <v>365</v>
      </c>
      <c r="B221">
        <f>SUM(B216:B220)</f>
        <v>100</v>
      </c>
      <c r="C221" s="10">
        <f>B221/$B$221</f>
        <v>1</v>
      </c>
    </row>
    <row r="223" spans="1:3" ht="15.75" customHeight="1">
      <c r="A223" s="9" t="s">
        <v>366</v>
      </c>
      <c r="B223" s="11">
        <f>SUM(C216:C217)</f>
        <v>0.84000000000000008</v>
      </c>
    </row>
    <row r="224" spans="1:3" ht="15.75" customHeight="1">
      <c r="A224" s="9" t="s">
        <v>368</v>
      </c>
      <c r="B224" s="11">
        <f>SUM(C219:C220)</f>
        <v>0.03</v>
      </c>
    </row>
    <row r="226" spans="1:3" ht="15.75" customHeight="1">
      <c r="A226" s="84" t="s">
        <v>15</v>
      </c>
      <c r="B226" s="84"/>
      <c r="C226" s="84"/>
    </row>
    <row r="227" spans="1:3" ht="15.75" customHeight="1">
      <c r="A227">
        <v>5</v>
      </c>
      <c r="B227">
        <f>COUNTIF(Tabela2[Com a inclusão das novas opções de bowls quentes, qual é a probabilidade de você optar por essas opções da Olga RI em dias mais frios? ],A227)</f>
        <v>39</v>
      </c>
      <c r="C227" s="10">
        <f>B227/$B$232</f>
        <v>0.39</v>
      </c>
    </row>
    <row r="228" spans="1:3" ht="15.75" customHeight="1">
      <c r="A228">
        <v>4</v>
      </c>
      <c r="B228">
        <f>COUNTIF(Tabela2[Com a inclusão das novas opções de bowls quentes, qual é a probabilidade de você optar por essas opções da Olga RI em dias mais frios? ],A228)</f>
        <v>25</v>
      </c>
      <c r="C228" s="10">
        <f t="shared" ref="C228:C232" si="11">B228/$B$232</f>
        <v>0.25</v>
      </c>
    </row>
    <row r="229" spans="1:3" ht="15.75" customHeight="1">
      <c r="A229">
        <v>3</v>
      </c>
      <c r="B229">
        <f>COUNTIF(Tabela2[Com a inclusão das novas opções de bowls quentes, qual é a probabilidade de você optar por essas opções da Olga RI em dias mais frios? ],A229)</f>
        <v>27</v>
      </c>
      <c r="C229" s="10">
        <f t="shared" si="11"/>
        <v>0.27</v>
      </c>
    </row>
    <row r="230" spans="1:3" ht="15.75" customHeight="1">
      <c r="A230">
        <v>2</v>
      </c>
      <c r="B230">
        <f>COUNTIF(Tabela2[Com a inclusão das novas opções de bowls quentes, qual é a probabilidade de você optar por essas opções da Olga RI em dias mais frios? ],A230)</f>
        <v>5</v>
      </c>
      <c r="C230" s="10">
        <f t="shared" si="11"/>
        <v>0.05</v>
      </c>
    </row>
    <row r="231" spans="1:3" ht="15.75" customHeight="1">
      <c r="A231">
        <v>1</v>
      </c>
      <c r="B231">
        <f>COUNTIF(Tabela2[Com a inclusão das novas opções de bowls quentes, qual é a probabilidade de você optar por essas opções da Olga RI em dias mais frios? ],A231)</f>
        <v>4</v>
      </c>
      <c r="C231" s="10">
        <f t="shared" si="11"/>
        <v>0.04</v>
      </c>
    </row>
    <row r="232" spans="1:3" ht="15.75" customHeight="1">
      <c r="A232" s="9" t="s">
        <v>365</v>
      </c>
      <c r="B232">
        <f>SUM(B227:B231)</f>
        <v>100</v>
      </c>
      <c r="C232" s="10">
        <f t="shared" si="11"/>
        <v>1</v>
      </c>
    </row>
    <row r="234" spans="1:3" ht="15.75" customHeight="1">
      <c r="A234" s="9" t="s">
        <v>366</v>
      </c>
      <c r="B234" s="11">
        <f>SUM(C227:C228)</f>
        <v>0.64</v>
      </c>
    </row>
    <row r="235" spans="1:3" ht="15.75" customHeight="1">
      <c r="A235" s="9" t="s">
        <v>368</v>
      </c>
      <c r="B235" s="11">
        <f>SUM(C230:C231)</f>
        <v>0.09</v>
      </c>
    </row>
    <row r="237" spans="1:3" ht="15.75" customHeight="1">
      <c r="A237" s="84" t="s">
        <v>16</v>
      </c>
      <c r="B237" s="84"/>
      <c r="C237" s="84"/>
    </row>
    <row r="238" spans="1:3" ht="15.75" customHeight="1">
      <c r="A238" s="9" t="s">
        <v>41</v>
      </c>
      <c r="B238">
        <f>COUNTIF(Tabela2[Com qual gênero você se identifica?],A238)</f>
        <v>62</v>
      </c>
      <c r="C238" s="10">
        <f>B238/$B$241</f>
        <v>0.62</v>
      </c>
    </row>
    <row r="239" spans="1:3" ht="15.75" customHeight="1">
      <c r="A239" s="9" t="s">
        <v>66</v>
      </c>
      <c r="B239">
        <f>COUNTIF(Tabela2[Com qual gênero você se identifica?],A239)</f>
        <v>37</v>
      </c>
      <c r="C239" s="10">
        <f t="shared" ref="C239:C241" si="12">B239/$B$241</f>
        <v>0.37</v>
      </c>
    </row>
    <row r="240" spans="1:3" ht="15.75" customHeight="1">
      <c r="A240" s="9" t="s">
        <v>156</v>
      </c>
      <c r="B240">
        <f>COUNTIF(Tabela2[Com qual gênero você se identifica?],A240)</f>
        <v>1</v>
      </c>
      <c r="C240" s="10">
        <f t="shared" si="12"/>
        <v>0.01</v>
      </c>
    </row>
    <row r="241" spans="1:3" ht="15.75" customHeight="1">
      <c r="A241" s="9" t="s">
        <v>365</v>
      </c>
      <c r="B241">
        <f>SUM(B238:B240)</f>
        <v>100</v>
      </c>
      <c r="C241" s="10">
        <f t="shared" si="12"/>
        <v>1</v>
      </c>
    </row>
    <row r="243" spans="1:3" ht="15.75" customHeight="1">
      <c r="A243" s="84" t="s">
        <v>35</v>
      </c>
      <c r="B243" s="84"/>
      <c r="C243" s="84"/>
    </row>
    <row r="244" spans="1:3" ht="15.75" customHeight="1">
      <c r="A244" s="9" t="s">
        <v>56</v>
      </c>
      <c r="B244">
        <f>COUNTIF(Tabela2[[#All],[Classe Social]],A244)</f>
        <v>37</v>
      </c>
      <c r="C244" s="10">
        <f>B244/$B$250</f>
        <v>0.37</v>
      </c>
    </row>
    <row r="245" spans="1:3" ht="15.75" customHeight="1">
      <c r="A245" s="9" t="s">
        <v>48</v>
      </c>
      <c r="B245">
        <f>COUNTIF(Tabela2[[#All],[Classe Social]],A245)</f>
        <v>25</v>
      </c>
      <c r="C245" s="10">
        <f t="shared" ref="C245:C250" si="13">B245/$B$250</f>
        <v>0.25</v>
      </c>
    </row>
    <row r="246" spans="1:3" ht="15.75" customHeight="1">
      <c r="A246" s="9" t="s">
        <v>62</v>
      </c>
      <c r="B246">
        <f>COUNTIF(Tabela2[[#All],[Classe Social]],A246)</f>
        <v>27</v>
      </c>
      <c r="C246" s="10">
        <f t="shared" si="13"/>
        <v>0.27</v>
      </c>
    </row>
    <row r="247" spans="1:3" ht="15.75" customHeight="1">
      <c r="A247" s="9" t="s">
        <v>79</v>
      </c>
      <c r="B247">
        <f>COUNTIF(Tabela2[[#All],[Classe Social]],A247)</f>
        <v>9</v>
      </c>
      <c r="C247" s="10">
        <f t="shared" si="13"/>
        <v>0.09</v>
      </c>
    </row>
    <row r="248" spans="1:3" ht="15.75" customHeight="1">
      <c r="A248" s="9" t="s">
        <v>83</v>
      </c>
      <c r="B248">
        <f>COUNTIF(Tabela2[[#All],[Classe Social]],A248)</f>
        <v>2</v>
      </c>
      <c r="C248" s="10">
        <f t="shared" si="13"/>
        <v>0.02</v>
      </c>
    </row>
    <row r="249" spans="1:3" ht="15.75" customHeight="1">
      <c r="A249" s="9" t="s">
        <v>380</v>
      </c>
      <c r="B249">
        <f>COUNTIF(Tabela2[[#All],[Classe Social]],A249)</f>
        <v>0</v>
      </c>
      <c r="C249" s="10">
        <f t="shared" si="13"/>
        <v>0</v>
      </c>
    </row>
    <row r="250" spans="1:3" ht="15.75" customHeight="1">
      <c r="A250" s="9" t="s">
        <v>365</v>
      </c>
      <c r="B250">
        <f>SUM(B244:B249)</f>
        <v>100</v>
      </c>
      <c r="C250" s="10">
        <f t="shared" si="13"/>
        <v>1</v>
      </c>
    </row>
    <row r="253" spans="1:3" ht="15.75" customHeight="1">
      <c r="A253" s="9" t="s">
        <v>56</v>
      </c>
      <c r="B253" s="9">
        <f>B244</f>
        <v>37</v>
      </c>
      <c r="C253" s="10">
        <f>B253/$B$256</f>
        <v>0.37</v>
      </c>
    </row>
    <row r="254" spans="1:3" ht="15.75" customHeight="1">
      <c r="A254" s="9" t="s">
        <v>381</v>
      </c>
      <c r="B254">
        <f>SUM(B245:B246)</f>
        <v>52</v>
      </c>
      <c r="C254" s="10">
        <f t="shared" ref="C254:C255" si="14">B254/$B$256</f>
        <v>0.52</v>
      </c>
    </row>
    <row r="255" spans="1:3" ht="15.75" customHeight="1">
      <c r="A255" s="9" t="s">
        <v>382</v>
      </c>
      <c r="B255">
        <f>SUM(B247:B248)</f>
        <v>11</v>
      </c>
      <c r="C255" s="10">
        <f t="shared" si="14"/>
        <v>0.11</v>
      </c>
    </row>
    <row r="256" spans="1:3" ht="15.75" customHeight="1">
      <c r="B256">
        <f>SUM(B253:B255)</f>
        <v>100</v>
      </c>
      <c r="C256" s="10">
        <f>B256/$B$256</f>
        <v>1</v>
      </c>
    </row>
  </sheetData>
  <mergeCells count="14">
    <mergeCell ref="A237:C237"/>
    <mergeCell ref="A243:C243"/>
    <mergeCell ref="A167:C167"/>
    <mergeCell ref="A178:C178"/>
    <mergeCell ref="A192:C192"/>
    <mergeCell ref="A203:C203"/>
    <mergeCell ref="A215:C215"/>
    <mergeCell ref="A226:C226"/>
    <mergeCell ref="A156:C156"/>
    <mergeCell ref="A134:C134"/>
    <mergeCell ref="A123:C123"/>
    <mergeCell ref="A115:C115"/>
    <mergeCell ref="A106:C106"/>
    <mergeCell ref="A145:C145"/>
  </mergeCells>
  <hyperlinks>
    <hyperlink ref="AI70" r:id="rId1" xr:uid="{3997F84A-1902-4BDA-A106-2BE165321B3C}"/>
  </hyperlinks>
  <pageMargins left="0.511811024" right="0.511811024" top="0.78740157499999996" bottom="0.78740157499999996" header="0.31496062000000002" footer="0.31496062000000002"/>
  <pageSetup paperSize="9" orientation="portrait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AA864-FEC4-4A33-AA87-3140EDFAEDBD}">
  <dimension ref="A1:AQ101"/>
  <sheetViews>
    <sheetView topLeftCell="AG71" zoomScale="68" workbookViewId="0">
      <selection activeCell="AQ2" sqref="AQ2:AQ101"/>
    </sheetView>
  </sheetViews>
  <sheetFormatPr defaultRowHeight="12.6"/>
  <cols>
    <col min="1" max="35" width="26" customWidth="1"/>
  </cols>
  <sheetData>
    <row r="1" spans="1:43" ht="12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7" t="s">
        <v>9</v>
      </c>
      <c r="K1" s="7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</row>
    <row r="2" spans="1:43">
      <c r="A2" s="2">
        <v>45453.593331562501</v>
      </c>
      <c r="B2" s="1" t="s">
        <v>36</v>
      </c>
      <c r="C2" s="1" t="s">
        <v>37</v>
      </c>
      <c r="D2" s="1" t="s">
        <v>37</v>
      </c>
      <c r="E2" s="1" t="s">
        <v>37</v>
      </c>
      <c r="F2" s="1" t="s">
        <v>38</v>
      </c>
      <c r="G2" s="1">
        <v>5</v>
      </c>
      <c r="H2" s="1">
        <v>2</v>
      </c>
      <c r="I2" s="1">
        <v>5</v>
      </c>
      <c r="J2" s="1">
        <v>1</v>
      </c>
      <c r="K2" s="1">
        <v>5</v>
      </c>
      <c r="L2" s="1" t="s">
        <v>39</v>
      </c>
      <c r="M2" s="1">
        <v>3</v>
      </c>
      <c r="N2" s="1" t="s">
        <v>40</v>
      </c>
      <c r="O2" s="1">
        <v>5</v>
      </c>
      <c r="P2" s="1">
        <v>5</v>
      </c>
      <c r="Q2" s="1" t="s">
        <v>41</v>
      </c>
      <c r="R2" s="1">
        <v>10</v>
      </c>
      <c r="S2" s="1">
        <v>0</v>
      </c>
      <c r="T2" s="1">
        <v>0</v>
      </c>
      <c r="U2" s="1">
        <v>8</v>
      </c>
      <c r="V2" s="1">
        <v>0</v>
      </c>
      <c r="W2" s="1">
        <v>2</v>
      </c>
      <c r="X2" s="1">
        <v>2</v>
      </c>
      <c r="Y2" s="1">
        <v>2</v>
      </c>
      <c r="Z2" s="1">
        <v>0</v>
      </c>
      <c r="AA2" s="1">
        <v>2</v>
      </c>
      <c r="AB2" s="1">
        <v>0</v>
      </c>
      <c r="AC2" s="1">
        <v>2</v>
      </c>
      <c r="AD2" s="1">
        <v>7</v>
      </c>
      <c r="AE2" s="1">
        <v>4</v>
      </c>
      <c r="AF2" s="1">
        <v>2</v>
      </c>
      <c r="AG2" s="1" t="s">
        <v>46</v>
      </c>
      <c r="AH2" s="1">
        <v>11985728282</v>
      </c>
      <c r="AI2" s="1" t="s">
        <v>47</v>
      </c>
      <c r="AL2">
        <f>SUM(Tabela24[[#This Row],[Dada a seguinte lista de itens, você poderia informar  a quantidade de cada um que há em sua casa? '[Banheiros']]:[Sua casa tem acesso aos seguintes serviços públicos? '[Rua pavimentada']]])</f>
        <v>41</v>
      </c>
      <c r="AM2" s="15">
        <v>41</v>
      </c>
      <c r="AN2">
        <f t="shared" ref="AN2:AN33" si="0">COUNTIFS(AM2,"&gt;=0",AM2, "&lt;=16")</f>
        <v>0</v>
      </c>
      <c r="AQ2" t="s">
        <v>48</v>
      </c>
    </row>
    <row r="3" spans="1:43" ht="12.95">
      <c r="A3" s="5">
        <v>45457.539207037036</v>
      </c>
      <c r="B3" s="6" t="s">
        <v>36</v>
      </c>
      <c r="C3" s="6" t="s">
        <v>37</v>
      </c>
      <c r="D3" s="6" t="s">
        <v>37</v>
      </c>
      <c r="E3" s="6" t="s">
        <v>37</v>
      </c>
      <c r="F3" s="6" t="s">
        <v>49</v>
      </c>
      <c r="G3" s="6">
        <v>2</v>
      </c>
      <c r="H3" s="6">
        <v>2</v>
      </c>
      <c r="I3" s="6">
        <v>3</v>
      </c>
      <c r="J3" s="6">
        <v>1</v>
      </c>
      <c r="K3" s="6">
        <v>5</v>
      </c>
      <c r="L3" s="6" t="s">
        <v>50</v>
      </c>
      <c r="M3" s="6">
        <v>2</v>
      </c>
      <c r="N3" s="6" t="s">
        <v>51</v>
      </c>
      <c r="O3" s="6">
        <v>4</v>
      </c>
      <c r="P3" s="6">
        <v>3</v>
      </c>
      <c r="Q3" s="6" t="s">
        <v>41</v>
      </c>
      <c r="R3" s="6">
        <v>14</v>
      </c>
      <c r="S3" s="6">
        <v>10</v>
      </c>
      <c r="T3" s="6">
        <v>3</v>
      </c>
      <c r="U3" s="6">
        <v>6</v>
      </c>
      <c r="V3" s="6">
        <v>0</v>
      </c>
      <c r="W3" s="6">
        <v>3</v>
      </c>
      <c r="X3" s="6">
        <v>4</v>
      </c>
      <c r="Y3" s="6">
        <v>2</v>
      </c>
      <c r="Z3" s="6">
        <v>0</v>
      </c>
      <c r="AA3" s="6">
        <v>2</v>
      </c>
      <c r="AB3" s="6">
        <v>0</v>
      </c>
      <c r="AC3" s="6">
        <v>2</v>
      </c>
      <c r="AD3" s="6">
        <v>7</v>
      </c>
      <c r="AE3" s="6">
        <v>4</v>
      </c>
      <c r="AF3" s="6">
        <v>2</v>
      </c>
      <c r="AG3" s="1" t="s">
        <v>54</v>
      </c>
      <c r="AH3" s="1">
        <v>11971221320</v>
      </c>
      <c r="AI3" s="1" t="s">
        <v>55</v>
      </c>
      <c r="AL3">
        <f>SUM(Tabela24[[#This Row],[Dada a seguinte lista de itens, você poderia informar  a quantidade de cada um que há em sua casa? '[Banheiros']]:[Sua casa tem acesso aos seguintes serviços públicos? '[Rua pavimentada']]])</f>
        <v>59</v>
      </c>
      <c r="AM3">
        <v>59</v>
      </c>
      <c r="AN3">
        <f t="shared" si="0"/>
        <v>0</v>
      </c>
      <c r="AQ3" t="s">
        <v>56</v>
      </c>
    </row>
    <row r="4" spans="1:43">
      <c r="A4" s="2">
        <v>45454.88219984954</v>
      </c>
      <c r="B4" s="1" t="s">
        <v>36</v>
      </c>
      <c r="C4" s="1" t="s">
        <v>37</v>
      </c>
      <c r="D4" s="1" t="s">
        <v>37</v>
      </c>
      <c r="E4" s="1" t="s">
        <v>37</v>
      </c>
      <c r="F4" s="1" t="s">
        <v>49</v>
      </c>
      <c r="G4" s="1">
        <v>5</v>
      </c>
      <c r="H4" s="1">
        <v>5</v>
      </c>
      <c r="I4" s="1">
        <v>3</v>
      </c>
      <c r="J4" s="1">
        <v>2</v>
      </c>
      <c r="K4" s="1">
        <v>5</v>
      </c>
      <c r="L4" s="1" t="s">
        <v>57</v>
      </c>
      <c r="M4" s="1">
        <v>4</v>
      </c>
      <c r="N4" s="1" t="s">
        <v>58</v>
      </c>
      <c r="O4" s="1">
        <v>5</v>
      </c>
      <c r="P4" s="1">
        <v>5</v>
      </c>
      <c r="Q4" s="1" t="s">
        <v>41</v>
      </c>
      <c r="R4" s="1">
        <v>3</v>
      </c>
      <c r="S4" s="1">
        <v>3</v>
      </c>
      <c r="T4" s="1">
        <v>3</v>
      </c>
      <c r="U4" s="1">
        <v>6</v>
      </c>
      <c r="V4" s="1">
        <v>0</v>
      </c>
      <c r="W4" s="1">
        <v>2</v>
      </c>
      <c r="X4" s="1">
        <v>2</v>
      </c>
      <c r="Y4" s="1">
        <v>2</v>
      </c>
      <c r="Z4" s="1">
        <v>0</v>
      </c>
      <c r="AA4" s="1">
        <v>0</v>
      </c>
      <c r="AB4" s="1">
        <v>0</v>
      </c>
      <c r="AC4" s="1">
        <v>0</v>
      </c>
      <c r="AD4" s="1">
        <v>4</v>
      </c>
      <c r="AE4" s="1">
        <v>4</v>
      </c>
      <c r="AF4" s="1">
        <v>2</v>
      </c>
      <c r="AG4" s="1" t="s">
        <v>60</v>
      </c>
      <c r="AH4" s="1">
        <v>19989606842</v>
      </c>
      <c r="AI4" s="1" t="s">
        <v>61</v>
      </c>
      <c r="AL4">
        <f>SUM(Tabela24[[#This Row],[Dada a seguinte lista de itens, você poderia informar  a quantidade de cada um que há em sua casa? '[Banheiros']]:[Sua casa tem acesso aos seguintes serviços públicos? '[Rua pavimentada']]])</f>
        <v>31</v>
      </c>
      <c r="AM4">
        <v>31</v>
      </c>
      <c r="AN4">
        <f t="shared" si="0"/>
        <v>0</v>
      </c>
      <c r="AQ4" t="s">
        <v>62</v>
      </c>
    </row>
    <row r="5" spans="1:43">
      <c r="A5" s="2">
        <v>45456.454465405091</v>
      </c>
      <c r="B5" s="1" t="s">
        <v>63</v>
      </c>
      <c r="C5" s="1" t="s">
        <v>37</v>
      </c>
      <c r="D5" s="1" t="s">
        <v>37</v>
      </c>
      <c r="E5" s="1" t="s">
        <v>37</v>
      </c>
      <c r="F5" s="1" t="s">
        <v>49</v>
      </c>
      <c r="G5" s="1">
        <v>5</v>
      </c>
      <c r="H5" s="1">
        <v>4</v>
      </c>
      <c r="I5" s="1">
        <v>5</v>
      </c>
      <c r="J5" s="1">
        <v>3</v>
      </c>
      <c r="K5" s="1">
        <v>4</v>
      </c>
      <c r="L5" s="1" t="s">
        <v>64</v>
      </c>
      <c r="M5" s="1">
        <v>1</v>
      </c>
      <c r="N5" s="1" t="s">
        <v>65</v>
      </c>
      <c r="O5" s="1">
        <v>5</v>
      </c>
      <c r="P5" s="1">
        <v>5</v>
      </c>
      <c r="Q5" s="1" t="s">
        <v>66</v>
      </c>
      <c r="R5" s="1">
        <v>7</v>
      </c>
      <c r="S5" s="1">
        <v>10</v>
      </c>
      <c r="T5" s="1">
        <v>5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v>1</v>
      </c>
      <c r="AA5" s="1">
        <v>2</v>
      </c>
      <c r="AB5" s="1">
        <v>0</v>
      </c>
      <c r="AC5" s="1">
        <v>2</v>
      </c>
      <c r="AD5" s="1">
        <v>7</v>
      </c>
      <c r="AE5" s="1">
        <v>4</v>
      </c>
      <c r="AF5" s="1">
        <v>2</v>
      </c>
      <c r="AG5" s="1" t="s">
        <v>67</v>
      </c>
      <c r="AH5" s="1">
        <v>12134389634</v>
      </c>
      <c r="AI5" s="1" t="s">
        <v>68</v>
      </c>
      <c r="AL5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5">
        <v>40</v>
      </c>
      <c r="AN5">
        <f t="shared" si="0"/>
        <v>0</v>
      </c>
      <c r="AQ5" t="s">
        <v>48</v>
      </c>
    </row>
    <row r="6" spans="1:43">
      <c r="A6" s="2">
        <v>45456.46157028935</v>
      </c>
      <c r="B6" s="1" t="s">
        <v>36</v>
      </c>
      <c r="C6" s="1" t="s">
        <v>37</v>
      </c>
      <c r="D6" s="1" t="s">
        <v>37</v>
      </c>
      <c r="E6" s="1" t="s">
        <v>37</v>
      </c>
      <c r="F6" s="1" t="s">
        <v>69</v>
      </c>
      <c r="G6" s="1">
        <v>4</v>
      </c>
      <c r="H6" s="1">
        <v>1</v>
      </c>
      <c r="I6" s="1">
        <v>2</v>
      </c>
      <c r="J6" s="1">
        <v>1</v>
      </c>
      <c r="K6" s="1">
        <v>4</v>
      </c>
      <c r="L6" s="1" t="s">
        <v>70</v>
      </c>
      <c r="M6" s="1">
        <v>2</v>
      </c>
      <c r="N6" s="1" t="s">
        <v>71</v>
      </c>
      <c r="O6" s="1">
        <v>5</v>
      </c>
      <c r="P6" s="1">
        <v>3</v>
      </c>
      <c r="Q6" s="1" t="s">
        <v>66</v>
      </c>
      <c r="R6" s="1">
        <v>14</v>
      </c>
      <c r="S6" s="1">
        <v>3</v>
      </c>
      <c r="T6" s="1">
        <v>5</v>
      </c>
      <c r="U6" s="1">
        <v>8</v>
      </c>
      <c r="V6" s="1">
        <v>3</v>
      </c>
      <c r="W6" s="1">
        <v>3</v>
      </c>
      <c r="X6" s="1">
        <v>4</v>
      </c>
      <c r="Y6" s="1">
        <v>2</v>
      </c>
      <c r="Z6" s="1">
        <v>0</v>
      </c>
      <c r="AA6" s="1">
        <v>4</v>
      </c>
      <c r="AB6" s="1">
        <v>0</v>
      </c>
      <c r="AC6" s="1">
        <v>0</v>
      </c>
      <c r="AD6" s="1">
        <v>2</v>
      </c>
      <c r="AE6" s="1">
        <v>4</v>
      </c>
      <c r="AF6" s="1">
        <v>2</v>
      </c>
      <c r="AG6" s="1" t="s">
        <v>73</v>
      </c>
      <c r="AH6" s="1">
        <v>11914613416</v>
      </c>
      <c r="AI6" s="1" t="s">
        <v>74</v>
      </c>
      <c r="AL6">
        <f>SUM(Tabela24[[#This Row],[Dada a seguinte lista de itens, você poderia informar  a quantidade de cada um que há em sua casa? '[Banheiros']]:[Sua casa tem acesso aos seguintes serviços públicos? '[Rua pavimentada']]])</f>
        <v>54</v>
      </c>
      <c r="AM6">
        <v>54</v>
      </c>
      <c r="AN6">
        <f t="shared" si="0"/>
        <v>0</v>
      </c>
      <c r="AQ6" t="s">
        <v>56</v>
      </c>
    </row>
    <row r="7" spans="1:43" ht="12.95">
      <c r="A7" s="3">
        <v>45456.461765706015</v>
      </c>
      <c r="B7" s="4" t="s">
        <v>63</v>
      </c>
      <c r="C7" s="4" t="s">
        <v>37</v>
      </c>
      <c r="D7" s="4" t="s">
        <v>37</v>
      </c>
      <c r="E7" s="4" t="s">
        <v>37</v>
      </c>
      <c r="F7" s="4" t="s">
        <v>49</v>
      </c>
      <c r="G7" s="4">
        <v>5</v>
      </c>
      <c r="H7" s="4">
        <v>4</v>
      </c>
      <c r="I7" s="4">
        <v>5</v>
      </c>
      <c r="J7" s="4">
        <v>3</v>
      </c>
      <c r="K7" s="4">
        <v>4</v>
      </c>
      <c r="L7" s="4" t="s">
        <v>64</v>
      </c>
      <c r="M7" s="4">
        <v>1</v>
      </c>
      <c r="N7" s="4" t="s">
        <v>65</v>
      </c>
      <c r="O7" s="4">
        <v>5</v>
      </c>
      <c r="P7" s="4">
        <v>5</v>
      </c>
      <c r="Q7" s="4" t="s">
        <v>66</v>
      </c>
      <c r="R7" s="4">
        <v>7</v>
      </c>
      <c r="S7" s="4">
        <v>10</v>
      </c>
      <c r="T7" s="4">
        <v>5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1</v>
      </c>
      <c r="AA7" s="4">
        <v>2</v>
      </c>
      <c r="AB7" s="4">
        <v>0</v>
      </c>
      <c r="AC7" s="4">
        <v>2</v>
      </c>
      <c r="AD7" s="4">
        <v>7</v>
      </c>
      <c r="AE7" s="4">
        <v>4</v>
      </c>
      <c r="AF7" s="4">
        <v>2</v>
      </c>
      <c r="AG7" s="4" t="s">
        <v>67</v>
      </c>
      <c r="AH7" s="4">
        <v>12134389634</v>
      </c>
      <c r="AI7" s="4" t="s">
        <v>68</v>
      </c>
      <c r="AL7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7">
        <v>40</v>
      </c>
      <c r="AN7">
        <f t="shared" si="0"/>
        <v>0</v>
      </c>
      <c r="AQ7" t="s">
        <v>48</v>
      </c>
    </row>
    <row r="8" spans="1:43">
      <c r="A8" s="2">
        <v>45456.466788599537</v>
      </c>
      <c r="B8" s="1" t="s">
        <v>36</v>
      </c>
      <c r="C8" s="1" t="s">
        <v>37</v>
      </c>
      <c r="D8" s="1" t="s">
        <v>37</v>
      </c>
      <c r="E8" s="1" t="s">
        <v>37</v>
      </c>
      <c r="F8" s="1" t="s">
        <v>49</v>
      </c>
      <c r="G8" s="1">
        <v>3</v>
      </c>
      <c r="H8" s="1">
        <v>2</v>
      </c>
      <c r="I8" s="1">
        <v>2</v>
      </c>
      <c r="J8" s="1">
        <v>1</v>
      </c>
      <c r="K8" s="1">
        <v>2</v>
      </c>
      <c r="L8" s="1" t="s">
        <v>75</v>
      </c>
      <c r="M8" s="1">
        <v>4</v>
      </c>
      <c r="N8" s="1" t="s">
        <v>76</v>
      </c>
      <c r="O8" s="1">
        <v>3</v>
      </c>
      <c r="P8" s="1">
        <v>2</v>
      </c>
      <c r="Q8" s="1" t="s">
        <v>41</v>
      </c>
      <c r="R8" s="1">
        <v>3</v>
      </c>
      <c r="S8" s="1">
        <v>0</v>
      </c>
      <c r="T8" s="1">
        <v>3</v>
      </c>
      <c r="U8" s="1">
        <v>3</v>
      </c>
      <c r="V8" s="1">
        <v>0</v>
      </c>
      <c r="W8" s="1">
        <v>2</v>
      </c>
      <c r="X8" s="1">
        <v>0</v>
      </c>
      <c r="Y8" s="1">
        <v>0</v>
      </c>
      <c r="Z8" s="1">
        <v>0</v>
      </c>
      <c r="AA8" s="1">
        <v>2</v>
      </c>
      <c r="AB8" s="1">
        <v>0</v>
      </c>
      <c r="AC8" s="1">
        <v>0</v>
      </c>
      <c r="AD8" s="1">
        <v>7</v>
      </c>
      <c r="AE8" s="1">
        <v>4</v>
      </c>
      <c r="AF8" s="1">
        <v>2</v>
      </c>
      <c r="AG8" s="1" t="s">
        <v>77</v>
      </c>
      <c r="AH8" s="1">
        <v>11943333160</v>
      </c>
      <c r="AI8" s="1" t="s">
        <v>78</v>
      </c>
      <c r="AL8">
        <f>SUM(Tabela24[[#This Row],[Dada a seguinte lista de itens, você poderia informar  a quantidade de cada um que há em sua casa? '[Banheiros']]:[Sua casa tem acesso aos seguintes serviços públicos? '[Rua pavimentada']]])</f>
        <v>26</v>
      </c>
      <c r="AM8">
        <v>26</v>
      </c>
      <c r="AN8">
        <f t="shared" si="0"/>
        <v>0</v>
      </c>
      <c r="AQ8" t="s">
        <v>79</v>
      </c>
    </row>
    <row r="9" spans="1:43">
      <c r="A9" s="2">
        <v>45456.482557696756</v>
      </c>
      <c r="B9" s="1" t="s">
        <v>36</v>
      </c>
      <c r="C9" s="1" t="s">
        <v>37</v>
      </c>
      <c r="D9" s="1" t="s">
        <v>37</v>
      </c>
      <c r="E9" s="1" t="s">
        <v>37</v>
      </c>
      <c r="F9" s="1" t="s">
        <v>69</v>
      </c>
      <c r="G9" s="1">
        <v>5</v>
      </c>
      <c r="H9" s="1">
        <v>2</v>
      </c>
      <c r="I9" s="1">
        <v>1</v>
      </c>
      <c r="J9" s="1">
        <v>1</v>
      </c>
      <c r="K9" s="1">
        <v>5</v>
      </c>
      <c r="L9" s="1" t="s">
        <v>70</v>
      </c>
      <c r="M9" s="1">
        <v>5</v>
      </c>
      <c r="N9" s="1" t="s">
        <v>80</v>
      </c>
      <c r="O9" s="1">
        <v>5</v>
      </c>
      <c r="P9" s="1">
        <v>5</v>
      </c>
      <c r="Q9" s="1" t="s">
        <v>41</v>
      </c>
      <c r="R9" s="1">
        <v>3</v>
      </c>
      <c r="S9" s="1">
        <v>0</v>
      </c>
      <c r="T9" s="1">
        <v>0</v>
      </c>
      <c r="U9" s="1">
        <v>0</v>
      </c>
      <c r="V9" s="1">
        <v>0</v>
      </c>
      <c r="W9" s="1">
        <v>2</v>
      </c>
      <c r="X9" s="1">
        <v>2</v>
      </c>
      <c r="Y9" s="1">
        <v>2</v>
      </c>
      <c r="Z9" s="1">
        <v>0</v>
      </c>
      <c r="AA9" s="1">
        <v>0</v>
      </c>
      <c r="AB9" s="1">
        <v>0</v>
      </c>
      <c r="AC9" s="1">
        <v>0</v>
      </c>
      <c r="AD9" s="1">
        <v>7</v>
      </c>
      <c r="AE9" s="1">
        <v>4</v>
      </c>
      <c r="AF9" s="1">
        <v>2</v>
      </c>
      <c r="AG9" s="1" t="s">
        <v>81</v>
      </c>
      <c r="AH9" s="1">
        <v>11989710257</v>
      </c>
      <c r="AI9" s="1" t="s">
        <v>82</v>
      </c>
      <c r="AL9">
        <f>SUM(Tabela24[[#This Row],[Dada a seguinte lista de itens, você poderia informar  a quantidade de cada um que há em sua casa? '[Banheiros']]:[Sua casa tem acesso aos seguintes serviços públicos? '[Rua pavimentada']]])</f>
        <v>22</v>
      </c>
      <c r="AM9">
        <v>22</v>
      </c>
      <c r="AN9">
        <f t="shared" si="0"/>
        <v>0</v>
      </c>
      <c r="AQ9" t="s">
        <v>83</v>
      </c>
    </row>
    <row r="10" spans="1:43">
      <c r="A10" s="2">
        <v>45456.486518831021</v>
      </c>
      <c r="B10" s="1" t="s">
        <v>36</v>
      </c>
      <c r="C10" s="1" t="s">
        <v>37</v>
      </c>
      <c r="D10" s="1" t="s">
        <v>37</v>
      </c>
      <c r="E10" s="1" t="s">
        <v>37</v>
      </c>
      <c r="F10" s="1" t="s">
        <v>84</v>
      </c>
      <c r="G10" s="1">
        <v>4</v>
      </c>
      <c r="H10" s="1">
        <v>1</v>
      </c>
      <c r="I10" s="1">
        <v>1</v>
      </c>
      <c r="J10" s="1">
        <v>1</v>
      </c>
      <c r="K10" s="1">
        <v>1</v>
      </c>
      <c r="L10" s="1" t="s">
        <v>85</v>
      </c>
      <c r="M10" s="1">
        <v>3</v>
      </c>
      <c r="N10" s="1" t="s">
        <v>86</v>
      </c>
      <c r="O10" s="1">
        <v>4</v>
      </c>
      <c r="P10" s="1">
        <v>4</v>
      </c>
      <c r="Q10" s="1" t="s">
        <v>66</v>
      </c>
      <c r="R10" s="1">
        <v>10</v>
      </c>
      <c r="S10" s="1">
        <v>3</v>
      </c>
      <c r="T10" s="1">
        <v>8</v>
      </c>
      <c r="U10" s="1">
        <v>6</v>
      </c>
      <c r="V10" s="1">
        <v>0</v>
      </c>
      <c r="W10" s="1">
        <v>3</v>
      </c>
      <c r="X10" s="1">
        <v>2</v>
      </c>
      <c r="Y10" s="1">
        <v>2</v>
      </c>
      <c r="Z10" s="1">
        <v>1</v>
      </c>
      <c r="AA10" s="1">
        <v>2</v>
      </c>
      <c r="AB10" s="1">
        <v>0</v>
      </c>
      <c r="AC10" s="1">
        <v>2</v>
      </c>
      <c r="AD10" s="1">
        <v>7</v>
      </c>
      <c r="AE10" s="1">
        <v>4</v>
      </c>
      <c r="AF10" s="1">
        <v>2</v>
      </c>
      <c r="AG10" s="1" t="s">
        <v>87</v>
      </c>
      <c r="AH10" s="1">
        <v>11963926432</v>
      </c>
      <c r="AI10" s="1" t="s">
        <v>88</v>
      </c>
      <c r="AL10">
        <f>SUM(Tabela24[[#This Row],[Dada a seguinte lista de itens, você poderia informar  a quantidade de cada um que há em sua casa? '[Banheiros']]:[Sua casa tem acesso aos seguintes serviços públicos? '[Rua pavimentada']]])</f>
        <v>52</v>
      </c>
      <c r="AM10">
        <v>52</v>
      </c>
      <c r="AN10">
        <f t="shared" si="0"/>
        <v>0</v>
      </c>
      <c r="AQ10" t="s">
        <v>56</v>
      </c>
    </row>
    <row r="11" spans="1:43">
      <c r="A11" s="2">
        <v>45456.487564201394</v>
      </c>
      <c r="B11" s="1" t="s">
        <v>36</v>
      </c>
      <c r="C11" s="1" t="s">
        <v>37</v>
      </c>
      <c r="D11" s="1" t="s">
        <v>37</v>
      </c>
      <c r="E11" s="1" t="s">
        <v>37</v>
      </c>
      <c r="F11" s="1" t="s">
        <v>89</v>
      </c>
      <c r="G11" s="1">
        <v>3</v>
      </c>
      <c r="H11" s="1">
        <v>1</v>
      </c>
      <c r="I11" s="1">
        <v>1</v>
      </c>
      <c r="J11" s="1">
        <v>1</v>
      </c>
      <c r="K11" s="1">
        <v>1</v>
      </c>
      <c r="L11" s="1" t="s">
        <v>90</v>
      </c>
      <c r="M11" s="1">
        <v>1</v>
      </c>
      <c r="N11" s="1" t="s">
        <v>91</v>
      </c>
      <c r="O11" s="1">
        <v>3</v>
      </c>
      <c r="P11" s="1">
        <v>3</v>
      </c>
      <c r="Q11" s="1" t="s">
        <v>66</v>
      </c>
      <c r="R11" s="1">
        <v>14</v>
      </c>
      <c r="S11" s="1">
        <v>3</v>
      </c>
      <c r="T11" s="1">
        <v>8</v>
      </c>
      <c r="U11" s="1">
        <v>11</v>
      </c>
      <c r="V11" s="1">
        <v>3</v>
      </c>
      <c r="W11" s="1">
        <v>2</v>
      </c>
      <c r="X11" s="1">
        <v>2</v>
      </c>
      <c r="Y11" s="1">
        <v>2</v>
      </c>
      <c r="Z11" s="1">
        <v>4</v>
      </c>
      <c r="AA11" s="1">
        <v>2</v>
      </c>
      <c r="AB11" s="1">
        <v>0</v>
      </c>
      <c r="AC11" s="1">
        <v>0</v>
      </c>
      <c r="AD11" s="1">
        <v>7</v>
      </c>
      <c r="AE11" s="1">
        <v>4</v>
      </c>
      <c r="AF11" s="1">
        <v>2</v>
      </c>
      <c r="AG11" s="1" t="s">
        <v>92</v>
      </c>
      <c r="AH11" s="1">
        <v>11992378027</v>
      </c>
      <c r="AI11" s="1" t="s">
        <v>93</v>
      </c>
      <c r="AL11">
        <f>SUM(Tabela24[[#This Row],[Dada a seguinte lista de itens, você poderia informar  a quantidade de cada um que há em sua casa? '[Banheiros']]:[Sua casa tem acesso aos seguintes serviços públicos? '[Rua pavimentada']]])</f>
        <v>64</v>
      </c>
      <c r="AM11">
        <v>64</v>
      </c>
      <c r="AN11">
        <f t="shared" si="0"/>
        <v>0</v>
      </c>
      <c r="AQ11" t="s">
        <v>56</v>
      </c>
    </row>
    <row r="12" spans="1:43">
      <c r="A12" s="2">
        <v>45456.487806979167</v>
      </c>
      <c r="B12" s="1" t="s">
        <v>63</v>
      </c>
      <c r="C12" s="1" t="s">
        <v>37</v>
      </c>
      <c r="D12" s="1" t="s">
        <v>37</v>
      </c>
      <c r="E12" s="1" t="s">
        <v>37</v>
      </c>
      <c r="F12" s="1" t="s">
        <v>69</v>
      </c>
      <c r="G12" s="1">
        <v>1</v>
      </c>
      <c r="H12" s="1">
        <v>3</v>
      </c>
      <c r="I12" s="1">
        <v>1</v>
      </c>
      <c r="J12" s="1">
        <v>1</v>
      </c>
      <c r="K12" s="1">
        <v>5</v>
      </c>
      <c r="L12" s="1" t="s">
        <v>94</v>
      </c>
      <c r="M12" s="1">
        <v>1</v>
      </c>
      <c r="N12" s="1" t="s">
        <v>95</v>
      </c>
      <c r="O12" s="1">
        <v>5</v>
      </c>
      <c r="P12" s="1">
        <v>5</v>
      </c>
      <c r="Q12" s="1" t="s">
        <v>66</v>
      </c>
      <c r="R12" s="1">
        <v>3</v>
      </c>
      <c r="S12" s="1">
        <v>0</v>
      </c>
      <c r="T12" s="1">
        <v>3</v>
      </c>
      <c r="U12" s="1">
        <v>3</v>
      </c>
      <c r="V12" s="1">
        <v>0</v>
      </c>
      <c r="W12" s="1">
        <v>2</v>
      </c>
      <c r="X12" s="1">
        <v>0</v>
      </c>
      <c r="Y12" s="1">
        <v>2</v>
      </c>
      <c r="Z12" s="1">
        <v>0</v>
      </c>
      <c r="AA12" s="1">
        <v>2</v>
      </c>
      <c r="AB12" s="1">
        <v>0</v>
      </c>
      <c r="AC12" s="1">
        <v>2</v>
      </c>
      <c r="AD12" s="1">
        <v>7</v>
      </c>
      <c r="AE12" s="1">
        <v>4</v>
      </c>
      <c r="AF12" s="1">
        <v>2</v>
      </c>
      <c r="AG12" s="1" t="s">
        <v>96</v>
      </c>
      <c r="AH12" s="1">
        <v>62991060278</v>
      </c>
      <c r="AI12" s="1" t="s">
        <v>97</v>
      </c>
      <c r="AL12">
        <f>SUM(Tabela24[[#This Row],[Dada a seguinte lista de itens, você poderia informar  a quantidade de cada um que há em sua casa? '[Banheiros']]:[Sua casa tem acesso aos seguintes serviços públicos? '[Rua pavimentada']]])</f>
        <v>30</v>
      </c>
      <c r="AM12">
        <v>30</v>
      </c>
      <c r="AN12">
        <f t="shared" si="0"/>
        <v>0</v>
      </c>
      <c r="AQ12" t="s">
        <v>62</v>
      </c>
    </row>
    <row r="13" spans="1:43">
      <c r="A13" s="2">
        <v>45456.491021898153</v>
      </c>
      <c r="B13" s="1" t="s">
        <v>98</v>
      </c>
      <c r="C13" s="1" t="s">
        <v>37</v>
      </c>
      <c r="D13" s="1" t="s">
        <v>37</v>
      </c>
      <c r="E13" s="1" t="s">
        <v>37</v>
      </c>
      <c r="F13" s="1" t="s">
        <v>49</v>
      </c>
      <c r="G13" s="1">
        <v>3</v>
      </c>
      <c r="H13" s="1">
        <v>2</v>
      </c>
      <c r="I13" s="1">
        <v>2</v>
      </c>
      <c r="J13" s="1">
        <v>1</v>
      </c>
      <c r="K13" s="1">
        <v>5</v>
      </c>
      <c r="L13" s="1" t="s">
        <v>94</v>
      </c>
      <c r="M13" s="1">
        <v>1</v>
      </c>
      <c r="N13" s="1" t="s">
        <v>99</v>
      </c>
      <c r="O13" s="1">
        <v>4</v>
      </c>
      <c r="P13" s="1">
        <v>4</v>
      </c>
      <c r="Q13" s="1" t="s">
        <v>41</v>
      </c>
      <c r="R13" s="1">
        <v>14</v>
      </c>
      <c r="S13" s="1">
        <v>0</v>
      </c>
      <c r="T13" s="1">
        <v>3</v>
      </c>
      <c r="U13" s="1">
        <v>6</v>
      </c>
      <c r="V13" s="1">
        <v>3</v>
      </c>
      <c r="W13" s="1">
        <v>2</v>
      </c>
      <c r="X13" s="1">
        <v>0</v>
      </c>
      <c r="Y13" s="1">
        <v>2</v>
      </c>
      <c r="Z13" s="1">
        <v>1</v>
      </c>
      <c r="AA13" s="1">
        <v>2</v>
      </c>
      <c r="AB13" s="1">
        <v>0</v>
      </c>
      <c r="AC13" s="1">
        <v>2</v>
      </c>
      <c r="AD13" s="1">
        <v>7</v>
      </c>
      <c r="AE13" s="1">
        <v>4</v>
      </c>
      <c r="AF13" s="1">
        <v>2</v>
      </c>
      <c r="AG13" s="1" t="s">
        <v>100</v>
      </c>
      <c r="AH13" s="1">
        <v>11990240909</v>
      </c>
      <c r="AI13" s="1" t="s">
        <v>101</v>
      </c>
      <c r="AL13">
        <f>SUM(Tabela24[[#This Row],[Dada a seguinte lista de itens, você poderia informar  a quantidade de cada um que há em sua casa? '[Banheiros']]:[Sua casa tem acesso aos seguintes serviços públicos? '[Rua pavimentada']]])</f>
        <v>48</v>
      </c>
      <c r="AM13">
        <v>48</v>
      </c>
      <c r="AN13">
        <f t="shared" si="0"/>
        <v>0</v>
      </c>
      <c r="AQ13" t="s">
        <v>56</v>
      </c>
    </row>
    <row r="14" spans="1:43">
      <c r="A14" s="2">
        <v>45456.493379131949</v>
      </c>
      <c r="B14" s="1" t="s">
        <v>98</v>
      </c>
      <c r="C14" s="1" t="s">
        <v>37</v>
      </c>
      <c r="D14" s="1" t="s">
        <v>37</v>
      </c>
      <c r="E14" s="1" t="s">
        <v>37</v>
      </c>
      <c r="F14" s="1" t="s">
        <v>69</v>
      </c>
      <c r="G14" s="1">
        <v>1</v>
      </c>
      <c r="H14" s="1">
        <v>1</v>
      </c>
      <c r="I14" s="1">
        <v>1</v>
      </c>
      <c r="J14" s="1">
        <v>1</v>
      </c>
      <c r="K14" s="1">
        <v>3</v>
      </c>
      <c r="L14" s="1" t="s">
        <v>102</v>
      </c>
      <c r="M14" s="1">
        <v>3</v>
      </c>
      <c r="N14" s="1" t="s">
        <v>103</v>
      </c>
      <c r="O14" s="1">
        <v>4</v>
      </c>
      <c r="P14" s="1">
        <v>3</v>
      </c>
      <c r="Q14" s="1" t="s">
        <v>66</v>
      </c>
      <c r="R14" s="1">
        <v>14</v>
      </c>
      <c r="S14" s="1">
        <v>3</v>
      </c>
      <c r="T14" s="1">
        <v>3</v>
      </c>
      <c r="U14" s="1">
        <v>6</v>
      </c>
      <c r="V14" s="1">
        <v>0</v>
      </c>
      <c r="W14" s="1">
        <v>2</v>
      </c>
      <c r="X14" s="1">
        <v>0</v>
      </c>
      <c r="Y14" s="1">
        <v>2</v>
      </c>
      <c r="Z14" s="1">
        <v>0</v>
      </c>
      <c r="AA14" s="1">
        <v>2</v>
      </c>
      <c r="AB14" s="1">
        <v>0</v>
      </c>
      <c r="AC14" s="1">
        <v>0</v>
      </c>
      <c r="AD14" s="1">
        <v>2</v>
      </c>
      <c r="AE14" s="1">
        <v>4</v>
      </c>
      <c r="AF14" s="1">
        <v>2</v>
      </c>
      <c r="AG14" s="1" t="s">
        <v>104</v>
      </c>
      <c r="AH14" s="1">
        <v>11941231009</v>
      </c>
      <c r="AI14" s="1" t="s">
        <v>105</v>
      </c>
      <c r="AL14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14">
        <v>40</v>
      </c>
      <c r="AN14">
        <f t="shared" si="0"/>
        <v>0</v>
      </c>
      <c r="AQ14" t="s">
        <v>48</v>
      </c>
    </row>
    <row r="15" spans="1:43">
      <c r="A15" s="2">
        <v>45456.531544780097</v>
      </c>
      <c r="B15" s="1" t="s">
        <v>98</v>
      </c>
      <c r="C15" s="1" t="s">
        <v>37</v>
      </c>
      <c r="D15" s="1" t="s">
        <v>37</v>
      </c>
      <c r="E15" s="1" t="s">
        <v>37</v>
      </c>
      <c r="F15" s="1" t="s">
        <v>49</v>
      </c>
      <c r="G15" s="1">
        <v>3</v>
      </c>
      <c r="H15" s="1">
        <v>2</v>
      </c>
      <c r="I15" s="1">
        <v>2</v>
      </c>
      <c r="J15" s="1">
        <v>1</v>
      </c>
      <c r="K15" s="1">
        <v>4</v>
      </c>
      <c r="L15" s="1" t="s">
        <v>106</v>
      </c>
      <c r="M15" s="1">
        <v>2</v>
      </c>
      <c r="N15" s="1" t="s">
        <v>107</v>
      </c>
      <c r="O15" s="1">
        <v>3</v>
      </c>
      <c r="P15" s="1">
        <v>4</v>
      </c>
      <c r="Q15" s="1" t="s">
        <v>41</v>
      </c>
      <c r="R15" s="1">
        <v>7</v>
      </c>
      <c r="S15" s="1">
        <v>3</v>
      </c>
      <c r="T15" s="1">
        <v>5</v>
      </c>
      <c r="U15" s="1">
        <v>6</v>
      </c>
      <c r="V15" s="1">
        <v>0</v>
      </c>
      <c r="W15" s="1">
        <v>2</v>
      </c>
      <c r="X15" s="1">
        <v>2</v>
      </c>
      <c r="Y15" s="1">
        <v>2</v>
      </c>
      <c r="Z15" s="1">
        <v>1</v>
      </c>
      <c r="AA15" s="1">
        <v>2</v>
      </c>
      <c r="AB15" s="1">
        <v>0</v>
      </c>
      <c r="AC15" s="1">
        <v>2</v>
      </c>
      <c r="AD15" s="1">
        <v>7</v>
      </c>
      <c r="AE15" s="1">
        <v>4</v>
      </c>
      <c r="AF15" s="1">
        <v>2</v>
      </c>
      <c r="AG15" s="1" t="s">
        <v>108</v>
      </c>
      <c r="AH15" s="1">
        <v>11982684250</v>
      </c>
      <c r="AI15" s="1" t="s">
        <v>109</v>
      </c>
      <c r="AL15">
        <f>SUM(Tabela24[[#This Row],[Dada a seguinte lista de itens, você poderia informar  a quantidade de cada um que há em sua casa? '[Banheiros']]:[Sua casa tem acesso aos seguintes serviços públicos? '[Rua pavimentada']]])</f>
        <v>45</v>
      </c>
      <c r="AM15">
        <v>45</v>
      </c>
      <c r="AN15">
        <f t="shared" si="0"/>
        <v>0</v>
      </c>
      <c r="AQ15" t="s">
        <v>56</v>
      </c>
    </row>
    <row r="16" spans="1:43">
      <c r="A16" s="2">
        <v>45456.537065312499</v>
      </c>
      <c r="B16" s="1" t="s">
        <v>98</v>
      </c>
      <c r="C16" s="1" t="s">
        <v>37</v>
      </c>
      <c r="D16" s="1" t="s">
        <v>37</v>
      </c>
      <c r="E16" s="1" t="s">
        <v>37</v>
      </c>
      <c r="F16" s="1" t="s">
        <v>69</v>
      </c>
      <c r="G16" s="1">
        <v>5</v>
      </c>
      <c r="H16" s="1">
        <v>2</v>
      </c>
      <c r="I16" s="1">
        <v>3</v>
      </c>
      <c r="J16" s="1">
        <v>1</v>
      </c>
      <c r="K16" s="1">
        <v>5</v>
      </c>
      <c r="L16" s="1" t="s">
        <v>110</v>
      </c>
      <c r="M16" s="1">
        <v>2</v>
      </c>
      <c r="N16" s="1" t="s">
        <v>111</v>
      </c>
      <c r="O16" s="1">
        <v>5</v>
      </c>
      <c r="P16" s="1">
        <v>5</v>
      </c>
      <c r="Q16" s="1" t="s">
        <v>41</v>
      </c>
      <c r="R16" s="1">
        <v>3</v>
      </c>
      <c r="S16" s="1">
        <v>13</v>
      </c>
      <c r="T16" s="1">
        <v>0</v>
      </c>
      <c r="U16" s="1">
        <v>0</v>
      </c>
      <c r="V16" s="1">
        <v>0</v>
      </c>
      <c r="W16" s="1">
        <v>2</v>
      </c>
      <c r="X16" s="1">
        <v>0</v>
      </c>
      <c r="Y16" s="1">
        <v>2</v>
      </c>
      <c r="Z16" s="1">
        <v>1</v>
      </c>
      <c r="AA16" s="1">
        <v>2</v>
      </c>
      <c r="AB16" s="1">
        <v>0</v>
      </c>
      <c r="AC16" s="1">
        <v>0</v>
      </c>
      <c r="AD16" s="1">
        <v>4</v>
      </c>
      <c r="AE16" s="1">
        <v>4</v>
      </c>
      <c r="AF16" s="1">
        <v>2</v>
      </c>
      <c r="AG16" s="1" t="s">
        <v>112</v>
      </c>
      <c r="AH16" s="1">
        <v>11954265660</v>
      </c>
      <c r="AI16" s="1" t="s">
        <v>113</v>
      </c>
      <c r="AL16">
        <f>SUM(Tabela24[[#This Row],[Dada a seguinte lista de itens, você poderia informar  a quantidade de cada um que há em sua casa? '[Banheiros']]:[Sua casa tem acesso aos seguintes serviços públicos? '[Rua pavimentada']]])</f>
        <v>33</v>
      </c>
      <c r="AM16">
        <v>33</v>
      </c>
      <c r="AN16">
        <f t="shared" si="0"/>
        <v>0</v>
      </c>
      <c r="AQ16" t="s">
        <v>62</v>
      </c>
    </row>
    <row r="17" spans="1:43">
      <c r="A17" s="2">
        <v>45456.538350902774</v>
      </c>
      <c r="B17" s="1" t="s">
        <v>98</v>
      </c>
      <c r="C17" s="1" t="s">
        <v>37</v>
      </c>
      <c r="D17" s="1" t="s">
        <v>37</v>
      </c>
      <c r="E17" s="1" t="s">
        <v>37</v>
      </c>
      <c r="F17" s="1" t="s">
        <v>84</v>
      </c>
      <c r="G17" s="1">
        <v>2</v>
      </c>
      <c r="H17" s="1">
        <v>2</v>
      </c>
      <c r="I17" s="1">
        <v>1</v>
      </c>
      <c r="J17" s="1">
        <v>1</v>
      </c>
      <c r="K17" s="1">
        <v>4</v>
      </c>
      <c r="L17" s="1" t="s">
        <v>114</v>
      </c>
      <c r="M17" s="1">
        <v>4</v>
      </c>
      <c r="N17" s="1" t="s">
        <v>115</v>
      </c>
      <c r="O17" s="1">
        <v>5</v>
      </c>
      <c r="P17" s="1">
        <v>3</v>
      </c>
      <c r="Q17" s="1" t="s">
        <v>66</v>
      </c>
      <c r="R17" s="1">
        <v>7</v>
      </c>
      <c r="S17" s="1">
        <v>3</v>
      </c>
      <c r="T17" s="1">
        <v>5</v>
      </c>
      <c r="U17" s="1">
        <v>6</v>
      </c>
      <c r="V17" s="1">
        <v>3</v>
      </c>
      <c r="W17" s="1">
        <v>2</v>
      </c>
      <c r="X17" s="1">
        <v>2</v>
      </c>
      <c r="Y17" s="1">
        <v>2</v>
      </c>
      <c r="Z17" s="1">
        <v>1</v>
      </c>
      <c r="AA17" s="1">
        <v>2</v>
      </c>
      <c r="AB17" s="1">
        <v>1</v>
      </c>
      <c r="AC17" s="1">
        <v>0</v>
      </c>
      <c r="AD17" s="1">
        <v>7</v>
      </c>
      <c r="AE17" s="1">
        <v>4</v>
      </c>
      <c r="AF17" s="1">
        <v>2</v>
      </c>
      <c r="AG17" s="1" t="s">
        <v>116</v>
      </c>
      <c r="AH17" s="1">
        <v>11996116245</v>
      </c>
      <c r="AI17" s="1" t="s">
        <v>117</v>
      </c>
      <c r="AL17">
        <f>SUM(Tabela24[[#This Row],[Dada a seguinte lista de itens, você poderia informar  a quantidade de cada um que há em sua casa? '[Banheiros']]:[Sua casa tem acesso aos seguintes serviços públicos? '[Rua pavimentada']]])</f>
        <v>47</v>
      </c>
      <c r="AM17">
        <v>47</v>
      </c>
      <c r="AN17">
        <f t="shared" si="0"/>
        <v>0</v>
      </c>
      <c r="AQ17" t="s">
        <v>56</v>
      </c>
    </row>
    <row r="18" spans="1:43">
      <c r="A18" s="2">
        <v>45456.539463356487</v>
      </c>
      <c r="B18" s="1" t="s">
        <v>36</v>
      </c>
      <c r="C18" s="1" t="s">
        <v>37</v>
      </c>
      <c r="D18" s="1" t="s">
        <v>37</v>
      </c>
      <c r="E18" s="1" t="s">
        <v>37</v>
      </c>
      <c r="F18" s="1" t="s">
        <v>84</v>
      </c>
      <c r="G18" s="1">
        <v>4</v>
      </c>
      <c r="H18" s="1">
        <v>3</v>
      </c>
      <c r="I18" s="1">
        <v>2</v>
      </c>
      <c r="J18" s="1">
        <v>1</v>
      </c>
      <c r="K18" s="1">
        <v>3</v>
      </c>
      <c r="L18" s="1" t="s">
        <v>118</v>
      </c>
      <c r="M18" s="1">
        <v>2</v>
      </c>
      <c r="N18" s="1" t="s">
        <v>119</v>
      </c>
      <c r="O18" s="1">
        <v>3</v>
      </c>
      <c r="P18" s="1">
        <v>4</v>
      </c>
      <c r="Q18" s="1" t="s">
        <v>41</v>
      </c>
      <c r="R18" s="1">
        <v>7</v>
      </c>
      <c r="S18" s="1">
        <v>3</v>
      </c>
      <c r="T18" s="1">
        <v>3</v>
      </c>
      <c r="U18" s="1">
        <v>6</v>
      </c>
      <c r="V18" s="1">
        <v>0</v>
      </c>
      <c r="W18" s="1">
        <v>2</v>
      </c>
      <c r="X18" s="1">
        <v>0</v>
      </c>
      <c r="Y18" s="1">
        <v>2</v>
      </c>
      <c r="Z18" s="1">
        <v>0</v>
      </c>
      <c r="AA18" s="1">
        <v>2</v>
      </c>
      <c r="AB18" s="1">
        <v>0</v>
      </c>
      <c r="AC18" s="1">
        <v>2</v>
      </c>
      <c r="AD18" s="1">
        <v>7</v>
      </c>
      <c r="AE18" s="1">
        <v>4</v>
      </c>
      <c r="AF18" s="1">
        <v>2</v>
      </c>
      <c r="AG18" s="1" t="s">
        <v>120</v>
      </c>
      <c r="AH18" s="1">
        <v>11981633318</v>
      </c>
      <c r="AI18" s="1" t="s">
        <v>121</v>
      </c>
      <c r="AL18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18">
        <v>40</v>
      </c>
      <c r="AN18">
        <f t="shared" si="0"/>
        <v>0</v>
      </c>
      <c r="AQ18" t="s">
        <v>48</v>
      </c>
    </row>
    <row r="19" spans="1:43">
      <c r="A19" s="2">
        <v>45456.541530451388</v>
      </c>
      <c r="B19" s="1" t="s">
        <v>36</v>
      </c>
      <c r="C19" s="1" t="s">
        <v>37</v>
      </c>
      <c r="D19" s="1" t="s">
        <v>37</v>
      </c>
      <c r="E19" s="1" t="s">
        <v>37</v>
      </c>
      <c r="F19" s="1" t="s">
        <v>69</v>
      </c>
      <c r="G19" s="1">
        <v>5</v>
      </c>
      <c r="H19" s="1">
        <v>4</v>
      </c>
      <c r="I19" s="1">
        <v>3</v>
      </c>
      <c r="J19" s="1">
        <v>1</v>
      </c>
      <c r="K19" s="1">
        <v>5</v>
      </c>
      <c r="L19" s="1" t="s">
        <v>50</v>
      </c>
      <c r="M19" s="1">
        <v>3</v>
      </c>
      <c r="N19" s="1" t="s">
        <v>122</v>
      </c>
      <c r="O19" s="1">
        <v>5</v>
      </c>
      <c r="P19" s="1">
        <v>5</v>
      </c>
      <c r="Q19" s="1" t="s">
        <v>41</v>
      </c>
      <c r="R19" s="1">
        <v>10</v>
      </c>
      <c r="S19" s="1">
        <v>0</v>
      </c>
      <c r="T19" s="1">
        <v>3</v>
      </c>
      <c r="U19" s="1">
        <v>3</v>
      </c>
      <c r="V19" s="1">
        <v>0</v>
      </c>
      <c r="W19" s="1">
        <v>3</v>
      </c>
      <c r="X19" s="1">
        <v>2</v>
      </c>
      <c r="Y19" s="1">
        <v>2</v>
      </c>
      <c r="Z19" s="1">
        <v>1</v>
      </c>
      <c r="AA19" s="1">
        <v>2</v>
      </c>
      <c r="AB19" s="1">
        <v>0</v>
      </c>
      <c r="AC19" s="1">
        <v>0</v>
      </c>
      <c r="AD19" s="1">
        <v>4</v>
      </c>
      <c r="AE19" s="1">
        <v>4</v>
      </c>
      <c r="AF19" s="1">
        <v>2</v>
      </c>
      <c r="AG19" s="1" t="s">
        <v>123</v>
      </c>
      <c r="AH19" s="1">
        <v>67998405626</v>
      </c>
      <c r="AI19" s="1" t="s">
        <v>124</v>
      </c>
      <c r="AL19">
        <f>SUM(Tabela24[[#This Row],[Dada a seguinte lista de itens, você poderia informar  a quantidade de cada um que há em sua casa? '[Banheiros']]:[Sua casa tem acesso aos seguintes serviços públicos? '[Rua pavimentada']]])</f>
        <v>36</v>
      </c>
      <c r="AM19">
        <v>36</v>
      </c>
      <c r="AN19">
        <f t="shared" si="0"/>
        <v>0</v>
      </c>
      <c r="AQ19" t="s">
        <v>62</v>
      </c>
    </row>
    <row r="20" spans="1:43">
      <c r="A20" s="2">
        <v>45456.541695601853</v>
      </c>
      <c r="B20" s="1" t="s">
        <v>63</v>
      </c>
      <c r="C20" s="1" t="s">
        <v>37</v>
      </c>
      <c r="D20" s="1" t="s">
        <v>37</v>
      </c>
      <c r="E20" s="1" t="s">
        <v>37</v>
      </c>
      <c r="F20" s="1" t="s">
        <v>84</v>
      </c>
      <c r="G20" s="1">
        <v>3</v>
      </c>
      <c r="H20" s="1">
        <v>5</v>
      </c>
      <c r="I20" s="1">
        <v>5</v>
      </c>
      <c r="J20" s="1">
        <v>2</v>
      </c>
      <c r="K20" s="1">
        <v>4</v>
      </c>
      <c r="L20" s="1" t="s">
        <v>94</v>
      </c>
      <c r="M20" s="1">
        <v>4</v>
      </c>
      <c r="N20" s="1" t="s">
        <v>125</v>
      </c>
      <c r="O20" s="1">
        <v>5</v>
      </c>
      <c r="P20" s="1">
        <v>5</v>
      </c>
      <c r="Q20" s="1" t="s">
        <v>41</v>
      </c>
      <c r="R20" s="1">
        <v>10</v>
      </c>
      <c r="S20" s="1">
        <v>7</v>
      </c>
      <c r="T20" s="1">
        <v>3</v>
      </c>
      <c r="U20" s="1">
        <v>11</v>
      </c>
      <c r="V20" s="1">
        <v>3</v>
      </c>
      <c r="W20" s="1">
        <v>3</v>
      </c>
      <c r="X20" s="1">
        <v>2</v>
      </c>
      <c r="Y20" s="1">
        <v>2</v>
      </c>
      <c r="Z20" s="1">
        <v>1</v>
      </c>
      <c r="AA20" s="1">
        <v>2</v>
      </c>
      <c r="AB20" s="1">
        <v>0</v>
      </c>
      <c r="AC20" s="1">
        <v>2</v>
      </c>
      <c r="AD20" s="1">
        <v>7</v>
      </c>
      <c r="AE20" s="1">
        <v>4</v>
      </c>
      <c r="AF20" s="1">
        <v>2</v>
      </c>
      <c r="AG20" s="1" t="s">
        <v>126</v>
      </c>
      <c r="AH20" s="1">
        <v>11997043255</v>
      </c>
      <c r="AI20" s="1" t="s">
        <v>127</v>
      </c>
      <c r="AL20">
        <f>SUM(Tabela24[[#This Row],[Dada a seguinte lista de itens, você poderia informar  a quantidade de cada um que há em sua casa? '[Banheiros']]:[Sua casa tem acesso aos seguintes serviços públicos? '[Rua pavimentada']]])</f>
        <v>59</v>
      </c>
      <c r="AM20">
        <v>59</v>
      </c>
      <c r="AN20">
        <f t="shared" si="0"/>
        <v>0</v>
      </c>
      <c r="AQ20" t="s">
        <v>56</v>
      </c>
    </row>
    <row r="21" spans="1:43">
      <c r="A21" s="2">
        <v>45456.543264259264</v>
      </c>
      <c r="B21" s="1" t="s">
        <v>36</v>
      </c>
      <c r="C21" s="1" t="s">
        <v>37</v>
      </c>
      <c r="D21" s="1" t="s">
        <v>37</v>
      </c>
      <c r="E21" s="1" t="s">
        <v>37</v>
      </c>
      <c r="F21" s="1" t="s">
        <v>69</v>
      </c>
      <c r="G21" s="1">
        <v>3</v>
      </c>
      <c r="H21" s="1">
        <v>2</v>
      </c>
      <c r="I21" s="1">
        <v>2</v>
      </c>
      <c r="J21" s="1">
        <v>1</v>
      </c>
      <c r="K21" s="1">
        <v>3</v>
      </c>
      <c r="L21" s="1" t="s">
        <v>57</v>
      </c>
      <c r="M21" s="1">
        <v>2</v>
      </c>
      <c r="N21" s="1" t="s">
        <v>128</v>
      </c>
      <c r="O21" s="1">
        <v>4</v>
      </c>
      <c r="P21" s="1">
        <v>4</v>
      </c>
      <c r="Q21" s="1" t="s">
        <v>41</v>
      </c>
      <c r="R21" s="1">
        <v>10</v>
      </c>
      <c r="S21" s="1">
        <v>3</v>
      </c>
      <c r="T21" s="1">
        <v>5</v>
      </c>
      <c r="U21" s="1">
        <v>6</v>
      </c>
      <c r="V21" s="1">
        <v>3</v>
      </c>
      <c r="W21" s="1">
        <v>2</v>
      </c>
      <c r="X21" s="1">
        <v>2</v>
      </c>
      <c r="Y21" s="1">
        <v>2</v>
      </c>
      <c r="Z21" s="1">
        <v>0</v>
      </c>
      <c r="AA21" s="1">
        <v>2</v>
      </c>
      <c r="AB21" s="1">
        <v>0</v>
      </c>
      <c r="AC21" s="1">
        <v>2</v>
      </c>
      <c r="AD21" s="1">
        <v>7</v>
      </c>
      <c r="AE21" s="1">
        <v>4</v>
      </c>
      <c r="AF21" s="1">
        <v>2</v>
      </c>
      <c r="AG21" s="1" t="s">
        <v>129</v>
      </c>
      <c r="AH21" s="1">
        <v>1199185127</v>
      </c>
      <c r="AI21" s="1" t="s">
        <v>130</v>
      </c>
      <c r="AL21">
        <f>SUM(Tabela24[[#This Row],[Dada a seguinte lista de itens, você poderia informar  a quantidade de cada um que há em sua casa? '[Banheiros']]:[Sua casa tem acesso aos seguintes serviços públicos? '[Rua pavimentada']]])</f>
        <v>50</v>
      </c>
      <c r="AM21">
        <v>50</v>
      </c>
      <c r="AN21">
        <f t="shared" si="0"/>
        <v>0</v>
      </c>
      <c r="AQ21" t="s">
        <v>56</v>
      </c>
    </row>
    <row r="22" spans="1:43">
      <c r="A22" s="2">
        <v>45456.544420543985</v>
      </c>
      <c r="B22" s="1" t="s">
        <v>98</v>
      </c>
      <c r="C22" s="1" t="s">
        <v>37</v>
      </c>
      <c r="D22" s="1" t="s">
        <v>37</v>
      </c>
      <c r="E22" s="1" t="s">
        <v>37</v>
      </c>
      <c r="F22" s="1" t="s">
        <v>49</v>
      </c>
      <c r="G22" s="1">
        <v>4</v>
      </c>
      <c r="H22" s="1">
        <v>4</v>
      </c>
      <c r="I22" s="1">
        <v>2</v>
      </c>
      <c r="J22" s="1">
        <v>1</v>
      </c>
      <c r="K22" s="1">
        <v>4</v>
      </c>
      <c r="L22" s="1" t="s">
        <v>131</v>
      </c>
      <c r="M22" s="1">
        <v>3</v>
      </c>
      <c r="N22" s="1" t="s">
        <v>132</v>
      </c>
      <c r="O22" s="1">
        <v>4</v>
      </c>
      <c r="P22" s="1">
        <v>3</v>
      </c>
      <c r="Q22" s="1" t="s">
        <v>66</v>
      </c>
      <c r="R22" s="1">
        <v>3</v>
      </c>
      <c r="S22" s="1">
        <v>0</v>
      </c>
      <c r="T22" s="1">
        <v>5</v>
      </c>
      <c r="U22" s="1">
        <v>3</v>
      </c>
      <c r="V22" s="1">
        <v>6</v>
      </c>
      <c r="W22" s="1">
        <v>2</v>
      </c>
      <c r="X22" s="1">
        <v>2</v>
      </c>
      <c r="Y22" s="1">
        <v>2</v>
      </c>
      <c r="Z22" s="1">
        <v>3</v>
      </c>
      <c r="AA22" s="1">
        <v>2</v>
      </c>
      <c r="AB22" s="1">
        <v>3</v>
      </c>
      <c r="AC22" s="1">
        <v>2</v>
      </c>
      <c r="AD22" s="1">
        <v>7</v>
      </c>
      <c r="AE22" s="1">
        <v>4</v>
      </c>
      <c r="AF22" s="1">
        <v>2</v>
      </c>
      <c r="AG22" s="1" t="s">
        <v>133</v>
      </c>
      <c r="AH22" s="1">
        <v>19982565977</v>
      </c>
      <c r="AI22" s="1" t="s">
        <v>134</v>
      </c>
      <c r="AL22">
        <f>SUM(Tabela24[[#This Row],[Dada a seguinte lista de itens, você poderia informar  a quantidade de cada um que há em sua casa? '[Banheiros']]:[Sua casa tem acesso aos seguintes serviços públicos? '[Rua pavimentada']]])</f>
        <v>46</v>
      </c>
      <c r="AM22">
        <v>46</v>
      </c>
      <c r="AN22">
        <f t="shared" si="0"/>
        <v>0</v>
      </c>
      <c r="AQ22" t="s">
        <v>56</v>
      </c>
    </row>
    <row r="23" spans="1:43">
      <c r="A23" s="2">
        <v>45456.551171331019</v>
      </c>
      <c r="B23" s="1" t="s">
        <v>36</v>
      </c>
      <c r="C23" s="1" t="s">
        <v>37</v>
      </c>
      <c r="D23" s="1" t="s">
        <v>37</v>
      </c>
      <c r="E23" s="1" t="s">
        <v>37</v>
      </c>
      <c r="F23" s="1" t="s">
        <v>69</v>
      </c>
      <c r="G23" s="1">
        <v>4</v>
      </c>
      <c r="H23" s="1">
        <v>2</v>
      </c>
      <c r="I23" s="1">
        <v>2</v>
      </c>
      <c r="J23" s="1">
        <v>1</v>
      </c>
      <c r="K23" s="1">
        <v>3</v>
      </c>
      <c r="L23" s="1" t="s">
        <v>118</v>
      </c>
      <c r="M23" s="1">
        <v>1</v>
      </c>
      <c r="N23" s="1" t="s">
        <v>135</v>
      </c>
      <c r="O23" s="1">
        <v>3</v>
      </c>
      <c r="P23" s="1">
        <v>4</v>
      </c>
      <c r="Q23" s="1" t="s">
        <v>41</v>
      </c>
      <c r="R23" s="1">
        <v>10</v>
      </c>
      <c r="S23" s="1">
        <v>3</v>
      </c>
      <c r="T23" s="1">
        <v>5</v>
      </c>
      <c r="U23" s="1">
        <v>0</v>
      </c>
      <c r="V23" s="1">
        <v>0</v>
      </c>
      <c r="W23" s="1">
        <v>3</v>
      </c>
      <c r="X23" s="1">
        <v>0</v>
      </c>
      <c r="Y23" s="1">
        <v>2</v>
      </c>
      <c r="Z23" s="1">
        <v>1</v>
      </c>
      <c r="AA23" s="1">
        <v>0</v>
      </c>
      <c r="AB23" s="1">
        <v>1</v>
      </c>
      <c r="AC23" s="1">
        <v>0</v>
      </c>
      <c r="AD23" s="1">
        <v>7</v>
      </c>
      <c r="AE23" s="1">
        <v>4</v>
      </c>
      <c r="AF23" s="1">
        <v>2</v>
      </c>
      <c r="AG23" s="1" t="s">
        <v>136</v>
      </c>
      <c r="AH23" s="1">
        <v>11993901030</v>
      </c>
      <c r="AI23" s="1" t="s">
        <v>137</v>
      </c>
      <c r="AL23">
        <f>SUM(Tabela24[[#This Row],[Dada a seguinte lista de itens, você poderia informar  a quantidade de cada um que há em sua casa? '[Banheiros']]:[Sua casa tem acesso aos seguintes serviços públicos? '[Rua pavimentada']]])</f>
        <v>38</v>
      </c>
      <c r="AM23">
        <v>38</v>
      </c>
      <c r="AN23">
        <f t="shared" si="0"/>
        <v>0</v>
      </c>
      <c r="AQ23" t="s">
        <v>48</v>
      </c>
    </row>
    <row r="24" spans="1:43">
      <c r="A24" s="2">
        <v>45456.551873819444</v>
      </c>
      <c r="B24" s="1" t="s">
        <v>36</v>
      </c>
      <c r="C24" s="1" t="s">
        <v>37</v>
      </c>
      <c r="D24" s="1" t="s">
        <v>37</v>
      </c>
      <c r="E24" s="1" t="s">
        <v>37</v>
      </c>
      <c r="F24" s="1" t="s">
        <v>49</v>
      </c>
      <c r="G24" s="1">
        <v>3</v>
      </c>
      <c r="H24" s="1">
        <v>3</v>
      </c>
      <c r="I24" s="1">
        <v>3</v>
      </c>
      <c r="J24" s="1">
        <v>1</v>
      </c>
      <c r="K24" s="1">
        <v>5</v>
      </c>
      <c r="L24" s="1" t="s">
        <v>94</v>
      </c>
      <c r="M24" s="1">
        <v>4</v>
      </c>
      <c r="N24" s="1" t="s">
        <v>138</v>
      </c>
      <c r="O24" s="1">
        <v>5</v>
      </c>
      <c r="P24" s="1">
        <v>4</v>
      </c>
      <c r="Q24" s="1" t="s">
        <v>66</v>
      </c>
      <c r="R24" s="1">
        <v>3</v>
      </c>
      <c r="S24" s="1">
        <v>0</v>
      </c>
      <c r="T24" s="1">
        <v>3</v>
      </c>
      <c r="U24" s="1">
        <v>6</v>
      </c>
      <c r="V24" s="1">
        <v>0</v>
      </c>
      <c r="W24" s="1">
        <v>2</v>
      </c>
      <c r="X24" s="1">
        <v>2</v>
      </c>
      <c r="Y24" s="1">
        <v>2</v>
      </c>
      <c r="Z24" s="1">
        <v>1</v>
      </c>
      <c r="AA24" s="1">
        <v>2</v>
      </c>
      <c r="AB24" s="1">
        <v>0</v>
      </c>
      <c r="AC24" s="1">
        <v>0</v>
      </c>
      <c r="AD24" s="1">
        <v>7</v>
      </c>
      <c r="AE24" s="1">
        <v>4</v>
      </c>
      <c r="AF24" s="1">
        <v>2</v>
      </c>
      <c r="AG24" s="1" t="s">
        <v>139</v>
      </c>
      <c r="AH24" s="1">
        <v>11985119755</v>
      </c>
      <c r="AI24" s="1" t="s">
        <v>140</v>
      </c>
      <c r="AL24">
        <f>SUM(Tabela24[[#This Row],[Dada a seguinte lista de itens, você poderia informar  a quantidade de cada um que há em sua casa? '[Banheiros']]:[Sua casa tem acesso aos seguintes serviços públicos? '[Rua pavimentada']]])</f>
        <v>34</v>
      </c>
      <c r="AM24">
        <v>34</v>
      </c>
      <c r="AN24">
        <f t="shared" si="0"/>
        <v>0</v>
      </c>
      <c r="AQ24" t="s">
        <v>62</v>
      </c>
    </row>
    <row r="25" spans="1:43">
      <c r="A25" s="2">
        <v>45456.557435381939</v>
      </c>
      <c r="B25" s="1" t="s">
        <v>36</v>
      </c>
      <c r="C25" s="1" t="s">
        <v>37</v>
      </c>
      <c r="D25" s="1" t="s">
        <v>37</v>
      </c>
      <c r="E25" s="1" t="s">
        <v>37</v>
      </c>
      <c r="F25" s="1" t="s">
        <v>84</v>
      </c>
      <c r="G25" s="1">
        <v>4</v>
      </c>
      <c r="H25" s="1">
        <v>1</v>
      </c>
      <c r="I25" s="1">
        <v>1</v>
      </c>
      <c r="J25" s="1">
        <v>1</v>
      </c>
      <c r="K25" s="1">
        <v>3</v>
      </c>
      <c r="L25" s="1" t="s">
        <v>50</v>
      </c>
      <c r="M25" s="1">
        <v>1</v>
      </c>
      <c r="N25" s="1" t="s">
        <v>141</v>
      </c>
      <c r="O25" s="1">
        <v>5</v>
      </c>
      <c r="P25" s="1">
        <v>5</v>
      </c>
      <c r="Q25" s="1" t="s">
        <v>41</v>
      </c>
      <c r="R25" s="1">
        <v>14</v>
      </c>
      <c r="S25" s="1">
        <v>13</v>
      </c>
      <c r="T25" s="1">
        <v>11</v>
      </c>
      <c r="U25" s="1">
        <v>6</v>
      </c>
      <c r="V25" s="1">
        <v>3</v>
      </c>
      <c r="W25" s="1">
        <v>5</v>
      </c>
      <c r="X25" s="1">
        <v>2</v>
      </c>
      <c r="Y25" s="1">
        <v>2</v>
      </c>
      <c r="Z25" s="1">
        <v>0</v>
      </c>
      <c r="AA25" s="1">
        <v>2</v>
      </c>
      <c r="AB25" s="1">
        <v>0</v>
      </c>
      <c r="AC25" s="1">
        <v>2</v>
      </c>
      <c r="AD25" s="1">
        <v>7</v>
      </c>
      <c r="AE25" s="1">
        <v>4</v>
      </c>
      <c r="AF25" s="1">
        <v>2</v>
      </c>
      <c r="AG25" s="1" t="s">
        <v>142</v>
      </c>
      <c r="AH25" s="1">
        <v>11981910105</v>
      </c>
      <c r="AI25" s="1" t="s">
        <v>143</v>
      </c>
      <c r="AL25">
        <f>SUM(Tabela24[[#This Row],[Dada a seguinte lista de itens, você poderia informar  a quantidade de cada um que há em sua casa? '[Banheiros']]:[Sua casa tem acesso aos seguintes serviços públicos? '[Rua pavimentada']]])</f>
        <v>73</v>
      </c>
      <c r="AM25">
        <v>73</v>
      </c>
      <c r="AN25">
        <f t="shared" si="0"/>
        <v>0</v>
      </c>
      <c r="AQ25" t="s">
        <v>56</v>
      </c>
    </row>
    <row r="26" spans="1:43">
      <c r="A26" s="2">
        <v>45456.557466041668</v>
      </c>
      <c r="B26" s="1" t="s">
        <v>98</v>
      </c>
      <c r="C26" s="1" t="s">
        <v>37</v>
      </c>
      <c r="D26" s="1" t="s">
        <v>37</v>
      </c>
      <c r="E26" s="1" t="s">
        <v>37</v>
      </c>
      <c r="F26" s="1" t="s">
        <v>49</v>
      </c>
      <c r="G26" s="1">
        <v>3</v>
      </c>
      <c r="H26" s="1">
        <v>5</v>
      </c>
      <c r="I26" s="1">
        <v>2</v>
      </c>
      <c r="J26" s="1">
        <v>1</v>
      </c>
      <c r="K26" s="1">
        <v>3</v>
      </c>
      <c r="L26" s="1" t="s">
        <v>144</v>
      </c>
      <c r="M26" s="1">
        <v>3</v>
      </c>
      <c r="N26" s="1" t="s">
        <v>115</v>
      </c>
      <c r="O26" s="1">
        <v>4</v>
      </c>
      <c r="P26" s="1">
        <v>3</v>
      </c>
      <c r="Q26" s="1" t="s">
        <v>41</v>
      </c>
      <c r="R26" s="1">
        <v>7</v>
      </c>
      <c r="S26" s="1">
        <v>3</v>
      </c>
      <c r="T26" s="1">
        <v>5</v>
      </c>
      <c r="U26" s="1">
        <v>6</v>
      </c>
      <c r="V26" s="1">
        <v>0</v>
      </c>
      <c r="W26" s="1">
        <v>2</v>
      </c>
      <c r="X26" s="1">
        <v>2</v>
      </c>
      <c r="Y26" s="1">
        <v>2</v>
      </c>
      <c r="Z26" s="1">
        <v>1</v>
      </c>
      <c r="AA26" s="1">
        <v>2</v>
      </c>
      <c r="AB26" s="1">
        <v>0</v>
      </c>
      <c r="AC26" s="1">
        <v>0</v>
      </c>
      <c r="AD26" s="1">
        <v>7</v>
      </c>
      <c r="AE26" s="1">
        <v>4</v>
      </c>
      <c r="AF26" s="1">
        <v>2</v>
      </c>
      <c r="AG26" s="1" t="s">
        <v>145</v>
      </c>
      <c r="AH26" s="1">
        <v>11963277615</v>
      </c>
      <c r="AI26" s="1" t="s">
        <v>146</v>
      </c>
      <c r="AL26">
        <f>SUM(Tabela24[[#This Row],[Dada a seguinte lista de itens, você poderia informar  a quantidade de cada um que há em sua casa? '[Banheiros']]:[Sua casa tem acesso aos seguintes serviços públicos? '[Rua pavimentada']]])</f>
        <v>43</v>
      </c>
      <c r="AM26">
        <v>43</v>
      </c>
      <c r="AN26">
        <f t="shared" si="0"/>
        <v>0</v>
      </c>
      <c r="AQ26" t="s">
        <v>48</v>
      </c>
    </row>
    <row r="27" spans="1:43">
      <c r="A27" s="2">
        <v>45456.558263391205</v>
      </c>
      <c r="B27" s="1" t="s">
        <v>36</v>
      </c>
      <c r="C27" s="1" t="s">
        <v>37</v>
      </c>
      <c r="D27" s="1" t="s">
        <v>37</v>
      </c>
      <c r="E27" s="1" t="s">
        <v>37</v>
      </c>
      <c r="F27" s="1" t="s">
        <v>84</v>
      </c>
      <c r="G27" s="1">
        <v>2</v>
      </c>
      <c r="H27" s="1">
        <v>4</v>
      </c>
      <c r="I27" s="1">
        <v>4</v>
      </c>
      <c r="J27" s="1">
        <v>5</v>
      </c>
      <c r="K27" s="1">
        <v>4</v>
      </c>
      <c r="L27" s="1" t="s">
        <v>147</v>
      </c>
      <c r="M27" s="1">
        <v>1</v>
      </c>
      <c r="N27" s="1" t="s">
        <v>148</v>
      </c>
      <c r="O27" s="1">
        <v>5</v>
      </c>
      <c r="P27" s="1">
        <v>5</v>
      </c>
      <c r="Q27" s="1" t="s">
        <v>66</v>
      </c>
      <c r="R27" s="1">
        <v>14</v>
      </c>
      <c r="S27" s="1">
        <v>7</v>
      </c>
      <c r="T27" s="1">
        <v>11</v>
      </c>
      <c r="U27" s="1">
        <v>8</v>
      </c>
      <c r="V27" s="1">
        <v>3</v>
      </c>
      <c r="W27" s="1">
        <v>2</v>
      </c>
      <c r="X27" s="1">
        <v>2</v>
      </c>
      <c r="Y27" s="1">
        <v>2</v>
      </c>
      <c r="Z27" s="1">
        <v>0</v>
      </c>
      <c r="AA27" s="1">
        <v>2</v>
      </c>
      <c r="AB27" s="1">
        <v>0</v>
      </c>
      <c r="AC27" s="1">
        <v>2</v>
      </c>
      <c r="AD27" s="1">
        <v>7</v>
      </c>
      <c r="AE27" s="1">
        <v>4</v>
      </c>
      <c r="AF27" s="1">
        <v>2</v>
      </c>
      <c r="AG27" s="1" t="s">
        <v>149</v>
      </c>
      <c r="AH27" s="1">
        <v>11965826790</v>
      </c>
      <c r="AI27" s="1" t="s">
        <v>150</v>
      </c>
      <c r="AL27">
        <f>SUM(Tabela24[[#This Row],[Dada a seguinte lista de itens, você poderia informar  a quantidade de cada um que há em sua casa? '[Banheiros']]:[Sua casa tem acesso aos seguintes serviços públicos? '[Rua pavimentada']]])</f>
        <v>66</v>
      </c>
      <c r="AM27">
        <v>66</v>
      </c>
      <c r="AN27">
        <f t="shared" si="0"/>
        <v>0</v>
      </c>
      <c r="AQ27" t="s">
        <v>56</v>
      </c>
    </row>
    <row r="28" spans="1:43">
      <c r="A28" s="2">
        <v>45456.561383668981</v>
      </c>
      <c r="B28" s="1" t="s">
        <v>63</v>
      </c>
      <c r="C28" s="1" t="s">
        <v>37</v>
      </c>
      <c r="D28" s="1" t="s">
        <v>37</v>
      </c>
      <c r="E28" s="1" t="s">
        <v>37</v>
      </c>
      <c r="F28" s="1" t="s">
        <v>38</v>
      </c>
      <c r="G28" s="1">
        <v>1</v>
      </c>
      <c r="H28" s="1">
        <v>1</v>
      </c>
      <c r="I28" s="1">
        <v>1</v>
      </c>
      <c r="J28" s="1">
        <v>1</v>
      </c>
      <c r="K28" s="1">
        <v>1</v>
      </c>
      <c r="L28" s="1" t="s">
        <v>151</v>
      </c>
      <c r="M28" s="1">
        <v>4</v>
      </c>
      <c r="N28" s="1" t="s">
        <v>152</v>
      </c>
      <c r="O28" s="1">
        <v>5</v>
      </c>
      <c r="P28" s="1">
        <v>5</v>
      </c>
      <c r="Q28" s="1" t="s">
        <v>41</v>
      </c>
      <c r="R28" s="1">
        <v>7</v>
      </c>
      <c r="S28" s="1">
        <v>3</v>
      </c>
      <c r="T28" s="1">
        <v>3</v>
      </c>
      <c r="U28" s="1">
        <v>3</v>
      </c>
      <c r="V28" s="1">
        <v>0</v>
      </c>
      <c r="W28" s="1">
        <v>2</v>
      </c>
      <c r="X28" s="1">
        <v>0</v>
      </c>
      <c r="Y28" s="1">
        <v>2</v>
      </c>
      <c r="Z28" s="1">
        <v>0</v>
      </c>
      <c r="AA28" s="1">
        <v>2</v>
      </c>
      <c r="AB28" s="1">
        <v>0</v>
      </c>
      <c r="AC28" s="1">
        <v>0</v>
      </c>
      <c r="AD28" s="1">
        <v>7</v>
      </c>
      <c r="AE28" s="1">
        <v>4</v>
      </c>
      <c r="AF28" s="1">
        <v>2</v>
      </c>
      <c r="AG28" s="1" t="s">
        <v>153</v>
      </c>
      <c r="AH28" s="1">
        <v>69434450</v>
      </c>
      <c r="AI28" s="1" t="s">
        <v>154</v>
      </c>
      <c r="AL28">
        <f>SUM(Tabela24[[#This Row],[Dada a seguinte lista de itens, você poderia informar  a quantidade de cada um que há em sua casa? '[Banheiros']]:[Sua casa tem acesso aos seguintes serviços públicos? '[Rua pavimentada']]])</f>
        <v>35</v>
      </c>
      <c r="AM28">
        <v>35</v>
      </c>
      <c r="AN28">
        <f t="shared" si="0"/>
        <v>0</v>
      </c>
      <c r="AQ28" t="s">
        <v>62</v>
      </c>
    </row>
    <row r="29" spans="1:43">
      <c r="A29" s="2">
        <v>45456.566878842597</v>
      </c>
      <c r="B29" s="1" t="s">
        <v>98</v>
      </c>
      <c r="C29" s="1" t="s">
        <v>37</v>
      </c>
      <c r="D29" s="1" t="s">
        <v>37</v>
      </c>
      <c r="E29" s="1" t="s">
        <v>37</v>
      </c>
      <c r="F29" s="1" t="s">
        <v>49</v>
      </c>
      <c r="G29" s="1">
        <v>1</v>
      </c>
      <c r="H29" s="1">
        <v>2</v>
      </c>
      <c r="I29" s="1">
        <v>2</v>
      </c>
      <c r="J29" s="1">
        <v>1</v>
      </c>
      <c r="K29" s="1">
        <v>3</v>
      </c>
      <c r="L29" s="1" t="s">
        <v>147</v>
      </c>
      <c r="M29" s="1">
        <v>4</v>
      </c>
      <c r="N29" s="1" t="s">
        <v>155</v>
      </c>
      <c r="O29" s="1">
        <v>4</v>
      </c>
      <c r="P29" s="1">
        <v>3</v>
      </c>
      <c r="Q29" s="1" t="s">
        <v>156</v>
      </c>
      <c r="R29" s="1">
        <v>3</v>
      </c>
      <c r="S29" s="1">
        <v>0</v>
      </c>
      <c r="T29" s="1">
        <v>3</v>
      </c>
      <c r="U29" s="1">
        <v>6</v>
      </c>
      <c r="V29" s="1">
        <v>0</v>
      </c>
      <c r="W29" s="1">
        <v>2</v>
      </c>
      <c r="X29" s="1">
        <v>0</v>
      </c>
      <c r="Y29" s="1">
        <v>2</v>
      </c>
      <c r="Z29" s="1">
        <v>0</v>
      </c>
      <c r="AA29" s="1">
        <v>2</v>
      </c>
      <c r="AB29" s="1">
        <v>0</v>
      </c>
      <c r="AC29" s="1">
        <v>0</v>
      </c>
      <c r="AD29" s="1">
        <v>1</v>
      </c>
      <c r="AE29" s="1">
        <v>4</v>
      </c>
      <c r="AF29" s="1">
        <v>2</v>
      </c>
      <c r="AG29" s="1" t="s">
        <v>158</v>
      </c>
      <c r="AH29" s="1">
        <v>11966030329</v>
      </c>
      <c r="AI29" s="1" t="s">
        <v>159</v>
      </c>
      <c r="AL29">
        <f>SUM(Tabela24[[#This Row],[Dada a seguinte lista de itens, você poderia informar  a quantidade de cada um que há em sua casa? '[Banheiros']]:[Sua casa tem acesso aos seguintes serviços públicos? '[Rua pavimentada']]])</f>
        <v>25</v>
      </c>
      <c r="AM29">
        <v>25</v>
      </c>
      <c r="AN29">
        <f t="shared" si="0"/>
        <v>0</v>
      </c>
      <c r="AQ29" t="s">
        <v>79</v>
      </c>
    </row>
    <row r="30" spans="1:43">
      <c r="A30" s="2">
        <v>45456.571969965276</v>
      </c>
      <c r="B30" s="1" t="s">
        <v>98</v>
      </c>
      <c r="C30" s="1" t="s">
        <v>37</v>
      </c>
      <c r="D30" s="1" t="s">
        <v>37</v>
      </c>
      <c r="E30" s="1" t="s">
        <v>37</v>
      </c>
      <c r="F30" s="1" t="s">
        <v>69</v>
      </c>
      <c r="G30" s="1">
        <v>2</v>
      </c>
      <c r="H30" s="1">
        <v>4</v>
      </c>
      <c r="I30" s="1">
        <v>3</v>
      </c>
      <c r="J30" s="1">
        <v>1</v>
      </c>
      <c r="K30" s="1">
        <v>5</v>
      </c>
      <c r="L30" s="1" t="s">
        <v>160</v>
      </c>
      <c r="M30" s="1">
        <v>3</v>
      </c>
      <c r="N30" s="1" t="s">
        <v>161</v>
      </c>
      <c r="O30" s="1">
        <v>4</v>
      </c>
      <c r="P30" s="1">
        <v>4</v>
      </c>
      <c r="Q30" s="1" t="s">
        <v>66</v>
      </c>
      <c r="R30" s="1">
        <v>7</v>
      </c>
      <c r="S30" s="1">
        <v>0</v>
      </c>
      <c r="T30" s="1">
        <v>0</v>
      </c>
      <c r="U30" s="1">
        <v>8</v>
      </c>
      <c r="V30" s="1">
        <v>0</v>
      </c>
      <c r="W30" s="1">
        <v>2</v>
      </c>
      <c r="X30" s="1">
        <v>2</v>
      </c>
      <c r="Y30" s="1">
        <v>2</v>
      </c>
      <c r="Z30" s="1">
        <v>0</v>
      </c>
      <c r="AA30" s="1">
        <v>2</v>
      </c>
      <c r="AB30" s="1">
        <v>0</v>
      </c>
      <c r="AC30" s="1">
        <v>0</v>
      </c>
      <c r="AD30" s="1">
        <v>7</v>
      </c>
      <c r="AE30" s="1">
        <v>4</v>
      </c>
      <c r="AF30" s="1">
        <v>2</v>
      </c>
      <c r="AG30" s="1" t="s">
        <v>162</v>
      </c>
      <c r="AH30" s="1">
        <v>11959771884</v>
      </c>
      <c r="AI30" s="1" t="s">
        <v>163</v>
      </c>
      <c r="AL30">
        <f>SUM(Tabela24[[#This Row],[Dada a seguinte lista de itens, você poderia informar  a quantidade de cada um que há em sua casa? '[Banheiros']]:[Sua casa tem acesso aos seguintes serviços públicos? '[Rua pavimentada']]])</f>
        <v>36</v>
      </c>
      <c r="AM30">
        <v>36</v>
      </c>
      <c r="AN30">
        <f t="shared" si="0"/>
        <v>0</v>
      </c>
      <c r="AQ30" t="s">
        <v>62</v>
      </c>
    </row>
    <row r="31" spans="1:43">
      <c r="A31" s="2">
        <v>45456.5788009838</v>
      </c>
      <c r="B31" s="1" t="s">
        <v>36</v>
      </c>
      <c r="C31" s="1" t="s">
        <v>37</v>
      </c>
      <c r="D31" s="1" t="s">
        <v>37</v>
      </c>
      <c r="E31" s="1" t="s">
        <v>37</v>
      </c>
      <c r="F31" s="1" t="s">
        <v>89</v>
      </c>
      <c r="G31" s="1">
        <v>3</v>
      </c>
      <c r="H31" s="1">
        <v>2</v>
      </c>
      <c r="I31" s="1">
        <v>1</v>
      </c>
      <c r="J31" s="1">
        <v>1</v>
      </c>
      <c r="K31" s="1">
        <v>4</v>
      </c>
      <c r="L31" s="1" t="s">
        <v>164</v>
      </c>
      <c r="M31" s="1">
        <v>4</v>
      </c>
      <c r="N31" s="1" t="s">
        <v>165</v>
      </c>
      <c r="O31" s="1">
        <v>4</v>
      </c>
      <c r="P31" s="1">
        <v>3</v>
      </c>
      <c r="Q31" s="1" t="s">
        <v>66</v>
      </c>
      <c r="R31" s="1">
        <v>7</v>
      </c>
      <c r="S31" s="1">
        <v>0</v>
      </c>
      <c r="T31" s="1">
        <v>3</v>
      </c>
      <c r="U31" s="1">
        <v>3</v>
      </c>
      <c r="V31" s="1">
        <v>0</v>
      </c>
      <c r="W31" s="1">
        <v>2</v>
      </c>
      <c r="X31" s="1">
        <v>2</v>
      </c>
      <c r="Y31" s="1">
        <v>2</v>
      </c>
      <c r="Z31" s="1">
        <v>0</v>
      </c>
      <c r="AA31" s="1">
        <v>2</v>
      </c>
      <c r="AB31" s="1">
        <v>0</v>
      </c>
      <c r="AC31" s="1">
        <v>0</v>
      </c>
      <c r="AD31" s="1">
        <v>7</v>
      </c>
      <c r="AE31" s="1">
        <v>4</v>
      </c>
      <c r="AF31" s="1">
        <v>2</v>
      </c>
      <c r="AG31" s="1" t="s">
        <v>166</v>
      </c>
      <c r="AH31" s="1">
        <v>11942985221</v>
      </c>
      <c r="AI31" s="1" t="s">
        <v>167</v>
      </c>
      <c r="AL31">
        <f>SUM(Tabela24[[#This Row],[Dada a seguinte lista de itens, você poderia informar  a quantidade de cada um que há em sua casa? '[Banheiros']]:[Sua casa tem acesso aos seguintes serviços públicos? '[Rua pavimentada']]])</f>
        <v>34</v>
      </c>
      <c r="AM31">
        <v>34</v>
      </c>
      <c r="AN31">
        <f t="shared" si="0"/>
        <v>0</v>
      </c>
      <c r="AQ31" t="s">
        <v>62</v>
      </c>
    </row>
    <row r="32" spans="1:43">
      <c r="A32" s="2">
        <v>45456.582005173608</v>
      </c>
      <c r="B32" s="1" t="s">
        <v>98</v>
      </c>
      <c r="C32" s="1" t="s">
        <v>37</v>
      </c>
      <c r="D32" s="1" t="s">
        <v>37</v>
      </c>
      <c r="E32" s="1" t="s">
        <v>37</v>
      </c>
      <c r="F32" s="1" t="s">
        <v>49</v>
      </c>
      <c r="G32" s="1">
        <v>4</v>
      </c>
      <c r="H32" s="1">
        <v>2</v>
      </c>
      <c r="I32" s="1">
        <v>2</v>
      </c>
      <c r="J32" s="1">
        <v>1</v>
      </c>
      <c r="K32" s="1">
        <v>4</v>
      </c>
      <c r="L32" s="1" t="s">
        <v>131</v>
      </c>
      <c r="M32" s="1">
        <v>2</v>
      </c>
      <c r="N32" s="1" t="s">
        <v>58</v>
      </c>
      <c r="O32" s="1">
        <v>5</v>
      </c>
      <c r="P32" s="1">
        <v>3</v>
      </c>
      <c r="Q32" s="1" t="s">
        <v>41</v>
      </c>
      <c r="R32" s="1">
        <v>14</v>
      </c>
      <c r="S32" s="1">
        <v>3</v>
      </c>
      <c r="T32" s="1">
        <v>3</v>
      </c>
      <c r="U32" s="1">
        <v>6</v>
      </c>
      <c r="V32" s="1">
        <v>3</v>
      </c>
      <c r="W32" s="1">
        <v>2</v>
      </c>
      <c r="X32" s="1">
        <v>2</v>
      </c>
      <c r="Y32" s="1">
        <v>2</v>
      </c>
      <c r="Z32" s="1">
        <v>1</v>
      </c>
      <c r="AA32" s="1">
        <v>2</v>
      </c>
      <c r="AB32" s="1">
        <v>0</v>
      </c>
      <c r="AC32" s="1">
        <v>0</v>
      </c>
      <c r="AD32" s="1">
        <v>7</v>
      </c>
      <c r="AE32" s="1">
        <v>4</v>
      </c>
      <c r="AF32" s="1">
        <v>2</v>
      </c>
      <c r="AG32" s="1" t="s">
        <v>168</v>
      </c>
      <c r="AH32" s="1">
        <v>11960724606</v>
      </c>
      <c r="AI32" s="1" t="s">
        <v>82</v>
      </c>
      <c r="AL32">
        <f>SUM(Tabela24[[#This Row],[Dada a seguinte lista de itens, você poderia informar  a quantidade de cada um que há em sua casa? '[Banheiros']]:[Sua casa tem acesso aos seguintes serviços públicos? '[Rua pavimentada']]])</f>
        <v>51</v>
      </c>
      <c r="AM32">
        <v>51</v>
      </c>
      <c r="AN32">
        <f t="shared" si="0"/>
        <v>0</v>
      </c>
      <c r="AQ32" t="s">
        <v>56</v>
      </c>
    </row>
    <row r="33" spans="1:43">
      <c r="A33" s="2">
        <v>45456.653039027777</v>
      </c>
      <c r="B33" s="1" t="s">
        <v>169</v>
      </c>
      <c r="C33" s="1" t="s">
        <v>37</v>
      </c>
      <c r="D33" s="1" t="s">
        <v>37</v>
      </c>
      <c r="E33" s="1" t="s">
        <v>37</v>
      </c>
      <c r="F33" s="1" t="s">
        <v>89</v>
      </c>
      <c r="G33" s="1">
        <v>5</v>
      </c>
      <c r="H33" s="1">
        <v>4</v>
      </c>
      <c r="I33" s="1">
        <v>4</v>
      </c>
      <c r="J33" s="1">
        <v>1</v>
      </c>
      <c r="K33" s="1">
        <v>3</v>
      </c>
      <c r="L33" s="1" t="s">
        <v>94</v>
      </c>
      <c r="M33" s="1">
        <v>5</v>
      </c>
      <c r="N33" s="1" t="s">
        <v>170</v>
      </c>
      <c r="O33" s="1">
        <v>5</v>
      </c>
      <c r="P33" s="1">
        <v>5</v>
      </c>
      <c r="Q33" s="1" t="s">
        <v>41</v>
      </c>
      <c r="R33" s="1">
        <v>10</v>
      </c>
      <c r="S33" s="1">
        <v>3</v>
      </c>
      <c r="T33" s="1">
        <v>5</v>
      </c>
      <c r="U33" s="1">
        <v>6</v>
      </c>
      <c r="V33" s="1">
        <v>3</v>
      </c>
      <c r="W33" s="1">
        <v>2</v>
      </c>
      <c r="X33" s="1">
        <v>2</v>
      </c>
      <c r="Y33" s="1">
        <v>2</v>
      </c>
      <c r="Z33" s="1">
        <v>1</v>
      </c>
      <c r="AA33" s="1">
        <v>2</v>
      </c>
      <c r="AB33" s="1">
        <v>0</v>
      </c>
      <c r="AC33" s="1">
        <v>2</v>
      </c>
      <c r="AD33" s="1">
        <v>7</v>
      </c>
      <c r="AE33" s="1">
        <v>4</v>
      </c>
      <c r="AF33" s="1">
        <v>2</v>
      </c>
      <c r="AG33" s="1" t="s">
        <v>171</v>
      </c>
      <c r="AH33" s="1">
        <v>11996574080</v>
      </c>
      <c r="AI33" s="1" t="s">
        <v>172</v>
      </c>
      <c r="AL33">
        <f>SUM(Tabela24[[#This Row],[Dada a seguinte lista de itens, você poderia informar  a quantidade de cada um que há em sua casa? '[Banheiros']]:[Sua casa tem acesso aos seguintes serviços públicos? '[Rua pavimentada']]])</f>
        <v>51</v>
      </c>
      <c r="AM33">
        <v>51</v>
      </c>
      <c r="AN33">
        <f t="shared" si="0"/>
        <v>0</v>
      </c>
      <c r="AQ33" t="s">
        <v>56</v>
      </c>
    </row>
    <row r="34" spans="1:43">
      <c r="A34" s="2">
        <v>45456.756419155092</v>
      </c>
      <c r="B34" s="1" t="s">
        <v>36</v>
      </c>
      <c r="C34" s="1" t="s">
        <v>37</v>
      </c>
      <c r="D34" s="1" t="s">
        <v>37</v>
      </c>
      <c r="E34" s="1" t="s">
        <v>37</v>
      </c>
      <c r="F34" s="1" t="s">
        <v>89</v>
      </c>
      <c r="G34" s="1">
        <v>3</v>
      </c>
      <c r="H34" s="1">
        <v>3</v>
      </c>
      <c r="I34" s="1">
        <v>5</v>
      </c>
      <c r="J34" s="1">
        <v>1</v>
      </c>
      <c r="K34" s="1">
        <v>5</v>
      </c>
      <c r="L34" s="1" t="s">
        <v>173</v>
      </c>
      <c r="M34" s="1">
        <v>3</v>
      </c>
      <c r="N34" s="1" t="s">
        <v>174</v>
      </c>
      <c r="O34" s="1">
        <v>5</v>
      </c>
      <c r="P34" s="1">
        <v>3</v>
      </c>
      <c r="Q34" s="1" t="s">
        <v>41</v>
      </c>
      <c r="R34" s="1">
        <v>10</v>
      </c>
      <c r="S34" s="1">
        <v>3</v>
      </c>
      <c r="T34" s="1">
        <v>3</v>
      </c>
      <c r="U34" s="1">
        <v>3</v>
      </c>
      <c r="V34" s="1">
        <v>3</v>
      </c>
      <c r="W34" s="1">
        <v>2</v>
      </c>
      <c r="X34" s="1">
        <v>2</v>
      </c>
      <c r="Y34" s="1">
        <v>2</v>
      </c>
      <c r="Z34" s="1">
        <v>0</v>
      </c>
      <c r="AA34" s="1">
        <v>2</v>
      </c>
      <c r="AB34" s="1">
        <v>0</v>
      </c>
      <c r="AC34" s="1">
        <v>0</v>
      </c>
      <c r="AD34" s="1">
        <v>7</v>
      </c>
      <c r="AE34" s="1">
        <v>4</v>
      </c>
      <c r="AF34" s="1">
        <v>2</v>
      </c>
      <c r="AG34" s="1" t="s">
        <v>175</v>
      </c>
      <c r="AH34" s="1">
        <v>11999858065</v>
      </c>
      <c r="AI34" s="1" t="s">
        <v>176</v>
      </c>
      <c r="AL34">
        <f>SUM(Tabela24[[#This Row],[Dada a seguinte lista de itens, você poderia informar  a quantidade de cada um que há em sua casa? '[Banheiros']]:[Sua casa tem acesso aos seguintes serviços públicos? '[Rua pavimentada']]])</f>
        <v>43</v>
      </c>
      <c r="AM34">
        <v>43</v>
      </c>
      <c r="AN34">
        <f t="shared" ref="AN34:AN65" si="1">COUNTIFS(AM34,"&gt;=0",AM34, "&lt;=16")</f>
        <v>0</v>
      </c>
      <c r="AQ34" t="s">
        <v>48</v>
      </c>
    </row>
    <row r="35" spans="1:43">
      <c r="A35" s="2">
        <v>45456.940240763885</v>
      </c>
      <c r="B35" s="1" t="s">
        <v>98</v>
      </c>
      <c r="C35" s="1" t="s">
        <v>37</v>
      </c>
      <c r="D35" s="1" t="s">
        <v>37</v>
      </c>
      <c r="E35" s="1" t="s">
        <v>37</v>
      </c>
      <c r="F35" s="1" t="s">
        <v>49</v>
      </c>
      <c r="G35" s="1">
        <v>3</v>
      </c>
      <c r="H35" s="1">
        <v>4</v>
      </c>
      <c r="I35" s="1">
        <v>3</v>
      </c>
      <c r="J35" s="1">
        <v>1</v>
      </c>
      <c r="K35" s="1">
        <v>4</v>
      </c>
      <c r="L35" s="1" t="s">
        <v>177</v>
      </c>
      <c r="M35" s="1">
        <v>5</v>
      </c>
      <c r="N35" s="1" t="s">
        <v>178</v>
      </c>
      <c r="O35" s="1">
        <v>4</v>
      </c>
      <c r="P35" s="1">
        <v>5</v>
      </c>
      <c r="Q35" s="1" t="s">
        <v>66</v>
      </c>
      <c r="R35" s="1">
        <v>14</v>
      </c>
      <c r="S35" s="1">
        <v>3</v>
      </c>
      <c r="T35" s="1">
        <v>3</v>
      </c>
      <c r="U35" s="1">
        <v>3</v>
      </c>
      <c r="V35" s="1">
        <v>3</v>
      </c>
      <c r="W35" s="1">
        <v>2</v>
      </c>
      <c r="X35" s="1">
        <v>2</v>
      </c>
      <c r="Y35" s="1">
        <v>2</v>
      </c>
      <c r="Z35" s="1">
        <v>0</v>
      </c>
      <c r="AA35" s="1">
        <v>2</v>
      </c>
      <c r="AB35" s="1">
        <v>0</v>
      </c>
      <c r="AC35" s="1">
        <v>2</v>
      </c>
      <c r="AD35" s="1">
        <v>7</v>
      </c>
      <c r="AE35" s="1">
        <v>4</v>
      </c>
      <c r="AF35" s="1">
        <v>2</v>
      </c>
      <c r="AG35" s="1" t="s">
        <v>179</v>
      </c>
      <c r="AH35" s="1">
        <v>11964896385</v>
      </c>
      <c r="AI35" s="1" t="s">
        <v>180</v>
      </c>
      <c r="AL35">
        <f>SUM(Tabela24[[#This Row],[Dada a seguinte lista de itens, você poderia informar  a quantidade de cada um que há em sua casa? '[Banheiros']]:[Sua casa tem acesso aos seguintes serviços públicos? '[Rua pavimentada']]])</f>
        <v>49</v>
      </c>
      <c r="AM35">
        <v>49</v>
      </c>
      <c r="AN35">
        <f t="shared" si="1"/>
        <v>0</v>
      </c>
      <c r="AQ35" t="s">
        <v>56</v>
      </c>
    </row>
    <row r="36" spans="1:43">
      <c r="A36" s="2">
        <v>45457.419641354165</v>
      </c>
      <c r="B36" s="1" t="s">
        <v>36</v>
      </c>
      <c r="C36" s="1" t="s">
        <v>37</v>
      </c>
      <c r="D36" s="1" t="s">
        <v>37</v>
      </c>
      <c r="E36" s="1" t="s">
        <v>37</v>
      </c>
      <c r="F36" s="1" t="s">
        <v>49</v>
      </c>
      <c r="G36" s="1">
        <v>4</v>
      </c>
      <c r="H36" s="1">
        <v>4</v>
      </c>
      <c r="I36" s="1">
        <v>2</v>
      </c>
      <c r="J36" s="1">
        <v>2</v>
      </c>
      <c r="K36" s="1">
        <v>4</v>
      </c>
      <c r="L36" s="1" t="s">
        <v>181</v>
      </c>
      <c r="M36" s="1">
        <v>4</v>
      </c>
      <c r="N36" s="1" t="s">
        <v>155</v>
      </c>
      <c r="O36" s="1">
        <v>3</v>
      </c>
      <c r="P36" s="1">
        <v>3</v>
      </c>
      <c r="Q36" s="1" t="s">
        <v>41</v>
      </c>
      <c r="R36" s="1">
        <v>10</v>
      </c>
      <c r="S36" s="1">
        <v>3</v>
      </c>
      <c r="T36" s="1">
        <v>3</v>
      </c>
      <c r="U36" s="1">
        <v>3</v>
      </c>
      <c r="V36" s="1">
        <v>0</v>
      </c>
      <c r="W36" s="1">
        <v>2</v>
      </c>
      <c r="X36" s="1">
        <v>2</v>
      </c>
      <c r="Y36" s="1">
        <v>2</v>
      </c>
      <c r="Z36" s="1">
        <v>1</v>
      </c>
      <c r="AA36" s="1">
        <v>2</v>
      </c>
      <c r="AB36" s="1">
        <v>0</v>
      </c>
      <c r="AC36" s="1">
        <v>2</v>
      </c>
      <c r="AD36" s="1">
        <v>7</v>
      </c>
      <c r="AE36" s="1">
        <v>4</v>
      </c>
      <c r="AF36" s="1">
        <v>2</v>
      </c>
      <c r="AG36" s="1" t="s">
        <v>182</v>
      </c>
      <c r="AH36" s="1">
        <v>31997851433</v>
      </c>
      <c r="AI36" s="1" t="s">
        <v>183</v>
      </c>
      <c r="AL36">
        <f>SUM(Tabela24[[#This Row],[Dada a seguinte lista de itens, você poderia informar  a quantidade de cada um que há em sua casa? '[Banheiros']]:[Sua casa tem acesso aos seguintes serviços públicos? '[Rua pavimentada']]])</f>
        <v>43</v>
      </c>
      <c r="AM36">
        <v>43</v>
      </c>
      <c r="AN36">
        <f t="shared" si="1"/>
        <v>0</v>
      </c>
      <c r="AQ36" t="s">
        <v>48</v>
      </c>
    </row>
    <row r="37" spans="1:43">
      <c r="A37" s="2">
        <v>45457.451082685184</v>
      </c>
      <c r="B37" s="1" t="s">
        <v>36</v>
      </c>
      <c r="C37" s="1" t="s">
        <v>37</v>
      </c>
      <c r="D37" s="1" t="s">
        <v>37</v>
      </c>
      <c r="E37" s="1" t="s">
        <v>37</v>
      </c>
      <c r="F37" s="1" t="s">
        <v>69</v>
      </c>
      <c r="G37" s="1">
        <v>5</v>
      </c>
      <c r="H37" s="1">
        <v>4</v>
      </c>
      <c r="I37" s="1">
        <v>2</v>
      </c>
      <c r="J37" s="1">
        <v>1</v>
      </c>
      <c r="K37" s="1">
        <v>5</v>
      </c>
      <c r="L37" s="1" t="s">
        <v>94</v>
      </c>
      <c r="M37" s="1">
        <v>3</v>
      </c>
      <c r="N37" s="1" t="s">
        <v>184</v>
      </c>
      <c r="O37" s="1">
        <v>4</v>
      </c>
      <c r="P37" s="1">
        <v>4</v>
      </c>
      <c r="Q37" s="1" t="s">
        <v>41</v>
      </c>
      <c r="R37" s="1">
        <v>3</v>
      </c>
      <c r="S37" s="1">
        <v>0</v>
      </c>
      <c r="T37" s="1">
        <v>0</v>
      </c>
      <c r="U37" s="1">
        <v>8</v>
      </c>
      <c r="V37" s="1">
        <v>0</v>
      </c>
      <c r="W37" s="1">
        <v>2</v>
      </c>
      <c r="X37" s="1">
        <v>2</v>
      </c>
      <c r="Y37" s="1">
        <v>2</v>
      </c>
      <c r="Z37" s="1">
        <v>1</v>
      </c>
      <c r="AA37" s="1">
        <v>2</v>
      </c>
      <c r="AB37" s="1">
        <v>1</v>
      </c>
      <c r="AC37" s="1">
        <v>2</v>
      </c>
      <c r="AD37" s="1">
        <v>7</v>
      </c>
      <c r="AE37" s="1">
        <v>4</v>
      </c>
      <c r="AF37" s="1">
        <v>2</v>
      </c>
      <c r="AG37" s="1" t="s">
        <v>185</v>
      </c>
      <c r="AH37" s="1">
        <v>11966681659</v>
      </c>
      <c r="AI37" s="1" t="s">
        <v>186</v>
      </c>
      <c r="AL37">
        <f>SUM(Tabela24[[#This Row],[Dada a seguinte lista de itens, você poderia informar  a quantidade de cada um que há em sua casa? '[Banheiros']]:[Sua casa tem acesso aos seguintes serviços públicos? '[Rua pavimentada']]])</f>
        <v>36</v>
      </c>
      <c r="AM37">
        <v>36</v>
      </c>
      <c r="AN37">
        <f t="shared" si="1"/>
        <v>0</v>
      </c>
      <c r="AQ37" t="s">
        <v>62</v>
      </c>
    </row>
    <row r="38" spans="1:43">
      <c r="A38" s="2">
        <v>45457.510615856481</v>
      </c>
      <c r="B38" s="1" t="s">
        <v>63</v>
      </c>
      <c r="C38" s="1" t="s">
        <v>37</v>
      </c>
      <c r="D38" s="1" t="s">
        <v>37</v>
      </c>
      <c r="E38" s="1" t="s">
        <v>37</v>
      </c>
      <c r="F38" s="1" t="s">
        <v>89</v>
      </c>
      <c r="G38" s="1">
        <v>5</v>
      </c>
      <c r="H38" s="1">
        <v>5</v>
      </c>
      <c r="I38" s="1">
        <v>3</v>
      </c>
      <c r="J38" s="1">
        <v>1</v>
      </c>
      <c r="K38" s="1">
        <v>1</v>
      </c>
      <c r="L38" s="1" t="s">
        <v>173</v>
      </c>
      <c r="M38" s="1">
        <v>4</v>
      </c>
      <c r="N38" s="1" t="s">
        <v>187</v>
      </c>
      <c r="O38" s="1">
        <v>5</v>
      </c>
      <c r="P38" s="1">
        <v>3</v>
      </c>
      <c r="Q38" s="1" t="s">
        <v>41</v>
      </c>
      <c r="R38" s="1">
        <v>10</v>
      </c>
      <c r="S38" s="1">
        <v>3</v>
      </c>
      <c r="T38" s="1">
        <v>5</v>
      </c>
      <c r="U38" s="1">
        <v>8</v>
      </c>
      <c r="V38" s="1">
        <v>0</v>
      </c>
      <c r="W38" s="1">
        <v>5</v>
      </c>
      <c r="X38" s="1">
        <v>0</v>
      </c>
      <c r="Y38" s="1">
        <v>4</v>
      </c>
      <c r="Z38" s="1">
        <v>0</v>
      </c>
      <c r="AA38" s="1">
        <v>4</v>
      </c>
      <c r="AB38" s="1">
        <v>1</v>
      </c>
      <c r="AC38" s="1">
        <v>2</v>
      </c>
      <c r="AD38" s="1">
        <v>4</v>
      </c>
      <c r="AE38" s="1">
        <v>4</v>
      </c>
      <c r="AF38" s="1">
        <v>2</v>
      </c>
      <c r="AG38" s="1" t="s">
        <v>188</v>
      </c>
      <c r="AH38" s="1">
        <v>11974829212</v>
      </c>
      <c r="AI38" s="1" t="s">
        <v>189</v>
      </c>
      <c r="AL38">
        <f>SUM(Tabela24[[#This Row],[Dada a seguinte lista de itens, você poderia informar  a quantidade de cada um que há em sua casa? '[Banheiros']]:[Sua casa tem acesso aos seguintes serviços públicos? '[Rua pavimentada']]])</f>
        <v>52</v>
      </c>
      <c r="AM38">
        <v>52</v>
      </c>
      <c r="AN38">
        <f t="shared" si="1"/>
        <v>0</v>
      </c>
      <c r="AQ38" t="s">
        <v>56</v>
      </c>
    </row>
    <row r="39" spans="1:43">
      <c r="A39" s="2">
        <v>45457.511890752314</v>
      </c>
      <c r="B39" s="1" t="s">
        <v>36</v>
      </c>
      <c r="C39" s="1" t="s">
        <v>37</v>
      </c>
      <c r="D39" s="1" t="s">
        <v>37</v>
      </c>
      <c r="E39" s="1" t="s">
        <v>37</v>
      </c>
      <c r="F39" s="1" t="s">
        <v>84</v>
      </c>
      <c r="G39" s="1">
        <v>1</v>
      </c>
      <c r="H39" s="1">
        <v>1</v>
      </c>
      <c r="I39" s="1">
        <v>1</v>
      </c>
      <c r="J39" s="1">
        <v>1</v>
      </c>
      <c r="K39" s="1">
        <v>4</v>
      </c>
      <c r="L39" s="1" t="s">
        <v>147</v>
      </c>
      <c r="M39" s="1">
        <v>2</v>
      </c>
      <c r="N39" s="1" t="s">
        <v>190</v>
      </c>
      <c r="O39" s="1">
        <v>3</v>
      </c>
      <c r="P39" s="1">
        <v>3</v>
      </c>
      <c r="Q39" s="1" t="s">
        <v>66</v>
      </c>
      <c r="R39" s="1">
        <v>10</v>
      </c>
      <c r="S39" s="1">
        <v>10</v>
      </c>
      <c r="T39" s="1">
        <v>11</v>
      </c>
      <c r="U39" s="1">
        <v>6</v>
      </c>
      <c r="V39" s="1">
        <v>3</v>
      </c>
      <c r="W39" s="1">
        <v>2</v>
      </c>
      <c r="X39" s="1">
        <v>2</v>
      </c>
      <c r="Y39" s="1">
        <v>2</v>
      </c>
      <c r="Z39" s="1">
        <v>1</v>
      </c>
      <c r="AA39" s="1">
        <v>2</v>
      </c>
      <c r="AB39" s="1">
        <v>1</v>
      </c>
      <c r="AC39" s="1">
        <v>0</v>
      </c>
      <c r="AD39" s="1">
        <v>7</v>
      </c>
      <c r="AE39" s="1">
        <v>4</v>
      </c>
      <c r="AF39" s="1">
        <v>2</v>
      </c>
      <c r="AG39" s="1" t="s">
        <v>191</v>
      </c>
      <c r="AH39" s="1">
        <v>11976078000</v>
      </c>
      <c r="AI39" s="1" t="s">
        <v>192</v>
      </c>
      <c r="AL39">
        <f>SUM(Tabela24[[#This Row],[Dada a seguinte lista de itens, você poderia informar  a quantidade de cada um que há em sua casa? '[Banheiros']]:[Sua casa tem acesso aos seguintes serviços públicos? '[Rua pavimentada']]])</f>
        <v>63</v>
      </c>
      <c r="AM39">
        <v>63</v>
      </c>
      <c r="AN39">
        <f t="shared" si="1"/>
        <v>0</v>
      </c>
      <c r="AQ39" t="s">
        <v>56</v>
      </c>
    </row>
    <row r="40" spans="1:43">
      <c r="A40" s="2">
        <v>45457.518427789357</v>
      </c>
      <c r="B40" s="1" t="s">
        <v>169</v>
      </c>
      <c r="C40" s="1" t="s">
        <v>37</v>
      </c>
      <c r="D40" s="1" t="s">
        <v>37</v>
      </c>
      <c r="E40" s="1" t="s">
        <v>37</v>
      </c>
      <c r="F40" s="1" t="s">
        <v>84</v>
      </c>
      <c r="G40" s="1">
        <v>5</v>
      </c>
      <c r="H40" s="1">
        <v>3</v>
      </c>
      <c r="I40" s="1">
        <v>1</v>
      </c>
      <c r="J40" s="1">
        <v>1</v>
      </c>
      <c r="K40" s="1">
        <v>3</v>
      </c>
      <c r="L40" s="1" t="s">
        <v>57</v>
      </c>
      <c r="M40" s="1">
        <v>5</v>
      </c>
      <c r="N40" s="1" t="s">
        <v>193</v>
      </c>
      <c r="O40" s="1">
        <v>4</v>
      </c>
      <c r="P40" s="1">
        <v>5</v>
      </c>
      <c r="Q40" s="1" t="s">
        <v>66</v>
      </c>
      <c r="R40" s="1">
        <v>7</v>
      </c>
      <c r="S40" s="1">
        <v>3</v>
      </c>
      <c r="T40" s="1">
        <v>3</v>
      </c>
      <c r="U40" s="1">
        <v>6</v>
      </c>
      <c r="V40" s="1">
        <v>3</v>
      </c>
      <c r="W40" s="1">
        <v>3</v>
      </c>
      <c r="X40" s="1">
        <v>2</v>
      </c>
      <c r="Y40" s="1">
        <v>2</v>
      </c>
      <c r="Z40" s="1">
        <v>0</v>
      </c>
      <c r="AA40" s="1">
        <v>0</v>
      </c>
      <c r="AB40" s="1">
        <v>1</v>
      </c>
      <c r="AC40" s="1">
        <v>0</v>
      </c>
      <c r="AD40" s="1">
        <v>7</v>
      </c>
      <c r="AE40" s="1">
        <v>4</v>
      </c>
      <c r="AF40" s="1">
        <v>2</v>
      </c>
      <c r="AG40" s="1" t="s">
        <v>194</v>
      </c>
      <c r="AH40" s="1">
        <v>11964043921</v>
      </c>
      <c r="AI40" s="1" t="s">
        <v>82</v>
      </c>
      <c r="AL40">
        <f>SUM(Tabela24[[#This Row],[Dada a seguinte lista de itens, você poderia informar  a quantidade de cada um que há em sua casa? '[Banheiros']]:[Sua casa tem acesso aos seguintes serviços públicos? '[Rua pavimentada']]])</f>
        <v>43</v>
      </c>
      <c r="AM40">
        <v>43</v>
      </c>
      <c r="AN40">
        <f t="shared" si="1"/>
        <v>0</v>
      </c>
      <c r="AQ40" t="s">
        <v>48</v>
      </c>
    </row>
    <row r="41" spans="1:43">
      <c r="A41" s="2">
        <v>45457.521876516199</v>
      </c>
      <c r="B41" s="1" t="s">
        <v>63</v>
      </c>
      <c r="C41" s="1" t="s">
        <v>37</v>
      </c>
      <c r="D41" s="1" t="s">
        <v>37</v>
      </c>
      <c r="E41" s="1" t="s">
        <v>37</v>
      </c>
      <c r="F41" s="1" t="s">
        <v>69</v>
      </c>
      <c r="G41" s="1">
        <v>5</v>
      </c>
      <c r="H41" s="1">
        <v>3</v>
      </c>
      <c r="I41" s="1">
        <v>3</v>
      </c>
      <c r="J41" s="1">
        <v>2</v>
      </c>
      <c r="K41" s="1">
        <v>5</v>
      </c>
      <c r="L41" s="1" t="s">
        <v>195</v>
      </c>
      <c r="M41" s="1">
        <v>2</v>
      </c>
      <c r="N41" s="1" t="s">
        <v>196</v>
      </c>
      <c r="O41" s="1">
        <v>5</v>
      </c>
      <c r="P41" s="1">
        <v>5</v>
      </c>
      <c r="Q41" s="1" t="s">
        <v>66</v>
      </c>
      <c r="R41" s="1">
        <v>7</v>
      </c>
      <c r="S41" s="1">
        <v>3</v>
      </c>
      <c r="T41" s="1">
        <v>3</v>
      </c>
      <c r="U41" s="1">
        <v>8</v>
      </c>
      <c r="V41" s="1">
        <v>0</v>
      </c>
      <c r="W41" s="1">
        <v>2</v>
      </c>
      <c r="X41" s="1">
        <v>0</v>
      </c>
      <c r="Y41" s="1">
        <v>2</v>
      </c>
      <c r="Z41" s="1">
        <v>0</v>
      </c>
      <c r="AA41" s="1">
        <v>2</v>
      </c>
      <c r="AB41" s="1">
        <v>0</v>
      </c>
      <c r="AC41" s="1">
        <v>0</v>
      </c>
      <c r="AD41" s="1">
        <v>7</v>
      </c>
      <c r="AE41" s="1">
        <v>4</v>
      </c>
      <c r="AF41" s="1">
        <v>2</v>
      </c>
      <c r="AG41" s="1" t="s">
        <v>197</v>
      </c>
      <c r="AH41" s="1">
        <v>11973007738</v>
      </c>
      <c r="AI41" s="1" t="s">
        <v>198</v>
      </c>
      <c r="AL41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41">
        <v>40</v>
      </c>
      <c r="AN41">
        <f t="shared" si="1"/>
        <v>0</v>
      </c>
      <c r="AQ41" t="s">
        <v>48</v>
      </c>
    </row>
    <row r="42" spans="1:43">
      <c r="A42" s="2">
        <v>45457.523536076391</v>
      </c>
      <c r="B42" s="1" t="s">
        <v>63</v>
      </c>
      <c r="C42" s="1" t="s">
        <v>37</v>
      </c>
      <c r="D42" s="1" t="s">
        <v>37</v>
      </c>
      <c r="E42" s="1" t="s">
        <v>37</v>
      </c>
      <c r="F42" s="1" t="s">
        <v>69</v>
      </c>
      <c r="G42" s="1">
        <v>4</v>
      </c>
      <c r="H42" s="1">
        <v>5</v>
      </c>
      <c r="I42" s="1">
        <v>2</v>
      </c>
      <c r="J42" s="1">
        <v>1</v>
      </c>
      <c r="K42" s="1">
        <v>4</v>
      </c>
      <c r="L42" s="1" t="s">
        <v>75</v>
      </c>
      <c r="M42" s="1">
        <v>3</v>
      </c>
      <c r="N42" s="1" t="s">
        <v>199</v>
      </c>
      <c r="O42" s="1">
        <v>4</v>
      </c>
      <c r="P42" s="1">
        <v>4</v>
      </c>
      <c r="Q42" s="1" t="s">
        <v>41</v>
      </c>
      <c r="R42" s="1">
        <v>14</v>
      </c>
      <c r="S42" s="1">
        <v>3</v>
      </c>
      <c r="T42" s="1">
        <v>5</v>
      </c>
      <c r="U42" s="1">
        <v>8</v>
      </c>
      <c r="V42" s="1">
        <v>3</v>
      </c>
      <c r="W42" s="1">
        <v>2</v>
      </c>
      <c r="X42" s="1">
        <v>0</v>
      </c>
      <c r="Y42" s="1">
        <v>2</v>
      </c>
      <c r="Z42" s="1">
        <v>0</v>
      </c>
      <c r="AA42" s="1">
        <v>2</v>
      </c>
      <c r="AB42" s="1">
        <v>0</v>
      </c>
      <c r="AC42" s="1">
        <v>2</v>
      </c>
      <c r="AD42" s="1">
        <v>7</v>
      </c>
      <c r="AE42" s="1">
        <v>4</v>
      </c>
      <c r="AF42" s="1">
        <v>2</v>
      </c>
      <c r="AG42" s="1" t="s">
        <v>200</v>
      </c>
      <c r="AH42" s="1">
        <v>11998654419</v>
      </c>
      <c r="AI42" s="1" t="s">
        <v>201</v>
      </c>
      <c r="AL42">
        <f>SUM(Tabela24[[#This Row],[Dada a seguinte lista de itens, você poderia informar  a quantidade de cada um que há em sua casa? '[Banheiros']]:[Sua casa tem acesso aos seguintes serviços públicos? '[Rua pavimentada']]])</f>
        <v>54</v>
      </c>
      <c r="AM42">
        <v>54</v>
      </c>
      <c r="AN42">
        <f t="shared" si="1"/>
        <v>0</v>
      </c>
      <c r="AQ42" t="s">
        <v>56</v>
      </c>
    </row>
    <row r="43" spans="1:43">
      <c r="A43" s="2">
        <v>45457.525013692131</v>
      </c>
      <c r="B43" s="1" t="s">
        <v>36</v>
      </c>
      <c r="C43" s="1" t="s">
        <v>37</v>
      </c>
      <c r="D43" s="1" t="s">
        <v>37</v>
      </c>
      <c r="E43" s="1" t="s">
        <v>37</v>
      </c>
      <c r="F43" s="1" t="s">
        <v>84</v>
      </c>
      <c r="G43" s="1">
        <v>5</v>
      </c>
      <c r="H43" s="1">
        <v>5</v>
      </c>
      <c r="I43" s="1">
        <v>3</v>
      </c>
      <c r="J43" s="1">
        <v>3</v>
      </c>
      <c r="K43" s="1">
        <v>5</v>
      </c>
      <c r="L43" s="1" t="s">
        <v>118</v>
      </c>
      <c r="M43" s="1">
        <v>4</v>
      </c>
      <c r="N43" s="1" t="s">
        <v>202</v>
      </c>
      <c r="O43" s="1">
        <v>5</v>
      </c>
      <c r="P43" s="1">
        <v>3</v>
      </c>
      <c r="Q43" s="1" t="s">
        <v>66</v>
      </c>
      <c r="R43" s="1">
        <v>3</v>
      </c>
      <c r="S43" s="1">
        <v>0</v>
      </c>
      <c r="T43" s="1">
        <v>0</v>
      </c>
      <c r="U43" s="1">
        <v>0</v>
      </c>
      <c r="V43" s="1">
        <v>0</v>
      </c>
      <c r="W43" s="1">
        <v>2</v>
      </c>
      <c r="X43" s="1">
        <v>0</v>
      </c>
      <c r="Y43" s="1">
        <v>2</v>
      </c>
      <c r="Z43" s="1">
        <v>0</v>
      </c>
      <c r="AA43" s="1">
        <v>2</v>
      </c>
      <c r="AB43" s="1">
        <v>0</v>
      </c>
      <c r="AC43" s="1">
        <v>0</v>
      </c>
      <c r="AD43" s="1">
        <v>4</v>
      </c>
      <c r="AE43" s="1">
        <v>4</v>
      </c>
      <c r="AF43" s="1">
        <v>2</v>
      </c>
      <c r="AG43" s="1" t="s">
        <v>203</v>
      </c>
      <c r="AH43" s="1">
        <v>16996032580</v>
      </c>
      <c r="AI43" s="1" t="s">
        <v>204</v>
      </c>
      <c r="AL43">
        <f>SUM(Tabela24[[#This Row],[Dada a seguinte lista de itens, você poderia informar  a quantidade de cada um que há em sua casa? '[Banheiros']]:[Sua casa tem acesso aos seguintes serviços públicos? '[Rua pavimentada']]])</f>
        <v>19</v>
      </c>
      <c r="AM43">
        <v>19</v>
      </c>
      <c r="AN43">
        <f t="shared" si="1"/>
        <v>0</v>
      </c>
      <c r="AQ43" t="s">
        <v>83</v>
      </c>
    </row>
    <row r="44" spans="1:43">
      <c r="A44" s="2">
        <v>45457.525354050929</v>
      </c>
      <c r="B44" s="1" t="s">
        <v>98</v>
      </c>
      <c r="C44" s="1" t="s">
        <v>37</v>
      </c>
      <c r="D44" s="1" t="s">
        <v>37</v>
      </c>
      <c r="E44" s="1" t="s">
        <v>37</v>
      </c>
      <c r="F44" s="1" t="s">
        <v>49</v>
      </c>
      <c r="G44" s="1">
        <v>4</v>
      </c>
      <c r="H44" s="1">
        <v>1</v>
      </c>
      <c r="I44" s="1">
        <v>1</v>
      </c>
      <c r="J44" s="1">
        <v>1</v>
      </c>
      <c r="K44" s="1">
        <v>1</v>
      </c>
      <c r="L44" s="1" t="s">
        <v>160</v>
      </c>
      <c r="M44" s="1">
        <v>5</v>
      </c>
      <c r="N44" s="1" t="s">
        <v>205</v>
      </c>
      <c r="O44" s="1">
        <v>5</v>
      </c>
      <c r="P44" s="1">
        <v>5</v>
      </c>
      <c r="Q44" s="1" t="s">
        <v>41</v>
      </c>
      <c r="R44" s="1">
        <v>7</v>
      </c>
      <c r="S44" s="1">
        <v>3</v>
      </c>
      <c r="T44" s="1">
        <v>3</v>
      </c>
      <c r="U44" s="1">
        <v>3</v>
      </c>
      <c r="V44" s="1">
        <v>3</v>
      </c>
      <c r="W44" s="1">
        <v>2</v>
      </c>
      <c r="X44" s="1">
        <v>2</v>
      </c>
      <c r="Y44" s="1">
        <v>2</v>
      </c>
      <c r="Z44" s="1">
        <v>0</v>
      </c>
      <c r="AA44" s="1">
        <v>2</v>
      </c>
      <c r="AB44" s="1">
        <v>0</v>
      </c>
      <c r="AC44" s="1">
        <v>2</v>
      </c>
      <c r="AD44" s="1">
        <v>7</v>
      </c>
      <c r="AE44" s="1">
        <v>4</v>
      </c>
      <c r="AF44" s="1">
        <v>2</v>
      </c>
      <c r="AG44" s="1" t="s">
        <v>206</v>
      </c>
      <c r="AH44" s="1">
        <v>13988446264</v>
      </c>
      <c r="AI44" s="1" t="s">
        <v>207</v>
      </c>
      <c r="AL44">
        <f>SUM(Tabela24[[#This Row],[Dada a seguinte lista de itens, você poderia informar  a quantidade de cada um que há em sua casa? '[Banheiros']]:[Sua casa tem acesso aos seguintes serviços públicos? '[Rua pavimentada']]])</f>
        <v>42</v>
      </c>
      <c r="AM44">
        <v>42</v>
      </c>
      <c r="AN44">
        <f t="shared" si="1"/>
        <v>0</v>
      </c>
      <c r="AQ44" t="s">
        <v>48</v>
      </c>
    </row>
    <row r="45" spans="1:43">
      <c r="A45" s="2">
        <v>45457.525724571758</v>
      </c>
      <c r="B45" s="1" t="s">
        <v>98</v>
      </c>
      <c r="C45" s="1" t="s">
        <v>37</v>
      </c>
      <c r="D45" s="1" t="s">
        <v>37</v>
      </c>
      <c r="E45" s="1" t="s">
        <v>37</v>
      </c>
      <c r="F45" s="1" t="s">
        <v>49</v>
      </c>
      <c r="G45" s="1">
        <v>3</v>
      </c>
      <c r="H45" s="1">
        <v>2</v>
      </c>
      <c r="I45" s="1">
        <v>3</v>
      </c>
      <c r="J45" s="1">
        <v>2</v>
      </c>
      <c r="K45" s="1">
        <v>3</v>
      </c>
      <c r="L45" s="1" t="s">
        <v>208</v>
      </c>
      <c r="M45" s="1">
        <v>3</v>
      </c>
      <c r="N45" s="1" t="s">
        <v>209</v>
      </c>
      <c r="O45" s="1">
        <v>3</v>
      </c>
      <c r="P45" s="1">
        <v>4</v>
      </c>
      <c r="Q45" s="1" t="s">
        <v>41</v>
      </c>
      <c r="R45" s="1">
        <v>7</v>
      </c>
      <c r="S45" s="1">
        <v>3</v>
      </c>
      <c r="T45" s="1">
        <v>5</v>
      </c>
      <c r="U45" s="1">
        <v>8</v>
      </c>
      <c r="V45" s="1">
        <v>3</v>
      </c>
      <c r="W45" s="1">
        <v>3</v>
      </c>
      <c r="X45" s="1">
        <v>0</v>
      </c>
      <c r="Y45" s="1">
        <v>2</v>
      </c>
      <c r="Z45" s="1">
        <v>0</v>
      </c>
      <c r="AA45" s="1">
        <v>2</v>
      </c>
      <c r="AB45" s="1">
        <v>0</v>
      </c>
      <c r="AC45" s="1">
        <v>2</v>
      </c>
      <c r="AD45" s="1">
        <v>7</v>
      </c>
      <c r="AE45" s="1">
        <v>4</v>
      </c>
      <c r="AF45" s="1">
        <v>2</v>
      </c>
      <c r="AG45" s="1" t="s">
        <v>210</v>
      </c>
      <c r="AH45" s="1">
        <v>77988091031</v>
      </c>
      <c r="AI45" s="1" t="s">
        <v>211</v>
      </c>
      <c r="AL45">
        <f>SUM(Tabela24[[#This Row],[Dada a seguinte lista de itens, você poderia informar  a quantidade de cada um que há em sua casa? '[Banheiros']]:[Sua casa tem acesso aos seguintes serviços públicos? '[Rua pavimentada']]])</f>
        <v>48</v>
      </c>
      <c r="AM45">
        <v>48</v>
      </c>
      <c r="AN45">
        <f t="shared" si="1"/>
        <v>0</v>
      </c>
      <c r="AQ45" t="s">
        <v>56</v>
      </c>
    </row>
    <row r="46" spans="1:43">
      <c r="A46" s="2">
        <v>45457.531305115743</v>
      </c>
      <c r="B46" s="1" t="s">
        <v>63</v>
      </c>
      <c r="C46" s="1" t="s">
        <v>37</v>
      </c>
      <c r="D46" s="1" t="s">
        <v>37</v>
      </c>
      <c r="E46" s="1" t="s">
        <v>37</v>
      </c>
      <c r="F46" s="1" t="s">
        <v>84</v>
      </c>
      <c r="G46" s="1">
        <v>4</v>
      </c>
      <c r="H46" s="1">
        <v>3</v>
      </c>
      <c r="I46" s="1">
        <v>5</v>
      </c>
      <c r="J46" s="1">
        <v>1</v>
      </c>
      <c r="K46" s="1">
        <v>5</v>
      </c>
      <c r="L46" s="1" t="s">
        <v>50</v>
      </c>
      <c r="M46" s="1">
        <v>4</v>
      </c>
      <c r="N46" s="1" t="s">
        <v>212</v>
      </c>
      <c r="O46" s="1">
        <v>5</v>
      </c>
      <c r="P46" s="1">
        <v>5</v>
      </c>
      <c r="Q46" s="1" t="s">
        <v>41</v>
      </c>
      <c r="R46" s="1">
        <v>14</v>
      </c>
      <c r="S46" s="1">
        <v>0</v>
      </c>
      <c r="T46" s="1">
        <v>0</v>
      </c>
      <c r="U46" s="1">
        <v>6</v>
      </c>
      <c r="V46" s="1">
        <v>0</v>
      </c>
      <c r="W46" s="1">
        <v>2</v>
      </c>
      <c r="X46" s="1">
        <v>2</v>
      </c>
      <c r="Y46" s="1">
        <v>2</v>
      </c>
      <c r="Z46" s="1">
        <v>0</v>
      </c>
      <c r="AA46" s="1">
        <v>2</v>
      </c>
      <c r="AB46" s="1">
        <v>0</v>
      </c>
      <c r="AC46" s="1">
        <v>2</v>
      </c>
      <c r="AD46" s="1">
        <v>7</v>
      </c>
      <c r="AE46" s="1">
        <v>4</v>
      </c>
      <c r="AF46" s="1">
        <v>2</v>
      </c>
      <c r="AG46" s="1" t="s">
        <v>213</v>
      </c>
      <c r="AH46" s="1">
        <v>11961320095</v>
      </c>
      <c r="AI46" s="1" t="s">
        <v>214</v>
      </c>
      <c r="AL46">
        <f>SUM(Tabela24[[#This Row],[Dada a seguinte lista de itens, você poderia informar  a quantidade de cada um que há em sua casa? '[Banheiros']]:[Sua casa tem acesso aos seguintes serviços públicos? '[Rua pavimentada']]])</f>
        <v>43</v>
      </c>
      <c r="AM46">
        <v>43</v>
      </c>
      <c r="AN46">
        <f t="shared" si="1"/>
        <v>0</v>
      </c>
      <c r="AQ46" t="s">
        <v>48</v>
      </c>
    </row>
    <row r="47" spans="1:43">
      <c r="A47" s="2">
        <v>45457.531485254629</v>
      </c>
      <c r="B47" s="1" t="s">
        <v>63</v>
      </c>
      <c r="C47" s="1" t="s">
        <v>37</v>
      </c>
      <c r="D47" s="1" t="s">
        <v>37</v>
      </c>
      <c r="E47" s="1" t="s">
        <v>37</v>
      </c>
      <c r="F47" s="1" t="s">
        <v>69</v>
      </c>
      <c r="G47" s="1">
        <v>4</v>
      </c>
      <c r="H47" s="1">
        <v>3</v>
      </c>
      <c r="I47" s="1">
        <v>2</v>
      </c>
      <c r="J47" s="1">
        <v>1</v>
      </c>
      <c r="K47" s="1">
        <v>2</v>
      </c>
      <c r="L47" s="1" t="s">
        <v>215</v>
      </c>
      <c r="M47" s="1">
        <v>3</v>
      </c>
      <c r="N47" s="1" t="s">
        <v>216</v>
      </c>
      <c r="O47" s="1">
        <v>3</v>
      </c>
      <c r="P47" s="1">
        <v>4</v>
      </c>
      <c r="Q47" s="1" t="s">
        <v>66</v>
      </c>
      <c r="R47" s="1">
        <v>10</v>
      </c>
      <c r="S47" s="1">
        <v>0</v>
      </c>
      <c r="T47" s="1">
        <v>0</v>
      </c>
      <c r="U47" s="1">
        <v>3</v>
      </c>
      <c r="V47" s="1">
        <v>0</v>
      </c>
      <c r="W47" s="1">
        <v>2</v>
      </c>
      <c r="X47" s="1">
        <v>0</v>
      </c>
      <c r="Y47" s="1">
        <v>2</v>
      </c>
      <c r="Z47" s="1">
        <v>0</v>
      </c>
      <c r="AA47" s="1">
        <v>2</v>
      </c>
      <c r="AB47" s="1">
        <v>0</v>
      </c>
      <c r="AC47" s="1">
        <v>2</v>
      </c>
      <c r="AD47" s="1">
        <v>7</v>
      </c>
      <c r="AE47" s="1">
        <v>4</v>
      </c>
      <c r="AF47" s="1">
        <v>2</v>
      </c>
      <c r="AG47" s="1" t="s">
        <v>217</v>
      </c>
      <c r="AH47" s="1">
        <v>11998144834</v>
      </c>
      <c r="AI47" s="1" t="s">
        <v>218</v>
      </c>
      <c r="AL47">
        <f>SUM(Tabela24[[#This Row],[Dada a seguinte lista de itens, você poderia informar  a quantidade de cada um que há em sua casa? '[Banheiros']]:[Sua casa tem acesso aos seguintes serviços públicos? '[Rua pavimentada']]])</f>
        <v>34</v>
      </c>
      <c r="AM47">
        <v>34</v>
      </c>
      <c r="AN47">
        <f t="shared" si="1"/>
        <v>0</v>
      </c>
      <c r="AQ47" t="s">
        <v>62</v>
      </c>
    </row>
    <row r="48" spans="1:43">
      <c r="A48" s="2">
        <v>45457.535810601854</v>
      </c>
      <c r="B48" s="1" t="s">
        <v>36</v>
      </c>
      <c r="C48" s="1" t="s">
        <v>37</v>
      </c>
      <c r="D48" s="1" t="s">
        <v>37</v>
      </c>
      <c r="E48" s="1" t="s">
        <v>37</v>
      </c>
      <c r="F48" s="1" t="s">
        <v>84</v>
      </c>
      <c r="G48" s="1">
        <v>3</v>
      </c>
      <c r="H48" s="1">
        <v>4</v>
      </c>
      <c r="I48" s="1">
        <v>5</v>
      </c>
      <c r="J48" s="1">
        <v>1</v>
      </c>
      <c r="K48" s="1">
        <v>4</v>
      </c>
      <c r="L48" s="1" t="s">
        <v>219</v>
      </c>
      <c r="M48" s="1">
        <v>4</v>
      </c>
      <c r="N48" s="1" t="s">
        <v>111</v>
      </c>
      <c r="O48" s="1">
        <v>4</v>
      </c>
      <c r="P48" s="1">
        <v>4</v>
      </c>
      <c r="Q48" s="1" t="s">
        <v>66</v>
      </c>
      <c r="R48" s="1">
        <v>7</v>
      </c>
      <c r="S48" s="1">
        <v>3</v>
      </c>
      <c r="T48" s="1">
        <v>3</v>
      </c>
      <c r="U48" s="1">
        <v>6</v>
      </c>
      <c r="V48" s="1">
        <v>0</v>
      </c>
      <c r="W48" s="1">
        <v>2</v>
      </c>
      <c r="X48" s="1">
        <v>2</v>
      </c>
      <c r="Y48" s="1">
        <v>2</v>
      </c>
      <c r="Z48" s="1">
        <v>0</v>
      </c>
      <c r="AA48" s="1">
        <v>2</v>
      </c>
      <c r="AB48" s="1">
        <v>0</v>
      </c>
      <c r="AC48" s="1">
        <v>2</v>
      </c>
      <c r="AD48" s="1">
        <v>7</v>
      </c>
      <c r="AE48" s="1">
        <v>4</v>
      </c>
      <c r="AF48" s="1">
        <v>2</v>
      </c>
      <c r="AG48" s="1" t="s">
        <v>220</v>
      </c>
      <c r="AH48" s="1" t="s">
        <v>82</v>
      </c>
      <c r="AI48" s="1" t="s">
        <v>221</v>
      </c>
      <c r="AL48">
        <f>SUM(Tabela24[[#This Row],[Dada a seguinte lista de itens, você poderia informar  a quantidade de cada um que há em sua casa? '[Banheiros']]:[Sua casa tem acesso aos seguintes serviços públicos? '[Rua pavimentada']]])</f>
        <v>42</v>
      </c>
      <c r="AM48">
        <v>42</v>
      </c>
      <c r="AN48">
        <f t="shared" si="1"/>
        <v>0</v>
      </c>
      <c r="AQ48" t="s">
        <v>48</v>
      </c>
    </row>
    <row r="49" spans="1:43">
      <c r="A49" s="2">
        <v>45457.536079062498</v>
      </c>
      <c r="B49" s="1" t="s">
        <v>98</v>
      </c>
      <c r="C49" s="1" t="s">
        <v>37</v>
      </c>
      <c r="D49" s="1" t="s">
        <v>37</v>
      </c>
      <c r="E49" s="1" t="s">
        <v>37</v>
      </c>
      <c r="F49" s="1" t="s">
        <v>38</v>
      </c>
      <c r="G49" s="1">
        <v>3</v>
      </c>
      <c r="H49" s="1">
        <v>5</v>
      </c>
      <c r="I49" s="1">
        <v>5</v>
      </c>
      <c r="J49" s="1">
        <v>5</v>
      </c>
      <c r="K49" s="1">
        <v>1</v>
      </c>
      <c r="L49" s="1" t="s">
        <v>173</v>
      </c>
      <c r="M49" s="1">
        <v>2</v>
      </c>
      <c r="N49" s="1" t="s">
        <v>141</v>
      </c>
      <c r="O49" s="1">
        <v>4</v>
      </c>
      <c r="P49" s="1">
        <v>3</v>
      </c>
      <c r="Q49" s="1" t="s">
        <v>41</v>
      </c>
      <c r="R49" s="1">
        <v>7</v>
      </c>
      <c r="S49" s="1">
        <v>0</v>
      </c>
      <c r="T49" s="1">
        <v>3</v>
      </c>
      <c r="U49" s="1">
        <v>3</v>
      </c>
      <c r="V49" s="1">
        <v>0</v>
      </c>
      <c r="W49" s="1">
        <v>2</v>
      </c>
      <c r="X49" s="1">
        <v>2</v>
      </c>
      <c r="Y49" s="1">
        <v>2</v>
      </c>
      <c r="Z49" s="1">
        <v>1</v>
      </c>
      <c r="AA49" s="1">
        <v>2</v>
      </c>
      <c r="AB49" s="1">
        <v>0</v>
      </c>
      <c r="AC49" s="1">
        <v>0</v>
      </c>
      <c r="AD49" s="1">
        <v>7</v>
      </c>
      <c r="AE49" s="1">
        <v>4</v>
      </c>
      <c r="AF49" s="1">
        <v>2</v>
      </c>
      <c r="AG49" s="1" t="s">
        <v>222</v>
      </c>
      <c r="AH49" s="1">
        <v>11996303060</v>
      </c>
      <c r="AI49" s="1" t="s">
        <v>223</v>
      </c>
      <c r="AL49">
        <f>SUM(Tabela24[[#This Row],[Dada a seguinte lista de itens, você poderia informar  a quantidade de cada um que há em sua casa? '[Banheiros']]:[Sua casa tem acesso aos seguintes serviços públicos? '[Rua pavimentada']]])</f>
        <v>35</v>
      </c>
      <c r="AM49">
        <v>35</v>
      </c>
      <c r="AN49">
        <f t="shared" si="1"/>
        <v>0</v>
      </c>
      <c r="AQ49" t="s">
        <v>62</v>
      </c>
    </row>
    <row r="50" spans="1:43">
      <c r="A50" s="2">
        <v>45457.539471446755</v>
      </c>
      <c r="B50" s="1" t="s">
        <v>169</v>
      </c>
      <c r="C50" s="1" t="s">
        <v>37</v>
      </c>
      <c r="D50" s="1" t="s">
        <v>37</v>
      </c>
      <c r="E50" s="1" t="s">
        <v>37</v>
      </c>
      <c r="F50" s="1" t="s">
        <v>49</v>
      </c>
      <c r="G50" s="1">
        <v>4</v>
      </c>
      <c r="H50" s="1">
        <v>2</v>
      </c>
      <c r="I50" s="1">
        <v>1</v>
      </c>
      <c r="J50" s="1">
        <v>1</v>
      </c>
      <c r="K50" s="1">
        <v>5</v>
      </c>
      <c r="L50" s="1" t="s">
        <v>173</v>
      </c>
      <c r="M50" s="1">
        <v>2</v>
      </c>
      <c r="N50" s="1" t="s">
        <v>76</v>
      </c>
      <c r="O50" s="1">
        <v>1</v>
      </c>
      <c r="P50" s="1">
        <v>3</v>
      </c>
      <c r="Q50" s="1" t="s">
        <v>66</v>
      </c>
      <c r="R50" s="1">
        <v>7</v>
      </c>
      <c r="S50" s="1">
        <v>3</v>
      </c>
      <c r="T50" s="1">
        <v>5</v>
      </c>
      <c r="U50" s="1">
        <v>6</v>
      </c>
      <c r="V50" s="1">
        <v>3</v>
      </c>
      <c r="W50" s="1">
        <v>3</v>
      </c>
      <c r="X50" s="1">
        <v>2</v>
      </c>
      <c r="Y50" s="1">
        <v>2</v>
      </c>
      <c r="Z50" s="1">
        <v>0</v>
      </c>
      <c r="AA50" s="1">
        <v>2</v>
      </c>
      <c r="AB50" s="1">
        <v>0</v>
      </c>
      <c r="AC50" s="1">
        <v>2</v>
      </c>
      <c r="AD50" s="1">
        <v>7</v>
      </c>
      <c r="AE50" s="1">
        <v>4</v>
      </c>
      <c r="AF50" s="1">
        <v>2</v>
      </c>
      <c r="AG50" s="1" t="s">
        <v>224</v>
      </c>
      <c r="AH50" s="1">
        <v>11972827639</v>
      </c>
      <c r="AI50" s="1" t="s">
        <v>225</v>
      </c>
      <c r="AL50">
        <f>SUM(Tabela24[[#This Row],[Dada a seguinte lista de itens, você poderia informar  a quantidade de cada um que há em sua casa? '[Banheiros']]:[Sua casa tem acesso aos seguintes serviços públicos? '[Rua pavimentada']]])</f>
        <v>48</v>
      </c>
      <c r="AM50">
        <v>48</v>
      </c>
      <c r="AN50">
        <f t="shared" si="1"/>
        <v>0</v>
      </c>
      <c r="AQ50" t="s">
        <v>56</v>
      </c>
    </row>
    <row r="51" spans="1:43">
      <c r="A51" s="2">
        <v>45457.539787974536</v>
      </c>
      <c r="B51" s="1" t="s">
        <v>98</v>
      </c>
      <c r="C51" s="1" t="s">
        <v>37</v>
      </c>
      <c r="D51" s="1" t="s">
        <v>37</v>
      </c>
      <c r="E51" s="1" t="s">
        <v>37</v>
      </c>
      <c r="F51" s="1" t="s">
        <v>89</v>
      </c>
      <c r="G51" s="1">
        <v>3</v>
      </c>
      <c r="H51" s="1">
        <v>2</v>
      </c>
      <c r="I51" s="1">
        <v>1</v>
      </c>
      <c r="J51" s="1">
        <v>1</v>
      </c>
      <c r="K51" s="1">
        <v>4</v>
      </c>
      <c r="L51" s="1" t="s">
        <v>226</v>
      </c>
      <c r="M51" s="1">
        <v>3</v>
      </c>
      <c r="N51" s="1" t="s">
        <v>227</v>
      </c>
      <c r="O51" s="1">
        <v>4</v>
      </c>
      <c r="P51" s="1">
        <v>4</v>
      </c>
      <c r="Q51" s="1" t="s">
        <v>41</v>
      </c>
      <c r="R51" s="1">
        <v>10</v>
      </c>
      <c r="S51" s="1">
        <v>3</v>
      </c>
      <c r="T51" s="1">
        <v>0</v>
      </c>
      <c r="U51" s="1">
        <v>6</v>
      </c>
      <c r="V51" s="1">
        <v>0</v>
      </c>
      <c r="W51" s="1">
        <v>2</v>
      </c>
      <c r="X51" s="1">
        <v>2</v>
      </c>
      <c r="Y51" s="1">
        <v>2</v>
      </c>
      <c r="Z51" s="1">
        <v>0</v>
      </c>
      <c r="AA51" s="1">
        <v>2</v>
      </c>
      <c r="AB51" s="1">
        <v>0</v>
      </c>
      <c r="AC51" s="1">
        <v>2</v>
      </c>
      <c r="AD51" s="1">
        <v>7</v>
      </c>
      <c r="AE51" s="1">
        <v>4</v>
      </c>
      <c r="AF51" s="1">
        <v>2</v>
      </c>
      <c r="AG51" s="1" t="s">
        <v>228</v>
      </c>
      <c r="AH51" s="1">
        <v>65999818183</v>
      </c>
      <c r="AI51" s="1" t="s">
        <v>229</v>
      </c>
      <c r="AL51">
        <f>SUM(Tabela24[[#This Row],[Dada a seguinte lista de itens, você poderia informar  a quantidade de cada um que há em sua casa? '[Banheiros']]:[Sua casa tem acesso aos seguintes serviços públicos? '[Rua pavimentada']]])</f>
        <v>42</v>
      </c>
      <c r="AM51">
        <v>42</v>
      </c>
      <c r="AN51">
        <f t="shared" si="1"/>
        <v>0</v>
      </c>
      <c r="AQ51" t="s">
        <v>48</v>
      </c>
    </row>
    <row r="52" spans="1:43">
      <c r="A52" s="2">
        <v>45457.541026643521</v>
      </c>
      <c r="B52" s="1" t="s">
        <v>36</v>
      </c>
      <c r="C52" s="1" t="s">
        <v>37</v>
      </c>
      <c r="D52" s="1" t="s">
        <v>37</v>
      </c>
      <c r="E52" s="1" t="s">
        <v>37</v>
      </c>
      <c r="F52" s="1" t="s">
        <v>84</v>
      </c>
      <c r="G52" s="1">
        <v>1</v>
      </c>
      <c r="H52" s="1">
        <v>5</v>
      </c>
      <c r="I52" s="1">
        <v>1</v>
      </c>
      <c r="J52" s="1">
        <v>1</v>
      </c>
      <c r="K52" s="1">
        <v>5</v>
      </c>
      <c r="L52" s="1" t="s">
        <v>160</v>
      </c>
      <c r="M52" s="1">
        <v>3</v>
      </c>
      <c r="N52" s="1" t="s">
        <v>111</v>
      </c>
      <c r="O52" s="1">
        <v>5</v>
      </c>
      <c r="P52" s="1">
        <v>5</v>
      </c>
      <c r="Q52" s="1" t="s">
        <v>41</v>
      </c>
      <c r="R52" s="1">
        <v>7</v>
      </c>
      <c r="S52" s="1">
        <v>0</v>
      </c>
      <c r="T52" s="1">
        <v>3</v>
      </c>
      <c r="U52" s="1">
        <v>3</v>
      </c>
      <c r="V52" s="1">
        <v>3</v>
      </c>
      <c r="W52" s="1">
        <v>2</v>
      </c>
      <c r="X52" s="1">
        <v>0</v>
      </c>
      <c r="Y52" s="1">
        <v>2</v>
      </c>
      <c r="Z52" s="1">
        <v>0</v>
      </c>
      <c r="AA52" s="1">
        <v>2</v>
      </c>
      <c r="AB52" s="1">
        <v>0</v>
      </c>
      <c r="AC52" s="1">
        <v>2</v>
      </c>
      <c r="AD52" s="1">
        <v>7</v>
      </c>
      <c r="AE52" s="1">
        <v>4</v>
      </c>
      <c r="AF52" s="1">
        <v>2</v>
      </c>
      <c r="AG52" s="1" t="s">
        <v>230</v>
      </c>
      <c r="AH52" s="1">
        <v>11964380157</v>
      </c>
      <c r="AI52" s="1" t="s">
        <v>231</v>
      </c>
      <c r="AL52">
        <f>SUM(Tabela24[[#This Row],[Dada a seguinte lista de itens, você poderia informar  a quantidade de cada um que há em sua casa? '[Banheiros']]:[Sua casa tem acesso aos seguintes serviços públicos? '[Rua pavimentada']]])</f>
        <v>37</v>
      </c>
      <c r="AM52">
        <v>37</v>
      </c>
      <c r="AN52">
        <f t="shared" si="1"/>
        <v>0</v>
      </c>
      <c r="AQ52" t="s">
        <v>62</v>
      </c>
    </row>
    <row r="53" spans="1:43">
      <c r="A53" s="2">
        <v>45457.541070451392</v>
      </c>
      <c r="B53" s="1" t="s">
        <v>63</v>
      </c>
      <c r="C53" s="1" t="s">
        <v>37</v>
      </c>
      <c r="D53" s="1" t="s">
        <v>37</v>
      </c>
      <c r="E53" s="1" t="s">
        <v>37</v>
      </c>
      <c r="F53" s="1" t="s">
        <v>84</v>
      </c>
      <c r="G53" s="1">
        <v>4</v>
      </c>
      <c r="H53" s="1">
        <v>2</v>
      </c>
      <c r="I53" s="1">
        <v>1</v>
      </c>
      <c r="J53" s="1">
        <v>1</v>
      </c>
      <c r="K53" s="1">
        <v>5</v>
      </c>
      <c r="L53" s="1" t="s">
        <v>215</v>
      </c>
      <c r="M53" s="1">
        <v>3</v>
      </c>
      <c r="N53" s="1" t="s">
        <v>232</v>
      </c>
      <c r="O53" s="1">
        <v>5</v>
      </c>
      <c r="P53" s="1">
        <v>4</v>
      </c>
      <c r="Q53" s="1" t="s">
        <v>41</v>
      </c>
      <c r="R53" s="1">
        <v>14</v>
      </c>
      <c r="S53" s="1">
        <v>3</v>
      </c>
      <c r="T53" s="1">
        <v>3</v>
      </c>
      <c r="U53" s="1">
        <v>6</v>
      </c>
      <c r="V53" s="1">
        <v>3</v>
      </c>
      <c r="W53" s="1">
        <v>3</v>
      </c>
      <c r="X53" s="1">
        <v>0</v>
      </c>
      <c r="Y53" s="1">
        <v>2</v>
      </c>
      <c r="Z53" s="1">
        <v>0</v>
      </c>
      <c r="AA53" s="1">
        <v>2</v>
      </c>
      <c r="AB53" s="1">
        <v>0</v>
      </c>
      <c r="AC53" s="1">
        <v>2</v>
      </c>
      <c r="AD53" s="1">
        <v>7</v>
      </c>
      <c r="AE53" s="1">
        <v>4</v>
      </c>
      <c r="AF53" s="1">
        <v>2</v>
      </c>
      <c r="AG53" s="1" t="s">
        <v>233</v>
      </c>
      <c r="AH53" s="1">
        <v>11949479079</v>
      </c>
      <c r="AI53" s="1" t="s">
        <v>234</v>
      </c>
      <c r="AL53">
        <f>SUM(Tabela24[[#This Row],[Dada a seguinte lista de itens, você poderia informar  a quantidade de cada um que há em sua casa? '[Banheiros']]:[Sua casa tem acesso aos seguintes serviços públicos? '[Rua pavimentada']]])</f>
        <v>51</v>
      </c>
      <c r="AM53">
        <v>51</v>
      </c>
      <c r="AN53">
        <f t="shared" si="1"/>
        <v>0</v>
      </c>
      <c r="AQ53" t="s">
        <v>56</v>
      </c>
    </row>
    <row r="54" spans="1:43">
      <c r="A54" s="2">
        <v>45457.545824652778</v>
      </c>
      <c r="B54" s="1" t="s">
        <v>98</v>
      </c>
      <c r="C54" s="1" t="s">
        <v>37</v>
      </c>
      <c r="D54" s="1" t="s">
        <v>37</v>
      </c>
      <c r="E54" s="1" t="s">
        <v>37</v>
      </c>
      <c r="F54" s="1" t="s">
        <v>49</v>
      </c>
      <c r="G54" s="1">
        <v>4</v>
      </c>
      <c r="H54" s="1">
        <v>5</v>
      </c>
      <c r="I54" s="1">
        <v>5</v>
      </c>
      <c r="J54" s="1">
        <v>1</v>
      </c>
      <c r="K54" s="1">
        <v>3</v>
      </c>
      <c r="L54" s="1" t="s">
        <v>57</v>
      </c>
      <c r="M54" s="1">
        <v>4</v>
      </c>
      <c r="N54" s="1" t="s">
        <v>184</v>
      </c>
      <c r="O54" s="1">
        <v>5</v>
      </c>
      <c r="P54" s="1">
        <v>5</v>
      </c>
      <c r="Q54" s="1" t="s">
        <v>41</v>
      </c>
      <c r="R54" s="1">
        <v>10</v>
      </c>
      <c r="S54" s="1">
        <v>3</v>
      </c>
      <c r="T54" s="1">
        <v>5</v>
      </c>
      <c r="U54" s="1">
        <v>6</v>
      </c>
      <c r="V54" s="1">
        <v>3</v>
      </c>
      <c r="W54" s="1">
        <v>3</v>
      </c>
      <c r="X54" s="1">
        <v>4</v>
      </c>
      <c r="Y54" s="1">
        <v>2</v>
      </c>
      <c r="Z54" s="1">
        <v>0</v>
      </c>
      <c r="AA54" s="1">
        <v>2</v>
      </c>
      <c r="AB54" s="1">
        <v>0</v>
      </c>
      <c r="AC54" s="1">
        <v>0</v>
      </c>
      <c r="AD54" s="1">
        <v>4</v>
      </c>
      <c r="AE54" s="1">
        <v>4</v>
      </c>
      <c r="AF54" s="1">
        <v>2</v>
      </c>
      <c r="AG54" s="1" t="s">
        <v>235</v>
      </c>
      <c r="AH54" s="1">
        <v>11971044282</v>
      </c>
      <c r="AI54" s="1" t="s">
        <v>236</v>
      </c>
      <c r="AL54">
        <f>SUM(Tabela24[[#This Row],[Dada a seguinte lista de itens, você poderia informar  a quantidade de cada um que há em sua casa? '[Banheiros']]:[Sua casa tem acesso aos seguintes serviços públicos? '[Rua pavimentada']]])</f>
        <v>48</v>
      </c>
      <c r="AM54">
        <v>48</v>
      </c>
      <c r="AN54">
        <f t="shared" si="1"/>
        <v>0</v>
      </c>
      <c r="AQ54" t="s">
        <v>56</v>
      </c>
    </row>
    <row r="55" spans="1:43">
      <c r="A55" s="2">
        <v>45457.545836967591</v>
      </c>
      <c r="B55" s="1" t="s">
        <v>98</v>
      </c>
      <c r="C55" s="1" t="s">
        <v>37</v>
      </c>
      <c r="D55" s="1" t="s">
        <v>37</v>
      </c>
      <c r="E55" s="1" t="s">
        <v>37</v>
      </c>
      <c r="F55" s="1" t="s">
        <v>49</v>
      </c>
      <c r="G55" s="1">
        <v>5</v>
      </c>
      <c r="H55" s="1">
        <v>5</v>
      </c>
      <c r="I55" s="1">
        <v>3</v>
      </c>
      <c r="J55" s="1">
        <v>1</v>
      </c>
      <c r="K55" s="1">
        <v>3</v>
      </c>
      <c r="L55" s="1" t="s">
        <v>237</v>
      </c>
      <c r="M55" s="1">
        <v>5</v>
      </c>
      <c r="N55" s="1" t="s">
        <v>187</v>
      </c>
      <c r="O55" s="1">
        <v>5</v>
      </c>
      <c r="P55" s="1">
        <v>2</v>
      </c>
      <c r="Q55" s="1" t="s">
        <v>41</v>
      </c>
      <c r="R55" s="1">
        <v>10</v>
      </c>
      <c r="S55" s="1">
        <v>3</v>
      </c>
      <c r="T55" s="1">
        <v>8</v>
      </c>
      <c r="U55" s="1">
        <v>11</v>
      </c>
      <c r="V55" s="1">
        <v>3</v>
      </c>
      <c r="W55" s="1">
        <v>2</v>
      </c>
      <c r="X55" s="1">
        <v>2</v>
      </c>
      <c r="Y55" s="1">
        <v>2</v>
      </c>
      <c r="Z55" s="1">
        <v>1</v>
      </c>
      <c r="AA55" s="1">
        <v>2</v>
      </c>
      <c r="AB55" s="1">
        <v>0</v>
      </c>
      <c r="AC55" s="1">
        <v>0</v>
      </c>
      <c r="AD55" s="1">
        <v>7</v>
      </c>
      <c r="AE55" s="1">
        <v>4</v>
      </c>
      <c r="AF55" s="1">
        <v>2</v>
      </c>
      <c r="AG55" s="1" t="s">
        <v>238</v>
      </c>
      <c r="AH55" s="1">
        <v>11940172883</v>
      </c>
      <c r="AI55" s="1" t="s">
        <v>239</v>
      </c>
      <c r="AL55">
        <f>SUM(Tabela24[[#This Row],[Dada a seguinte lista de itens, você poderia informar  a quantidade de cada um que há em sua casa? '[Banheiros']]:[Sua casa tem acesso aos seguintes serviços públicos? '[Rua pavimentada']]])</f>
        <v>57</v>
      </c>
      <c r="AM55">
        <v>57</v>
      </c>
      <c r="AN55">
        <f t="shared" si="1"/>
        <v>0</v>
      </c>
      <c r="AQ55" t="s">
        <v>56</v>
      </c>
    </row>
    <row r="56" spans="1:43">
      <c r="A56" s="2">
        <v>45457.547228807874</v>
      </c>
      <c r="B56" s="1" t="s">
        <v>63</v>
      </c>
      <c r="C56" s="1" t="s">
        <v>37</v>
      </c>
      <c r="D56" s="1" t="s">
        <v>37</v>
      </c>
      <c r="E56" s="1" t="s">
        <v>37</v>
      </c>
      <c r="F56" s="1" t="s">
        <v>49</v>
      </c>
      <c r="G56" s="1">
        <v>5</v>
      </c>
      <c r="H56" s="1">
        <v>4</v>
      </c>
      <c r="I56" s="1">
        <v>1</v>
      </c>
      <c r="J56" s="1">
        <v>1</v>
      </c>
      <c r="K56" s="1">
        <v>5</v>
      </c>
      <c r="L56" s="1" t="s">
        <v>70</v>
      </c>
      <c r="M56" s="1">
        <v>3</v>
      </c>
      <c r="N56" s="1" t="s">
        <v>240</v>
      </c>
      <c r="O56" s="1">
        <v>5</v>
      </c>
      <c r="P56" s="1">
        <v>5</v>
      </c>
      <c r="Q56" s="1" t="s">
        <v>66</v>
      </c>
      <c r="R56" s="1">
        <v>14</v>
      </c>
      <c r="S56" s="1">
        <v>3</v>
      </c>
      <c r="T56" s="1">
        <v>3</v>
      </c>
      <c r="U56" s="1">
        <v>8</v>
      </c>
      <c r="V56" s="1">
        <v>0</v>
      </c>
      <c r="W56" s="1">
        <v>2</v>
      </c>
      <c r="X56" s="1">
        <v>2</v>
      </c>
      <c r="Y56" s="1">
        <v>2</v>
      </c>
      <c r="Z56" s="1">
        <v>0</v>
      </c>
      <c r="AA56" s="1">
        <v>2</v>
      </c>
      <c r="AB56" s="1">
        <v>0</v>
      </c>
      <c r="AC56" s="1">
        <v>0</v>
      </c>
      <c r="AD56" s="1">
        <v>7</v>
      </c>
      <c r="AE56" s="1">
        <v>4</v>
      </c>
      <c r="AF56" s="1">
        <v>2</v>
      </c>
      <c r="AG56" s="1" t="s">
        <v>241</v>
      </c>
      <c r="AH56" s="1">
        <v>85988223162</v>
      </c>
      <c r="AI56" s="1" t="s">
        <v>242</v>
      </c>
      <c r="AL56">
        <f>SUM(Tabela24[[#This Row],[Dada a seguinte lista de itens, você poderia informar  a quantidade de cada um que há em sua casa? '[Banheiros']]:[Sua casa tem acesso aos seguintes serviços públicos? '[Rua pavimentada']]])</f>
        <v>49</v>
      </c>
      <c r="AM56">
        <v>49</v>
      </c>
      <c r="AN56">
        <f t="shared" si="1"/>
        <v>0</v>
      </c>
      <c r="AQ56" t="s">
        <v>56</v>
      </c>
    </row>
    <row r="57" spans="1:43">
      <c r="A57" s="2">
        <v>45457.551793125</v>
      </c>
      <c r="B57" s="1" t="s">
        <v>98</v>
      </c>
      <c r="C57" s="1" t="s">
        <v>37</v>
      </c>
      <c r="D57" s="1" t="s">
        <v>37</v>
      </c>
      <c r="E57" s="1" t="s">
        <v>37</v>
      </c>
      <c r="F57" s="1" t="s">
        <v>69</v>
      </c>
      <c r="G57" s="1">
        <v>4</v>
      </c>
      <c r="H57" s="1">
        <v>2</v>
      </c>
      <c r="I57" s="1">
        <v>4</v>
      </c>
      <c r="J57" s="1">
        <v>2</v>
      </c>
      <c r="K57" s="1">
        <v>4</v>
      </c>
      <c r="L57" s="1" t="s">
        <v>243</v>
      </c>
      <c r="M57" s="1">
        <v>3</v>
      </c>
      <c r="N57" s="1" t="s">
        <v>76</v>
      </c>
      <c r="O57" s="1">
        <v>5</v>
      </c>
      <c r="P57" s="1">
        <v>3</v>
      </c>
      <c r="Q57" s="1" t="s">
        <v>41</v>
      </c>
      <c r="R57" s="1">
        <v>3</v>
      </c>
      <c r="S57" s="1">
        <v>3</v>
      </c>
      <c r="T57" s="1">
        <v>3</v>
      </c>
      <c r="U57" s="1">
        <v>3</v>
      </c>
      <c r="V57" s="1">
        <v>0</v>
      </c>
      <c r="W57" s="1">
        <v>2</v>
      </c>
      <c r="X57" s="1">
        <v>2</v>
      </c>
      <c r="Y57" s="1">
        <v>2</v>
      </c>
      <c r="Z57" s="1">
        <v>0</v>
      </c>
      <c r="AA57" s="1">
        <v>2</v>
      </c>
      <c r="AB57" s="1">
        <v>0</v>
      </c>
      <c r="AC57" s="1">
        <v>2</v>
      </c>
      <c r="AD57" s="1">
        <v>7</v>
      </c>
      <c r="AE57" s="1">
        <v>4</v>
      </c>
      <c r="AF57" s="1">
        <v>2</v>
      </c>
      <c r="AG57" s="1" t="s">
        <v>244</v>
      </c>
      <c r="AH57" s="1">
        <v>12981153088</v>
      </c>
      <c r="AI57" s="1" t="s">
        <v>245</v>
      </c>
      <c r="AL57">
        <f>SUM(Tabela24[[#This Row],[Dada a seguinte lista de itens, você poderia informar  a quantidade de cada um que há em sua casa? '[Banheiros']]:[Sua casa tem acesso aos seguintes serviços públicos? '[Rua pavimentada']]])</f>
        <v>35</v>
      </c>
      <c r="AM57">
        <v>35</v>
      </c>
      <c r="AN57">
        <f t="shared" si="1"/>
        <v>0</v>
      </c>
      <c r="AQ57" t="s">
        <v>62</v>
      </c>
    </row>
    <row r="58" spans="1:43">
      <c r="A58" s="2">
        <v>45457.555017916668</v>
      </c>
      <c r="B58" s="1" t="s">
        <v>98</v>
      </c>
      <c r="C58" s="1" t="s">
        <v>37</v>
      </c>
      <c r="D58" s="1" t="s">
        <v>37</v>
      </c>
      <c r="E58" s="1" t="s">
        <v>37</v>
      </c>
      <c r="F58" s="1" t="s">
        <v>49</v>
      </c>
      <c r="G58" s="1">
        <v>4</v>
      </c>
      <c r="H58" s="1">
        <v>2</v>
      </c>
      <c r="I58" s="1">
        <v>1</v>
      </c>
      <c r="J58" s="1">
        <v>1</v>
      </c>
      <c r="K58" s="1">
        <v>4</v>
      </c>
      <c r="L58" s="1" t="s">
        <v>39</v>
      </c>
      <c r="M58" s="1">
        <v>4</v>
      </c>
      <c r="N58" s="1" t="s">
        <v>246</v>
      </c>
      <c r="O58" s="1">
        <v>5</v>
      </c>
      <c r="P58" s="1">
        <v>3</v>
      </c>
      <c r="Q58" s="1" t="s">
        <v>41</v>
      </c>
      <c r="R58" s="1">
        <v>3</v>
      </c>
      <c r="S58" s="1">
        <v>3</v>
      </c>
      <c r="T58" s="1">
        <v>0</v>
      </c>
      <c r="U58" s="1">
        <v>3</v>
      </c>
      <c r="V58" s="1">
        <v>0</v>
      </c>
      <c r="W58" s="1">
        <v>2</v>
      </c>
      <c r="X58" s="1">
        <v>2</v>
      </c>
      <c r="Y58" s="1">
        <v>0</v>
      </c>
      <c r="Z58" s="1">
        <v>0</v>
      </c>
      <c r="AA58" s="1">
        <v>2</v>
      </c>
      <c r="AB58" s="1">
        <v>0</v>
      </c>
      <c r="AC58" s="1">
        <v>0</v>
      </c>
      <c r="AD58" s="1">
        <v>7</v>
      </c>
      <c r="AE58" s="1">
        <v>4</v>
      </c>
      <c r="AF58" s="1">
        <v>2</v>
      </c>
      <c r="AG58" s="1" t="s">
        <v>247</v>
      </c>
      <c r="AH58" s="1">
        <v>15991670380</v>
      </c>
      <c r="AI58" s="1" t="s">
        <v>248</v>
      </c>
      <c r="AL58">
        <f>SUM(Tabela24[[#This Row],[Dada a seguinte lista de itens, você poderia informar  a quantidade de cada um que há em sua casa? '[Banheiros']]:[Sua casa tem acesso aos seguintes serviços públicos? '[Rua pavimentada']]])</f>
        <v>28</v>
      </c>
      <c r="AM58">
        <v>28</v>
      </c>
      <c r="AN58">
        <f t="shared" si="1"/>
        <v>0</v>
      </c>
      <c r="AQ58" t="s">
        <v>79</v>
      </c>
    </row>
    <row r="59" spans="1:43">
      <c r="A59" s="2">
        <v>45457.563269004633</v>
      </c>
      <c r="B59" s="1" t="s">
        <v>36</v>
      </c>
      <c r="C59" s="1" t="s">
        <v>37</v>
      </c>
      <c r="D59" s="1" t="s">
        <v>37</v>
      </c>
      <c r="E59" s="1" t="s">
        <v>37</v>
      </c>
      <c r="F59" s="1" t="s">
        <v>49</v>
      </c>
      <c r="G59" s="1">
        <v>4</v>
      </c>
      <c r="H59" s="1">
        <v>3</v>
      </c>
      <c r="I59" s="1">
        <v>1</v>
      </c>
      <c r="J59" s="1">
        <v>1</v>
      </c>
      <c r="K59" s="1">
        <v>4</v>
      </c>
      <c r="L59" s="1" t="s">
        <v>39</v>
      </c>
      <c r="M59" s="1">
        <v>3</v>
      </c>
      <c r="N59" s="1" t="s">
        <v>249</v>
      </c>
      <c r="O59" s="1">
        <v>4</v>
      </c>
      <c r="P59" s="1">
        <v>4</v>
      </c>
      <c r="Q59" s="1" t="s">
        <v>41</v>
      </c>
      <c r="R59" s="1">
        <v>3</v>
      </c>
      <c r="S59" s="1">
        <v>0</v>
      </c>
      <c r="T59" s="1">
        <v>3</v>
      </c>
      <c r="U59" s="1">
        <v>3</v>
      </c>
      <c r="V59" s="1">
        <v>0</v>
      </c>
      <c r="W59" s="1">
        <v>2</v>
      </c>
      <c r="X59" s="1">
        <v>0</v>
      </c>
      <c r="Y59" s="1">
        <v>2</v>
      </c>
      <c r="Z59" s="1">
        <v>0</v>
      </c>
      <c r="AA59" s="1">
        <v>2</v>
      </c>
      <c r="AB59" s="1">
        <v>0</v>
      </c>
      <c r="AC59" s="1">
        <v>2</v>
      </c>
      <c r="AD59" s="1">
        <v>7</v>
      </c>
      <c r="AE59" s="1">
        <v>4</v>
      </c>
      <c r="AF59" s="1">
        <v>2</v>
      </c>
      <c r="AG59" s="1" t="s">
        <v>250</v>
      </c>
      <c r="AH59" s="1">
        <v>82982242741</v>
      </c>
      <c r="AI59" s="1" t="s">
        <v>251</v>
      </c>
      <c r="AL59">
        <f>SUM(Tabela24[[#This Row],[Dada a seguinte lista de itens, você poderia informar  a quantidade de cada um que há em sua casa? '[Banheiros']]:[Sua casa tem acesso aos seguintes serviços públicos? '[Rua pavimentada']]])</f>
        <v>30</v>
      </c>
      <c r="AM59">
        <v>30</v>
      </c>
      <c r="AN59">
        <f t="shared" si="1"/>
        <v>0</v>
      </c>
      <c r="AQ59" t="s">
        <v>62</v>
      </c>
    </row>
    <row r="60" spans="1:43">
      <c r="A60" s="2">
        <v>45457.572679421297</v>
      </c>
      <c r="B60" s="1" t="s">
        <v>98</v>
      </c>
      <c r="C60" s="1" t="s">
        <v>37</v>
      </c>
      <c r="D60" s="1" t="s">
        <v>37</v>
      </c>
      <c r="E60" s="1" t="s">
        <v>37</v>
      </c>
      <c r="F60" s="1" t="s">
        <v>69</v>
      </c>
      <c r="G60" s="1">
        <v>4</v>
      </c>
      <c r="H60" s="1">
        <v>1</v>
      </c>
      <c r="I60" s="1">
        <v>1</v>
      </c>
      <c r="J60" s="1">
        <v>1</v>
      </c>
      <c r="K60" s="1">
        <v>2</v>
      </c>
      <c r="L60" s="1" t="s">
        <v>114</v>
      </c>
      <c r="M60" s="1">
        <v>3</v>
      </c>
      <c r="N60" s="1" t="s">
        <v>111</v>
      </c>
      <c r="O60" s="1">
        <v>3</v>
      </c>
      <c r="P60" s="1">
        <v>1</v>
      </c>
      <c r="Q60" s="1" t="s">
        <v>41</v>
      </c>
      <c r="R60" s="1">
        <v>3</v>
      </c>
      <c r="S60" s="1">
        <v>0</v>
      </c>
      <c r="T60" s="1">
        <v>0</v>
      </c>
      <c r="U60" s="1">
        <v>3</v>
      </c>
      <c r="V60" s="1">
        <v>0</v>
      </c>
      <c r="W60" s="1">
        <v>2</v>
      </c>
      <c r="X60" s="1">
        <v>0</v>
      </c>
      <c r="Y60" s="1">
        <v>2</v>
      </c>
      <c r="Z60" s="1">
        <v>0</v>
      </c>
      <c r="AA60" s="1">
        <v>2</v>
      </c>
      <c r="AB60" s="1">
        <v>0</v>
      </c>
      <c r="AC60" s="1">
        <v>0</v>
      </c>
      <c r="AD60" s="1">
        <v>7</v>
      </c>
      <c r="AE60" s="1">
        <v>4</v>
      </c>
      <c r="AF60" s="1">
        <v>2</v>
      </c>
      <c r="AG60" s="1" t="s">
        <v>252</v>
      </c>
      <c r="AH60" s="1">
        <v>12997816579</v>
      </c>
      <c r="AI60" s="1" t="s">
        <v>253</v>
      </c>
      <c r="AL60">
        <f>SUM(Tabela24[[#This Row],[Dada a seguinte lista de itens, você poderia informar  a quantidade de cada um que há em sua casa? '[Banheiros']]:[Sua casa tem acesso aos seguintes serviços públicos? '[Rua pavimentada']]])</f>
        <v>25</v>
      </c>
      <c r="AM60">
        <v>25</v>
      </c>
      <c r="AN60">
        <f t="shared" si="1"/>
        <v>0</v>
      </c>
      <c r="AQ60" t="s">
        <v>79</v>
      </c>
    </row>
    <row r="61" spans="1:43">
      <c r="A61" s="2">
        <v>45457.580796956019</v>
      </c>
      <c r="B61" s="1" t="s">
        <v>63</v>
      </c>
      <c r="C61" s="1" t="s">
        <v>37</v>
      </c>
      <c r="D61" s="1" t="s">
        <v>37</v>
      </c>
      <c r="E61" s="1" t="s">
        <v>37</v>
      </c>
      <c r="F61" s="1" t="s">
        <v>69</v>
      </c>
      <c r="G61" s="1">
        <v>3</v>
      </c>
      <c r="H61" s="1">
        <v>5</v>
      </c>
      <c r="I61" s="1">
        <v>1</v>
      </c>
      <c r="J61" s="1">
        <v>1</v>
      </c>
      <c r="K61" s="1">
        <v>5</v>
      </c>
      <c r="L61" s="1" t="s">
        <v>118</v>
      </c>
      <c r="M61" s="1">
        <v>5</v>
      </c>
      <c r="N61" s="1" t="s">
        <v>111</v>
      </c>
      <c r="O61" s="1">
        <v>5</v>
      </c>
      <c r="P61" s="1">
        <v>5</v>
      </c>
      <c r="Q61" s="1" t="s">
        <v>41</v>
      </c>
      <c r="R61" s="1">
        <v>10</v>
      </c>
      <c r="S61" s="1">
        <v>3</v>
      </c>
      <c r="T61" s="1">
        <v>3</v>
      </c>
      <c r="U61" s="1">
        <v>6</v>
      </c>
      <c r="V61" s="1">
        <v>0</v>
      </c>
      <c r="W61" s="1">
        <v>2</v>
      </c>
      <c r="X61" s="1">
        <v>0</v>
      </c>
      <c r="Y61" s="1">
        <v>2</v>
      </c>
      <c r="Z61" s="1">
        <v>0</v>
      </c>
      <c r="AA61" s="1">
        <v>2</v>
      </c>
      <c r="AB61" s="1">
        <v>0</v>
      </c>
      <c r="AC61" s="1">
        <v>2</v>
      </c>
      <c r="AD61" s="1">
        <v>7</v>
      </c>
      <c r="AE61" s="1">
        <v>4</v>
      </c>
      <c r="AF61" s="1">
        <v>2</v>
      </c>
      <c r="AG61" s="1" t="s">
        <v>254</v>
      </c>
      <c r="AH61" s="1">
        <v>11991401803</v>
      </c>
      <c r="AI61" s="1" t="s">
        <v>255</v>
      </c>
      <c r="AL61">
        <f>SUM(Tabela24[[#This Row],[Dada a seguinte lista de itens, você poderia informar  a quantidade de cada um que há em sua casa? '[Banheiros']]:[Sua casa tem acesso aos seguintes serviços públicos? '[Rua pavimentada']]])</f>
        <v>43</v>
      </c>
      <c r="AM61">
        <v>43</v>
      </c>
      <c r="AN61">
        <f t="shared" si="1"/>
        <v>0</v>
      </c>
      <c r="AQ61" t="s">
        <v>48</v>
      </c>
    </row>
    <row r="62" spans="1:43" ht="12.95">
      <c r="A62" s="3">
        <v>45457.580830497682</v>
      </c>
      <c r="B62" s="4" t="s">
        <v>364</v>
      </c>
      <c r="C62" s="4" t="s">
        <v>37</v>
      </c>
      <c r="D62" s="4" t="s">
        <v>37</v>
      </c>
      <c r="E62" s="4" t="s">
        <v>37</v>
      </c>
      <c r="F62" s="4" t="s">
        <v>49</v>
      </c>
      <c r="G62" s="4">
        <v>1</v>
      </c>
      <c r="H62" s="4">
        <v>5</v>
      </c>
      <c r="I62" s="4">
        <v>5</v>
      </c>
      <c r="J62" s="4">
        <v>5</v>
      </c>
      <c r="K62" s="4">
        <v>5</v>
      </c>
      <c r="L62" s="4" t="s">
        <v>106</v>
      </c>
      <c r="M62" s="4">
        <v>1</v>
      </c>
      <c r="N62" s="4" t="s">
        <v>256</v>
      </c>
      <c r="O62" s="4">
        <v>5</v>
      </c>
      <c r="P62" s="4">
        <v>5</v>
      </c>
      <c r="Q62" s="4" t="s">
        <v>41</v>
      </c>
      <c r="R62" s="4">
        <v>10</v>
      </c>
      <c r="S62" s="4">
        <v>3</v>
      </c>
      <c r="T62" s="4">
        <v>3</v>
      </c>
      <c r="U62" s="4">
        <v>3</v>
      </c>
      <c r="V62" s="4">
        <v>3</v>
      </c>
      <c r="W62" s="4">
        <v>2</v>
      </c>
      <c r="X62" s="4">
        <v>2</v>
      </c>
      <c r="Y62" s="4">
        <v>2</v>
      </c>
      <c r="Z62" s="4">
        <v>0</v>
      </c>
      <c r="AA62" s="4">
        <v>2</v>
      </c>
      <c r="AB62" s="4">
        <v>0</v>
      </c>
      <c r="AC62" s="4">
        <v>2</v>
      </c>
      <c r="AD62" s="4">
        <v>7</v>
      </c>
      <c r="AE62" s="4">
        <v>4</v>
      </c>
      <c r="AF62" s="4">
        <v>2</v>
      </c>
      <c r="AG62" s="4" t="s">
        <v>257</v>
      </c>
      <c r="AH62" s="4">
        <v>11991401803</v>
      </c>
      <c r="AI62" s="4" t="s">
        <v>255</v>
      </c>
      <c r="AL62">
        <f>SUM(Tabela24[[#This Row],[Dada a seguinte lista de itens, você poderia informar  a quantidade de cada um que há em sua casa? '[Banheiros']]:[Sua casa tem acesso aos seguintes serviços públicos? '[Rua pavimentada']]])</f>
        <v>45</v>
      </c>
      <c r="AM62">
        <v>45</v>
      </c>
      <c r="AN62">
        <f t="shared" si="1"/>
        <v>0</v>
      </c>
      <c r="AQ62" t="s">
        <v>56</v>
      </c>
    </row>
    <row r="63" spans="1:43">
      <c r="A63" s="2">
        <v>45458.53868972222</v>
      </c>
      <c r="B63" s="1" t="s">
        <v>98</v>
      </c>
      <c r="C63" s="1" t="s">
        <v>37</v>
      </c>
      <c r="D63" s="1" t="s">
        <v>37</v>
      </c>
      <c r="E63" s="1" t="s">
        <v>37</v>
      </c>
      <c r="F63" s="1" t="s">
        <v>89</v>
      </c>
      <c r="G63" s="1">
        <v>4</v>
      </c>
      <c r="H63" s="1">
        <v>2</v>
      </c>
      <c r="I63" s="1">
        <v>3</v>
      </c>
      <c r="J63" s="1">
        <v>1</v>
      </c>
      <c r="K63" s="1">
        <v>5</v>
      </c>
      <c r="L63" s="1" t="s">
        <v>258</v>
      </c>
      <c r="M63" s="1">
        <v>4</v>
      </c>
      <c r="N63" s="1" t="s">
        <v>111</v>
      </c>
      <c r="O63" s="1">
        <v>3</v>
      </c>
      <c r="P63" s="1">
        <v>3</v>
      </c>
      <c r="Q63" s="1" t="s">
        <v>41</v>
      </c>
      <c r="R63" s="1">
        <v>3</v>
      </c>
      <c r="S63" s="1">
        <v>3</v>
      </c>
      <c r="T63" s="1">
        <v>0</v>
      </c>
      <c r="U63" s="1">
        <v>3</v>
      </c>
      <c r="V63" s="1">
        <v>3</v>
      </c>
      <c r="W63" s="1">
        <v>2</v>
      </c>
      <c r="X63" s="1">
        <v>2</v>
      </c>
      <c r="Y63" s="1">
        <v>2</v>
      </c>
      <c r="Z63" s="1">
        <v>0</v>
      </c>
      <c r="AA63" s="1">
        <v>2</v>
      </c>
      <c r="AB63" s="1">
        <v>0</v>
      </c>
      <c r="AC63" s="1">
        <v>2</v>
      </c>
      <c r="AD63" s="1">
        <v>4</v>
      </c>
      <c r="AE63" s="1">
        <v>4</v>
      </c>
      <c r="AF63" s="1">
        <v>2</v>
      </c>
      <c r="AG63" s="1" t="s">
        <v>259</v>
      </c>
      <c r="AH63" s="1">
        <v>12996802191</v>
      </c>
      <c r="AI63" s="1" t="s">
        <v>260</v>
      </c>
      <c r="AL63">
        <f>SUM(Tabela24[[#This Row],[Dada a seguinte lista de itens, você poderia informar  a quantidade de cada um que há em sua casa? '[Banheiros']]:[Sua casa tem acesso aos seguintes serviços públicos? '[Rua pavimentada']]])</f>
        <v>32</v>
      </c>
      <c r="AM63">
        <v>32</v>
      </c>
      <c r="AN63">
        <f t="shared" si="1"/>
        <v>0</v>
      </c>
      <c r="AQ63" t="s">
        <v>62</v>
      </c>
    </row>
    <row r="64" spans="1:43">
      <c r="A64" s="2">
        <v>45458.539370127313</v>
      </c>
      <c r="B64" s="1" t="s">
        <v>36</v>
      </c>
      <c r="C64" s="1" t="s">
        <v>37</v>
      </c>
      <c r="D64" s="1" t="s">
        <v>37</v>
      </c>
      <c r="E64" s="1" t="s">
        <v>37</v>
      </c>
      <c r="F64" s="1" t="s">
        <v>69</v>
      </c>
      <c r="G64" s="1">
        <v>1</v>
      </c>
      <c r="H64" s="1">
        <v>3</v>
      </c>
      <c r="I64" s="1">
        <v>4</v>
      </c>
      <c r="J64" s="1">
        <v>1</v>
      </c>
      <c r="K64" s="1">
        <v>5</v>
      </c>
      <c r="L64" s="1" t="s">
        <v>261</v>
      </c>
      <c r="M64" s="1">
        <v>2</v>
      </c>
      <c r="N64" s="1" t="s">
        <v>111</v>
      </c>
      <c r="O64" s="1">
        <v>4</v>
      </c>
      <c r="P64" s="1">
        <v>1</v>
      </c>
      <c r="Q64" s="1" t="s">
        <v>66</v>
      </c>
      <c r="R64" s="1">
        <v>3</v>
      </c>
      <c r="S64" s="1">
        <v>0</v>
      </c>
      <c r="T64" s="1">
        <v>3</v>
      </c>
      <c r="U64" s="1">
        <v>6</v>
      </c>
      <c r="V64" s="1">
        <v>0</v>
      </c>
      <c r="W64" s="1">
        <v>2</v>
      </c>
      <c r="X64" s="1">
        <v>2</v>
      </c>
      <c r="Y64" s="1">
        <v>2</v>
      </c>
      <c r="Z64" s="1">
        <v>0</v>
      </c>
      <c r="AA64" s="1">
        <v>2</v>
      </c>
      <c r="AB64" s="1">
        <v>0</v>
      </c>
      <c r="AC64" s="1">
        <v>2</v>
      </c>
      <c r="AD64" s="1">
        <v>7</v>
      </c>
      <c r="AE64" s="1">
        <v>4</v>
      </c>
      <c r="AF64" s="1">
        <v>2</v>
      </c>
      <c r="AG64" s="1" t="s">
        <v>262</v>
      </c>
      <c r="AH64" s="1">
        <v>11995990606</v>
      </c>
      <c r="AI64" s="1" t="s">
        <v>263</v>
      </c>
      <c r="AL64">
        <f>SUM(Tabela24[[#This Row],[Dada a seguinte lista de itens, você poderia informar  a quantidade de cada um que há em sua casa? '[Banheiros']]:[Sua casa tem acesso aos seguintes serviços públicos? '[Rua pavimentada']]])</f>
        <v>35</v>
      </c>
      <c r="AM64">
        <v>35</v>
      </c>
      <c r="AN64">
        <f t="shared" si="1"/>
        <v>0</v>
      </c>
      <c r="AQ64" t="s">
        <v>62</v>
      </c>
    </row>
    <row r="65" spans="1:43">
      <c r="A65" s="2">
        <v>45458.539564085644</v>
      </c>
      <c r="B65" s="1" t="s">
        <v>63</v>
      </c>
      <c r="C65" s="1" t="s">
        <v>37</v>
      </c>
      <c r="D65" s="1" t="s">
        <v>37</v>
      </c>
      <c r="E65" s="1" t="s">
        <v>37</v>
      </c>
      <c r="F65" s="1" t="s">
        <v>49</v>
      </c>
      <c r="G65" s="1">
        <v>4</v>
      </c>
      <c r="H65" s="1">
        <v>4</v>
      </c>
      <c r="I65" s="1">
        <v>1</v>
      </c>
      <c r="J65" s="1">
        <v>1</v>
      </c>
      <c r="K65" s="1">
        <v>5</v>
      </c>
      <c r="L65" s="1" t="s">
        <v>264</v>
      </c>
      <c r="M65" s="1">
        <v>3</v>
      </c>
      <c r="N65" s="1" t="s">
        <v>91</v>
      </c>
      <c r="O65" s="1">
        <v>4</v>
      </c>
      <c r="P65" s="1">
        <v>3</v>
      </c>
      <c r="Q65" s="1" t="s">
        <v>66</v>
      </c>
      <c r="R65" s="1">
        <v>7</v>
      </c>
      <c r="S65" s="1">
        <v>0</v>
      </c>
      <c r="T65" s="1">
        <v>5</v>
      </c>
      <c r="U65" s="1">
        <v>6</v>
      </c>
      <c r="V65" s="1">
        <v>0</v>
      </c>
      <c r="W65" s="1">
        <v>3</v>
      </c>
      <c r="X65" s="1">
        <v>2</v>
      </c>
      <c r="Y65" s="1">
        <v>2</v>
      </c>
      <c r="Z65" s="1">
        <v>1</v>
      </c>
      <c r="AA65" s="1">
        <v>2</v>
      </c>
      <c r="AB65" s="1">
        <v>0</v>
      </c>
      <c r="AC65" s="1">
        <v>0</v>
      </c>
      <c r="AD65" s="1">
        <v>7</v>
      </c>
      <c r="AE65" s="1">
        <v>4</v>
      </c>
      <c r="AF65" s="1">
        <v>2</v>
      </c>
      <c r="AG65" s="1" t="s">
        <v>265</v>
      </c>
      <c r="AH65" s="1">
        <v>41991788821</v>
      </c>
      <c r="AI65" s="1" t="s">
        <v>266</v>
      </c>
      <c r="AL65">
        <f>SUM(Tabela24[[#This Row],[Dada a seguinte lista de itens, você poderia informar  a quantidade de cada um que há em sua casa? '[Banheiros']]:[Sua casa tem acesso aos seguintes serviços públicos? '[Rua pavimentada']]])</f>
        <v>41</v>
      </c>
      <c r="AM65">
        <v>41</v>
      </c>
      <c r="AN65">
        <f t="shared" si="1"/>
        <v>0</v>
      </c>
      <c r="AQ65" t="s">
        <v>48</v>
      </c>
    </row>
    <row r="66" spans="1:43">
      <c r="A66" s="2">
        <v>45458.545659027775</v>
      </c>
      <c r="B66" s="1" t="s">
        <v>98</v>
      </c>
      <c r="C66" s="1" t="s">
        <v>37</v>
      </c>
      <c r="D66" s="1" t="s">
        <v>37</v>
      </c>
      <c r="E66" s="1" t="s">
        <v>37</v>
      </c>
      <c r="F66" s="1" t="s">
        <v>69</v>
      </c>
      <c r="G66" s="1">
        <v>4</v>
      </c>
      <c r="H66" s="1">
        <v>2</v>
      </c>
      <c r="I66" s="1">
        <v>2</v>
      </c>
      <c r="J66" s="1">
        <v>1</v>
      </c>
      <c r="K66" s="1">
        <v>4</v>
      </c>
      <c r="L66" s="1" t="s">
        <v>261</v>
      </c>
      <c r="M66" s="1">
        <v>3</v>
      </c>
      <c r="N66" s="1" t="s">
        <v>111</v>
      </c>
      <c r="O66" s="1">
        <v>4</v>
      </c>
      <c r="P66" s="1">
        <v>2</v>
      </c>
      <c r="Q66" s="1" t="s">
        <v>41</v>
      </c>
      <c r="R66" s="1">
        <v>7</v>
      </c>
      <c r="S66" s="1">
        <v>0</v>
      </c>
      <c r="T66" s="1">
        <v>0</v>
      </c>
      <c r="U66" s="1">
        <v>3</v>
      </c>
      <c r="V66" s="1">
        <v>0</v>
      </c>
      <c r="W66" s="1">
        <v>2</v>
      </c>
      <c r="X66" s="1">
        <v>0</v>
      </c>
      <c r="Y66" s="1">
        <v>2</v>
      </c>
      <c r="Z66" s="1">
        <v>0</v>
      </c>
      <c r="AA66" s="1">
        <v>2</v>
      </c>
      <c r="AB66" s="1">
        <v>0</v>
      </c>
      <c r="AC66" s="1">
        <v>0</v>
      </c>
      <c r="AD66" s="1">
        <v>7</v>
      </c>
      <c r="AE66" s="1">
        <v>4</v>
      </c>
      <c r="AF66" s="1">
        <v>2</v>
      </c>
      <c r="AG66" s="1" t="s">
        <v>267</v>
      </c>
      <c r="AH66" s="1">
        <v>9199063072</v>
      </c>
      <c r="AI66" s="1" t="s">
        <v>268</v>
      </c>
      <c r="AL66">
        <f>SUM(Tabela24[[#This Row],[Dada a seguinte lista de itens, você poderia informar  a quantidade de cada um que há em sua casa? '[Banheiros']]:[Sua casa tem acesso aos seguintes serviços públicos? '[Rua pavimentada']]])</f>
        <v>29</v>
      </c>
      <c r="AM66">
        <v>29</v>
      </c>
      <c r="AN66">
        <f t="shared" ref="AN66:AN97" si="2">COUNTIFS(AM66,"&gt;=0",AM66, "&lt;=16")</f>
        <v>0</v>
      </c>
      <c r="AQ66" t="s">
        <v>62</v>
      </c>
    </row>
    <row r="67" spans="1:43">
      <c r="A67" s="2">
        <v>45458.546116145837</v>
      </c>
      <c r="B67" s="1" t="s">
        <v>36</v>
      </c>
      <c r="C67" s="1" t="s">
        <v>37</v>
      </c>
      <c r="D67" s="1" t="s">
        <v>37</v>
      </c>
      <c r="E67" s="1" t="s">
        <v>37</v>
      </c>
      <c r="F67" s="1" t="s">
        <v>49</v>
      </c>
      <c r="G67" s="1">
        <v>5</v>
      </c>
      <c r="H67" s="1">
        <v>4</v>
      </c>
      <c r="I67" s="1">
        <v>2</v>
      </c>
      <c r="J67" s="1">
        <v>1</v>
      </c>
      <c r="K67" s="1">
        <v>4</v>
      </c>
      <c r="L67" s="1" t="s">
        <v>269</v>
      </c>
      <c r="M67" s="1">
        <v>4</v>
      </c>
      <c r="N67" s="1" t="s">
        <v>71</v>
      </c>
      <c r="O67" s="1">
        <v>5</v>
      </c>
      <c r="P67" s="1">
        <v>4</v>
      </c>
      <c r="Q67" s="1" t="s">
        <v>41</v>
      </c>
      <c r="R67" s="1">
        <v>7</v>
      </c>
      <c r="S67" s="1">
        <v>0</v>
      </c>
      <c r="T67" s="1">
        <v>0</v>
      </c>
      <c r="U67" s="1">
        <v>6</v>
      </c>
      <c r="V67" s="1">
        <v>0</v>
      </c>
      <c r="W67" s="1">
        <v>2</v>
      </c>
      <c r="X67" s="1">
        <v>2</v>
      </c>
      <c r="Y67" s="1">
        <v>2</v>
      </c>
      <c r="Z67" s="1">
        <v>0</v>
      </c>
      <c r="AA67" s="1">
        <v>2</v>
      </c>
      <c r="AB67" s="1">
        <v>0</v>
      </c>
      <c r="AC67" s="1">
        <v>0</v>
      </c>
      <c r="AD67" s="1">
        <v>7</v>
      </c>
      <c r="AE67" s="1">
        <v>4</v>
      </c>
      <c r="AF67" s="1">
        <v>2</v>
      </c>
      <c r="AG67" s="1" t="s">
        <v>270</v>
      </c>
      <c r="AH67" s="1">
        <v>91981341463</v>
      </c>
      <c r="AI67" s="1" t="s">
        <v>271</v>
      </c>
      <c r="AL67">
        <f>SUM(Tabela24[[#This Row],[Dada a seguinte lista de itens, você poderia informar  a quantidade de cada um que há em sua casa? '[Banheiros']]:[Sua casa tem acesso aos seguintes serviços públicos? '[Rua pavimentada']]])</f>
        <v>34</v>
      </c>
      <c r="AM67">
        <v>34</v>
      </c>
      <c r="AN67">
        <f t="shared" si="2"/>
        <v>0</v>
      </c>
      <c r="AQ67" t="s">
        <v>62</v>
      </c>
    </row>
    <row r="68" spans="1:43">
      <c r="A68" s="2">
        <v>45458.550482650462</v>
      </c>
      <c r="B68" s="1" t="s">
        <v>98</v>
      </c>
      <c r="C68" s="1" t="s">
        <v>37</v>
      </c>
      <c r="D68" s="1" t="s">
        <v>37</v>
      </c>
      <c r="E68" s="1" t="s">
        <v>37</v>
      </c>
      <c r="F68" s="1" t="s">
        <v>49</v>
      </c>
      <c r="G68" s="1">
        <v>5</v>
      </c>
      <c r="H68" s="1">
        <v>5</v>
      </c>
      <c r="I68" s="1">
        <v>1</v>
      </c>
      <c r="J68" s="1">
        <v>2</v>
      </c>
      <c r="K68" s="1">
        <v>4</v>
      </c>
      <c r="L68" s="1" t="s">
        <v>118</v>
      </c>
      <c r="M68" s="1">
        <v>1</v>
      </c>
      <c r="N68" s="1" t="s">
        <v>272</v>
      </c>
      <c r="O68" s="1">
        <v>5</v>
      </c>
      <c r="P68" s="1">
        <v>5</v>
      </c>
      <c r="Q68" s="1" t="s">
        <v>41</v>
      </c>
      <c r="R68" s="1">
        <v>7</v>
      </c>
      <c r="S68" s="1">
        <v>3</v>
      </c>
      <c r="T68" s="1">
        <v>5</v>
      </c>
      <c r="U68" s="1">
        <v>3</v>
      </c>
      <c r="V68" s="1">
        <v>3</v>
      </c>
      <c r="W68" s="1">
        <v>2</v>
      </c>
      <c r="X68" s="1">
        <v>2</v>
      </c>
      <c r="Y68" s="1">
        <v>2</v>
      </c>
      <c r="Z68" s="1">
        <v>0</v>
      </c>
      <c r="AA68" s="1">
        <v>2</v>
      </c>
      <c r="AB68" s="1">
        <v>0</v>
      </c>
      <c r="AC68" s="1">
        <v>2</v>
      </c>
      <c r="AD68" s="1">
        <v>7</v>
      </c>
      <c r="AE68" s="1">
        <v>4</v>
      </c>
      <c r="AF68" s="1">
        <v>2</v>
      </c>
      <c r="AG68" s="1" t="s">
        <v>273</v>
      </c>
      <c r="AH68" s="1">
        <v>11992069021</v>
      </c>
      <c r="AI68" s="1" t="s">
        <v>274</v>
      </c>
      <c r="AL68">
        <f>SUM(Tabela24[[#This Row],[Dada a seguinte lista de itens, você poderia informar  a quantidade de cada um que há em sua casa? '[Banheiros']]:[Sua casa tem acesso aos seguintes serviços públicos? '[Rua pavimentada']]])</f>
        <v>44</v>
      </c>
      <c r="AM68">
        <v>44</v>
      </c>
      <c r="AN68">
        <f t="shared" si="2"/>
        <v>0</v>
      </c>
      <c r="AQ68" t="s">
        <v>48</v>
      </c>
    </row>
    <row r="69" spans="1:43">
      <c r="A69" s="2">
        <v>45458.550504074075</v>
      </c>
      <c r="B69" s="1" t="s">
        <v>169</v>
      </c>
      <c r="C69" s="1" t="s">
        <v>37</v>
      </c>
      <c r="D69" s="1" t="s">
        <v>37</v>
      </c>
      <c r="E69" s="1" t="s">
        <v>37</v>
      </c>
      <c r="F69" s="1" t="s">
        <v>49</v>
      </c>
      <c r="G69" s="1">
        <v>4</v>
      </c>
      <c r="H69" s="1">
        <v>5</v>
      </c>
      <c r="I69" s="1">
        <v>5</v>
      </c>
      <c r="J69" s="1">
        <v>2</v>
      </c>
      <c r="K69" s="1">
        <v>4</v>
      </c>
      <c r="L69" s="1" t="s">
        <v>275</v>
      </c>
      <c r="M69" s="1">
        <v>4</v>
      </c>
      <c r="N69" s="1" t="s">
        <v>276</v>
      </c>
      <c r="O69" s="1">
        <v>4</v>
      </c>
      <c r="P69" s="1">
        <v>4</v>
      </c>
      <c r="Q69" s="1" t="s">
        <v>41</v>
      </c>
      <c r="R69" s="1">
        <v>14</v>
      </c>
      <c r="S69" s="1">
        <v>3</v>
      </c>
      <c r="T69" s="1">
        <v>5</v>
      </c>
      <c r="U69" s="1">
        <v>11</v>
      </c>
      <c r="V69" s="1">
        <v>3</v>
      </c>
      <c r="W69" s="1">
        <v>2</v>
      </c>
      <c r="X69" s="1">
        <v>0</v>
      </c>
      <c r="Y69" s="1">
        <v>2</v>
      </c>
      <c r="Z69" s="1">
        <v>0</v>
      </c>
      <c r="AA69" s="1">
        <v>2</v>
      </c>
      <c r="AB69" s="1">
        <v>0</v>
      </c>
      <c r="AC69" s="1">
        <v>2</v>
      </c>
      <c r="AD69" s="1">
        <v>7</v>
      </c>
      <c r="AE69" s="1">
        <v>4</v>
      </c>
      <c r="AF69" s="1">
        <v>2</v>
      </c>
      <c r="AG69" s="1" t="s">
        <v>277</v>
      </c>
      <c r="AH69" s="1">
        <v>11993929515</v>
      </c>
      <c r="AI69" s="1" t="s">
        <v>278</v>
      </c>
      <c r="AL69">
        <f>SUM(Tabela24[[#This Row],[Dada a seguinte lista de itens, você poderia informar  a quantidade de cada um que há em sua casa? '[Banheiros']]:[Sua casa tem acesso aos seguintes serviços públicos? '[Rua pavimentada']]])</f>
        <v>57</v>
      </c>
      <c r="AM69">
        <v>57</v>
      </c>
      <c r="AN69">
        <f t="shared" si="2"/>
        <v>0</v>
      </c>
      <c r="AQ69" t="s">
        <v>56</v>
      </c>
    </row>
    <row r="70" spans="1:43" ht="12.95">
      <c r="A70" s="3">
        <v>45458.562734363426</v>
      </c>
      <c r="B70" s="4" t="s">
        <v>36</v>
      </c>
      <c r="C70" s="4" t="s">
        <v>37</v>
      </c>
      <c r="D70" s="4" t="s">
        <v>37</v>
      </c>
      <c r="E70" s="4" t="s">
        <v>37</v>
      </c>
      <c r="F70" s="4" t="s">
        <v>84</v>
      </c>
      <c r="G70" s="4">
        <v>3</v>
      </c>
      <c r="H70" s="4">
        <v>4</v>
      </c>
      <c r="I70" s="4">
        <v>5</v>
      </c>
      <c r="J70" s="4">
        <v>1</v>
      </c>
      <c r="K70" s="4">
        <v>5</v>
      </c>
      <c r="L70" s="4" t="s">
        <v>226</v>
      </c>
      <c r="M70" s="4">
        <v>1</v>
      </c>
      <c r="N70" s="4" t="s">
        <v>152</v>
      </c>
      <c r="O70" s="4">
        <v>4</v>
      </c>
      <c r="P70" s="4">
        <v>4</v>
      </c>
      <c r="Q70" s="4" t="s">
        <v>41</v>
      </c>
      <c r="R70" s="4">
        <v>14</v>
      </c>
      <c r="S70" s="4">
        <v>3</v>
      </c>
      <c r="T70" s="4">
        <v>3</v>
      </c>
      <c r="U70" s="4">
        <v>11</v>
      </c>
      <c r="V70" s="4">
        <v>3</v>
      </c>
      <c r="W70" s="4">
        <v>2</v>
      </c>
      <c r="X70" s="4">
        <v>0</v>
      </c>
      <c r="Y70" s="4">
        <v>2</v>
      </c>
      <c r="Z70" s="4">
        <v>0</v>
      </c>
      <c r="AA70" s="4">
        <v>2</v>
      </c>
      <c r="AB70" s="4">
        <v>0</v>
      </c>
      <c r="AC70" s="4">
        <v>2</v>
      </c>
      <c r="AD70" s="4">
        <v>7</v>
      </c>
      <c r="AE70" s="4">
        <v>4</v>
      </c>
      <c r="AF70" s="4">
        <v>2</v>
      </c>
      <c r="AG70" s="4" t="s">
        <v>383</v>
      </c>
      <c r="AH70" s="4">
        <v>11999</v>
      </c>
      <c r="AI70" s="4" t="s">
        <v>384</v>
      </c>
      <c r="AL70">
        <f>SUM(Tabela24[[#This Row],[Dada a seguinte lista de itens, você poderia informar  a quantidade de cada um que há em sua casa? '[Banheiros']]:[Sua casa tem acesso aos seguintes serviços públicos? '[Rua pavimentada']]])</f>
        <v>55</v>
      </c>
      <c r="AM70">
        <v>55</v>
      </c>
      <c r="AN70">
        <f t="shared" si="2"/>
        <v>0</v>
      </c>
      <c r="AQ70" t="s">
        <v>56</v>
      </c>
    </row>
    <row r="71" spans="1:43">
      <c r="A71" s="2">
        <v>45458.570144803241</v>
      </c>
      <c r="B71" s="1" t="s">
        <v>98</v>
      </c>
      <c r="C71" s="1" t="s">
        <v>37</v>
      </c>
      <c r="D71" s="1" t="s">
        <v>37</v>
      </c>
      <c r="E71" s="1" t="s">
        <v>37</v>
      </c>
      <c r="F71" s="1" t="s">
        <v>69</v>
      </c>
      <c r="G71" s="1">
        <v>4</v>
      </c>
      <c r="H71" s="1">
        <v>1</v>
      </c>
      <c r="I71" s="1">
        <v>1</v>
      </c>
      <c r="J71" s="1">
        <v>1</v>
      </c>
      <c r="K71" s="1">
        <v>2</v>
      </c>
      <c r="L71" s="1" t="s">
        <v>195</v>
      </c>
      <c r="M71" s="1">
        <v>1</v>
      </c>
      <c r="N71" s="1" t="s">
        <v>281</v>
      </c>
      <c r="O71" s="1">
        <v>5</v>
      </c>
      <c r="P71" s="1">
        <v>3</v>
      </c>
      <c r="Q71" s="1" t="s">
        <v>66</v>
      </c>
      <c r="R71" s="1">
        <v>3</v>
      </c>
      <c r="S71" s="1">
        <v>0</v>
      </c>
      <c r="T71" s="1">
        <v>5</v>
      </c>
      <c r="U71" s="1">
        <v>3</v>
      </c>
      <c r="V71" s="1">
        <v>0</v>
      </c>
      <c r="W71" s="1">
        <v>2</v>
      </c>
      <c r="X71" s="1">
        <v>0</v>
      </c>
      <c r="Y71" s="1">
        <v>2</v>
      </c>
      <c r="Z71" s="1">
        <v>0</v>
      </c>
      <c r="AA71" s="1">
        <v>2</v>
      </c>
      <c r="AB71" s="1">
        <v>0</v>
      </c>
      <c r="AC71" s="1">
        <v>2</v>
      </c>
      <c r="AD71" s="1">
        <v>7</v>
      </c>
      <c r="AE71" s="1">
        <v>4</v>
      </c>
      <c r="AF71" s="1">
        <v>2</v>
      </c>
      <c r="AG71" s="1" t="s">
        <v>282</v>
      </c>
      <c r="AH71" s="1">
        <v>11965829053</v>
      </c>
      <c r="AI71" s="1" t="s">
        <v>283</v>
      </c>
      <c r="AL71">
        <f>SUM(Tabela24[[#This Row],[Dada a seguinte lista de itens, você poderia informar  a quantidade de cada um que há em sua casa? '[Banheiros']]:[Sua casa tem acesso aos seguintes serviços públicos? '[Rua pavimentada']]])</f>
        <v>32</v>
      </c>
      <c r="AM71">
        <v>32</v>
      </c>
      <c r="AN71">
        <f t="shared" si="2"/>
        <v>0</v>
      </c>
      <c r="AQ71" t="s">
        <v>62</v>
      </c>
    </row>
    <row r="72" spans="1:43">
      <c r="A72" s="2">
        <v>45458.570587870374</v>
      </c>
      <c r="B72" s="1" t="s">
        <v>98</v>
      </c>
      <c r="C72" s="1" t="s">
        <v>37</v>
      </c>
      <c r="D72" s="1" t="s">
        <v>37</v>
      </c>
      <c r="E72" s="1" t="s">
        <v>37</v>
      </c>
      <c r="F72" s="1" t="s">
        <v>89</v>
      </c>
      <c r="G72" s="1">
        <v>3</v>
      </c>
      <c r="H72" s="1">
        <v>2</v>
      </c>
      <c r="I72" s="1">
        <v>1</v>
      </c>
      <c r="J72" s="1">
        <v>1</v>
      </c>
      <c r="K72" s="1">
        <v>2</v>
      </c>
      <c r="L72" s="1" t="s">
        <v>243</v>
      </c>
      <c r="M72" s="1">
        <v>4</v>
      </c>
      <c r="N72" s="1" t="s">
        <v>58</v>
      </c>
      <c r="O72" s="1">
        <v>5</v>
      </c>
      <c r="P72" s="1">
        <v>5</v>
      </c>
      <c r="Q72" s="1" t="s">
        <v>41</v>
      </c>
      <c r="R72" s="1">
        <v>10</v>
      </c>
      <c r="S72" s="1">
        <v>3</v>
      </c>
      <c r="T72" s="1">
        <v>8</v>
      </c>
      <c r="U72" s="1">
        <v>11</v>
      </c>
      <c r="V72" s="1">
        <v>0</v>
      </c>
      <c r="W72" s="1">
        <v>2</v>
      </c>
      <c r="X72" s="1">
        <v>0</v>
      </c>
      <c r="Y72" s="1">
        <v>2</v>
      </c>
      <c r="Z72" s="1">
        <v>3</v>
      </c>
      <c r="AA72" s="1">
        <v>2</v>
      </c>
      <c r="AB72" s="1">
        <v>0</v>
      </c>
      <c r="AC72" s="1">
        <v>0</v>
      </c>
      <c r="AD72" s="1">
        <v>0</v>
      </c>
      <c r="AE72" s="1">
        <v>4</v>
      </c>
      <c r="AF72" s="1">
        <v>2</v>
      </c>
      <c r="AG72" s="1" t="s">
        <v>285</v>
      </c>
      <c r="AH72" s="1">
        <v>11941760307</v>
      </c>
      <c r="AI72" s="1" t="s">
        <v>286</v>
      </c>
      <c r="AL72">
        <f>SUM(Tabela24[[#This Row],[Dada a seguinte lista de itens, você poderia informar  a quantidade de cada um que há em sua casa? '[Banheiros']]:[Sua casa tem acesso aos seguintes serviços públicos? '[Rua pavimentada']]])</f>
        <v>47</v>
      </c>
      <c r="AM72">
        <v>47</v>
      </c>
      <c r="AN72">
        <f t="shared" si="2"/>
        <v>0</v>
      </c>
      <c r="AQ72" t="s">
        <v>56</v>
      </c>
    </row>
    <row r="73" spans="1:43">
      <c r="A73" s="2">
        <v>45458.579668240738</v>
      </c>
      <c r="B73" s="1" t="s">
        <v>63</v>
      </c>
      <c r="C73" s="1" t="s">
        <v>37</v>
      </c>
      <c r="D73" s="1" t="s">
        <v>37</v>
      </c>
      <c r="E73" s="1" t="s">
        <v>37</v>
      </c>
      <c r="F73" s="1" t="s">
        <v>89</v>
      </c>
      <c r="G73" s="1">
        <v>4</v>
      </c>
      <c r="H73" s="1">
        <v>5</v>
      </c>
      <c r="I73" s="1">
        <v>4</v>
      </c>
      <c r="J73" s="1">
        <v>1</v>
      </c>
      <c r="K73" s="1">
        <v>5</v>
      </c>
      <c r="L73" s="1" t="s">
        <v>39</v>
      </c>
      <c r="M73" s="1">
        <v>3</v>
      </c>
      <c r="N73" s="1" t="s">
        <v>287</v>
      </c>
      <c r="O73" s="1">
        <v>5</v>
      </c>
      <c r="P73" s="1">
        <v>1</v>
      </c>
      <c r="Q73" s="1" t="s">
        <v>66</v>
      </c>
      <c r="R73" s="1">
        <v>3</v>
      </c>
      <c r="S73" s="1">
        <v>0</v>
      </c>
      <c r="T73" s="1">
        <v>0</v>
      </c>
      <c r="U73" s="1">
        <v>3</v>
      </c>
      <c r="V73" s="1">
        <v>0</v>
      </c>
      <c r="W73" s="1">
        <v>2</v>
      </c>
      <c r="X73" s="1">
        <v>2</v>
      </c>
      <c r="Y73" s="1">
        <v>2</v>
      </c>
      <c r="Z73" s="1">
        <v>1</v>
      </c>
      <c r="AA73" s="1">
        <v>2</v>
      </c>
      <c r="AB73" s="1">
        <v>0</v>
      </c>
      <c r="AC73" s="1">
        <v>2</v>
      </c>
      <c r="AD73" s="1">
        <v>7</v>
      </c>
      <c r="AE73" s="1">
        <v>4</v>
      </c>
      <c r="AF73" s="1">
        <v>2</v>
      </c>
      <c r="AG73" s="1" t="s">
        <v>288</v>
      </c>
      <c r="AH73" s="1">
        <v>11993544822</v>
      </c>
      <c r="AI73" s="1" t="s">
        <v>289</v>
      </c>
      <c r="AL73">
        <f>SUM(Tabela24[[#This Row],[Dada a seguinte lista de itens, você poderia informar  a quantidade de cada um que há em sua casa? '[Banheiros']]:[Sua casa tem acesso aos seguintes serviços públicos? '[Rua pavimentada']]])</f>
        <v>30</v>
      </c>
      <c r="AM73">
        <v>30</v>
      </c>
      <c r="AN73">
        <f t="shared" si="2"/>
        <v>0</v>
      </c>
      <c r="AQ73" t="s">
        <v>62</v>
      </c>
    </row>
    <row r="74" spans="1:43">
      <c r="A74" s="2">
        <v>45458.579850243055</v>
      </c>
      <c r="B74" s="1" t="s">
        <v>63</v>
      </c>
      <c r="C74" s="1" t="s">
        <v>37</v>
      </c>
      <c r="D74" s="1" t="s">
        <v>37</v>
      </c>
      <c r="E74" s="1" t="s">
        <v>37</v>
      </c>
      <c r="F74" s="1" t="s">
        <v>89</v>
      </c>
      <c r="G74" s="1">
        <v>4</v>
      </c>
      <c r="H74" s="1">
        <v>3</v>
      </c>
      <c r="I74" s="1">
        <v>2</v>
      </c>
      <c r="J74" s="1">
        <v>1</v>
      </c>
      <c r="K74" s="1">
        <v>4</v>
      </c>
      <c r="L74" s="1" t="s">
        <v>39</v>
      </c>
      <c r="M74" s="1">
        <v>4</v>
      </c>
      <c r="N74" s="1" t="s">
        <v>290</v>
      </c>
      <c r="O74" s="1">
        <v>5</v>
      </c>
      <c r="P74" s="1">
        <v>5</v>
      </c>
      <c r="Q74" s="1" t="s">
        <v>41</v>
      </c>
      <c r="R74" s="1">
        <v>3</v>
      </c>
      <c r="S74" s="1">
        <v>0</v>
      </c>
      <c r="T74" s="1">
        <v>3</v>
      </c>
      <c r="U74" s="1">
        <v>3</v>
      </c>
      <c r="V74" s="1">
        <v>0</v>
      </c>
      <c r="W74" s="1">
        <v>2</v>
      </c>
      <c r="X74" s="1">
        <v>2</v>
      </c>
      <c r="Y74" s="1">
        <v>2</v>
      </c>
      <c r="Z74" s="1">
        <v>1</v>
      </c>
      <c r="AA74" s="1">
        <v>2</v>
      </c>
      <c r="AB74" s="1">
        <v>0</v>
      </c>
      <c r="AC74" s="1">
        <v>2</v>
      </c>
      <c r="AD74" s="1">
        <v>7</v>
      </c>
      <c r="AE74" s="1">
        <v>4</v>
      </c>
      <c r="AF74" s="1">
        <v>2</v>
      </c>
      <c r="AG74" s="1" t="s">
        <v>291</v>
      </c>
      <c r="AH74" s="1">
        <v>11999661892</v>
      </c>
      <c r="AI74" s="1" t="s">
        <v>292</v>
      </c>
      <c r="AL74">
        <f>SUM(Tabela24[[#This Row],[Dada a seguinte lista de itens, você poderia informar  a quantidade de cada um que há em sua casa? '[Banheiros']]:[Sua casa tem acesso aos seguintes serviços públicos? '[Rua pavimentada']]])</f>
        <v>33</v>
      </c>
      <c r="AM74">
        <v>33</v>
      </c>
      <c r="AN74">
        <f t="shared" si="2"/>
        <v>0</v>
      </c>
      <c r="AQ74" t="s">
        <v>62</v>
      </c>
    </row>
    <row r="75" spans="1:43">
      <c r="A75" s="2">
        <v>45458.579877662036</v>
      </c>
      <c r="B75" s="1" t="s">
        <v>98</v>
      </c>
      <c r="C75" s="1" t="s">
        <v>37</v>
      </c>
      <c r="D75" s="1" t="s">
        <v>37</v>
      </c>
      <c r="E75" s="1" t="s">
        <v>37</v>
      </c>
      <c r="F75" s="1" t="s">
        <v>49</v>
      </c>
      <c r="G75" s="1">
        <v>3</v>
      </c>
      <c r="H75" s="1">
        <v>1</v>
      </c>
      <c r="I75" s="1">
        <v>1</v>
      </c>
      <c r="J75" s="1">
        <v>1</v>
      </c>
      <c r="K75" s="1">
        <v>5</v>
      </c>
      <c r="L75" s="1" t="s">
        <v>90</v>
      </c>
      <c r="M75" s="1">
        <v>3</v>
      </c>
      <c r="N75" s="1" t="s">
        <v>155</v>
      </c>
      <c r="O75" s="1">
        <v>4</v>
      </c>
      <c r="P75" s="1">
        <v>5</v>
      </c>
      <c r="Q75" s="1" t="s">
        <v>66</v>
      </c>
      <c r="R75" s="1">
        <v>7</v>
      </c>
      <c r="S75" s="1">
        <v>0</v>
      </c>
      <c r="T75" s="1">
        <v>5</v>
      </c>
      <c r="U75" s="1">
        <v>0</v>
      </c>
      <c r="V75" s="1">
        <v>0</v>
      </c>
      <c r="W75" s="1">
        <v>2</v>
      </c>
      <c r="X75" s="1">
        <v>2</v>
      </c>
      <c r="Y75" s="1">
        <v>4</v>
      </c>
      <c r="Z75" s="1">
        <v>0</v>
      </c>
      <c r="AA75" s="1">
        <v>2</v>
      </c>
      <c r="AB75" s="1">
        <v>0</v>
      </c>
      <c r="AC75" s="1">
        <v>0</v>
      </c>
      <c r="AD75" s="1">
        <v>4</v>
      </c>
      <c r="AE75" s="1">
        <v>4</v>
      </c>
      <c r="AF75" s="1">
        <v>2</v>
      </c>
      <c r="AG75" s="1" t="s">
        <v>293</v>
      </c>
      <c r="AH75" s="1">
        <v>11934327125</v>
      </c>
      <c r="AI75" s="1" t="s">
        <v>294</v>
      </c>
      <c r="AL75">
        <f>SUM(Tabela24[[#This Row],[Dada a seguinte lista de itens, você poderia informar  a quantidade de cada um que há em sua casa? '[Banheiros']]:[Sua casa tem acesso aos seguintes serviços públicos? '[Rua pavimentada']]])</f>
        <v>32</v>
      </c>
      <c r="AM75">
        <v>32</v>
      </c>
      <c r="AN75">
        <f t="shared" si="2"/>
        <v>0</v>
      </c>
      <c r="AQ75" t="s">
        <v>62</v>
      </c>
    </row>
    <row r="76" spans="1:43">
      <c r="A76" s="2">
        <v>45458.580910891207</v>
      </c>
      <c r="B76" s="1" t="s">
        <v>36</v>
      </c>
      <c r="C76" s="1" t="s">
        <v>37</v>
      </c>
      <c r="D76" s="1" t="s">
        <v>37</v>
      </c>
      <c r="E76" s="1" t="s">
        <v>37</v>
      </c>
      <c r="F76" s="1" t="s">
        <v>69</v>
      </c>
      <c r="G76" s="1">
        <v>5</v>
      </c>
      <c r="H76" s="1">
        <v>5</v>
      </c>
      <c r="I76" s="1">
        <v>4</v>
      </c>
      <c r="J76" s="1">
        <v>1</v>
      </c>
      <c r="K76" s="1">
        <v>5</v>
      </c>
      <c r="L76" s="1" t="s">
        <v>160</v>
      </c>
      <c r="M76" s="1">
        <v>5</v>
      </c>
      <c r="N76" s="1" t="s">
        <v>295</v>
      </c>
      <c r="O76" s="1">
        <v>5</v>
      </c>
      <c r="P76" s="1">
        <v>5</v>
      </c>
      <c r="Q76" s="1" t="s">
        <v>41</v>
      </c>
      <c r="R76" s="1">
        <v>7</v>
      </c>
      <c r="S76" s="1">
        <v>0</v>
      </c>
      <c r="T76" s="1">
        <v>3</v>
      </c>
      <c r="U76" s="1">
        <v>3</v>
      </c>
      <c r="V76" s="1">
        <v>0</v>
      </c>
      <c r="W76" s="1">
        <v>2</v>
      </c>
      <c r="X76" s="1">
        <v>0</v>
      </c>
      <c r="Y76" s="1">
        <v>2</v>
      </c>
      <c r="Z76" s="1">
        <v>0</v>
      </c>
      <c r="AA76" s="1">
        <v>0</v>
      </c>
      <c r="AB76" s="1">
        <v>0</v>
      </c>
      <c r="AC76" s="1">
        <v>2</v>
      </c>
      <c r="AD76" s="1">
        <v>7</v>
      </c>
      <c r="AE76" s="1">
        <v>4</v>
      </c>
      <c r="AF76" s="1">
        <v>2</v>
      </c>
      <c r="AG76" s="1" t="s">
        <v>296</v>
      </c>
      <c r="AH76" s="1">
        <v>11989946363</v>
      </c>
      <c r="AI76" s="1" t="s">
        <v>297</v>
      </c>
      <c r="AL76">
        <f>SUM(Tabela24[[#This Row],[Dada a seguinte lista de itens, você poderia informar  a quantidade de cada um que há em sua casa? '[Banheiros']]:[Sua casa tem acesso aos seguintes serviços públicos? '[Rua pavimentada']]])</f>
        <v>32</v>
      </c>
      <c r="AM76">
        <v>32</v>
      </c>
      <c r="AN76">
        <f t="shared" si="2"/>
        <v>0</v>
      </c>
      <c r="AQ76" t="s">
        <v>62</v>
      </c>
    </row>
    <row r="77" spans="1:43">
      <c r="A77" s="2">
        <v>45458.581422118055</v>
      </c>
      <c r="B77" s="1" t="s">
        <v>36</v>
      </c>
      <c r="C77" s="1" t="s">
        <v>37</v>
      </c>
      <c r="D77" s="1" t="s">
        <v>37</v>
      </c>
      <c r="E77" s="1" t="s">
        <v>37</v>
      </c>
      <c r="F77" s="1" t="s">
        <v>89</v>
      </c>
      <c r="G77" s="1">
        <v>2</v>
      </c>
      <c r="H77" s="1">
        <v>4</v>
      </c>
      <c r="I77" s="1">
        <v>3</v>
      </c>
      <c r="J77" s="1">
        <v>1</v>
      </c>
      <c r="K77" s="1">
        <v>5</v>
      </c>
      <c r="L77" s="1" t="s">
        <v>160</v>
      </c>
      <c r="M77" s="1">
        <v>3</v>
      </c>
      <c r="N77" s="1" t="s">
        <v>212</v>
      </c>
      <c r="O77" s="1">
        <v>5</v>
      </c>
      <c r="P77" s="1">
        <v>5</v>
      </c>
      <c r="Q77" s="1" t="s">
        <v>66</v>
      </c>
      <c r="R77" s="1">
        <v>7</v>
      </c>
      <c r="S77" s="1">
        <v>3</v>
      </c>
      <c r="T77" s="1">
        <v>3</v>
      </c>
      <c r="U77" s="1">
        <v>11</v>
      </c>
      <c r="V77" s="1">
        <v>3</v>
      </c>
      <c r="W77" s="1">
        <v>2</v>
      </c>
      <c r="X77" s="1">
        <v>2</v>
      </c>
      <c r="Y77" s="1">
        <v>2</v>
      </c>
      <c r="Z77" s="1">
        <v>0</v>
      </c>
      <c r="AA77" s="1">
        <v>2</v>
      </c>
      <c r="AB77" s="1">
        <v>1</v>
      </c>
      <c r="AC77" s="1">
        <v>2</v>
      </c>
      <c r="AD77" s="1">
        <v>7</v>
      </c>
      <c r="AE77" s="1">
        <v>4</v>
      </c>
      <c r="AF77" s="1">
        <v>2</v>
      </c>
      <c r="AG77" s="1" t="s">
        <v>385</v>
      </c>
      <c r="AH77" s="1">
        <v>11959010026</v>
      </c>
      <c r="AI77" s="1" t="s">
        <v>299</v>
      </c>
      <c r="AL77">
        <f>SUM(Tabela24[[#This Row],[Dada a seguinte lista de itens, você poderia informar  a quantidade de cada um que há em sua casa? '[Banheiros']]:[Sua casa tem acesso aos seguintes serviços públicos? '[Rua pavimentada']]])</f>
        <v>51</v>
      </c>
      <c r="AM77">
        <v>51</v>
      </c>
      <c r="AN77">
        <f t="shared" si="2"/>
        <v>0</v>
      </c>
      <c r="AQ77" t="s">
        <v>56</v>
      </c>
    </row>
    <row r="78" spans="1:43">
      <c r="A78" s="2">
        <v>45458.58334730324</v>
      </c>
      <c r="B78" s="1" t="s">
        <v>98</v>
      </c>
      <c r="C78" s="1" t="s">
        <v>37</v>
      </c>
      <c r="D78" s="1" t="s">
        <v>37</v>
      </c>
      <c r="E78" s="1" t="s">
        <v>37</v>
      </c>
      <c r="F78" s="1" t="s">
        <v>69</v>
      </c>
      <c r="G78" s="1">
        <v>5</v>
      </c>
      <c r="H78" s="1">
        <v>1</v>
      </c>
      <c r="I78" s="1">
        <v>5</v>
      </c>
      <c r="J78" s="1">
        <v>1</v>
      </c>
      <c r="K78" s="1">
        <v>5</v>
      </c>
      <c r="L78" s="1" t="s">
        <v>39</v>
      </c>
      <c r="M78" s="1">
        <v>2</v>
      </c>
      <c r="N78" s="1" t="s">
        <v>193</v>
      </c>
      <c r="O78" s="1">
        <v>4</v>
      </c>
      <c r="P78" s="1">
        <v>5</v>
      </c>
      <c r="Q78" s="1" t="s">
        <v>41</v>
      </c>
      <c r="R78" s="1">
        <v>3</v>
      </c>
      <c r="S78" s="1">
        <v>0</v>
      </c>
      <c r="T78" s="1">
        <v>3</v>
      </c>
      <c r="U78" s="1">
        <v>3</v>
      </c>
      <c r="V78" s="1">
        <v>0</v>
      </c>
      <c r="W78" s="1">
        <v>2</v>
      </c>
      <c r="X78" s="1">
        <v>0</v>
      </c>
      <c r="Y78" s="1">
        <v>2</v>
      </c>
      <c r="Z78" s="1">
        <v>0</v>
      </c>
      <c r="AA78" s="1">
        <v>2</v>
      </c>
      <c r="AB78" s="1">
        <v>0</v>
      </c>
      <c r="AC78" s="1">
        <v>0</v>
      </c>
      <c r="AD78" s="1">
        <v>7</v>
      </c>
      <c r="AE78" s="1">
        <v>4</v>
      </c>
      <c r="AF78" s="1">
        <v>2</v>
      </c>
      <c r="AG78" s="1" t="s">
        <v>300</v>
      </c>
      <c r="AH78" s="1">
        <v>11994197670</v>
      </c>
      <c r="AI78" s="1" t="s">
        <v>301</v>
      </c>
      <c r="AL78">
        <f>SUM(Tabela24[[#This Row],[Dada a seguinte lista de itens, você poderia informar  a quantidade de cada um que há em sua casa? '[Banheiros']]:[Sua casa tem acesso aos seguintes serviços públicos? '[Rua pavimentada']]])</f>
        <v>28</v>
      </c>
      <c r="AM78">
        <v>28</v>
      </c>
      <c r="AN78">
        <f t="shared" si="2"/>
        <v>0</v>
      </c>
      <c r="AQ78" t="s">
        <v>79</v>
      </c>
    </row>
    <row r="79" spans="1:43">
      <c r="A79" s="2">
        <v>45458.583378240743</v>
      </c>
      <c r="B79" s="1" t="s">
        <v>36</v>
      </c>
      <c r="C79" s="1" t="s">
        <v>37</v>
      </c>
      <c r="D79" s="1" t="s">
        <v>37</v>
      </c>
      <c r="E79" s="1" t="s">
        <v>37</v>
      </c>
      <c r="F79" s="1" t="s">
        <v>49</v>
      </c>
      <c r="G79" s="1">
        <v>1</v>
      </c>
      <c r="H79" s="1">
        <v>4</v>
      </c>
      <c r="I79" s="1">
        <v>5</v>
      </c>
      <c r="J79" s="1">
        <v>1</v>
      </c>
      <c r="K79" s="1">
        <v>3</v>
      </c>
      <c r="L79" s="1" t="s">
        <v>302</v>
      </c>
      <c r="M79" s="1">
        <v>4</v>
      </c>
      <c r="N79" s="1" t="s">
        <v>303</v>
      </c>
      <c r="O79" s="1">
        <v>4</v>
      </c>
      <c r="P79" s="1">
        <v>3</v>
      </c>
      <c r="Q79" s="1" t="s">
        <v>66</v>
      </c>
      <c r="R79" s="1">
        <v>3</v>
      </c>
      <c r="S79" s="1">
        <v>3</v>
      </c>
      <c r="T79" s="1">
        <v>3</v>
      </c>
      <c r="U79" s="1">
        <v>6</v>
      </c>
      <c r="V79" s="1">
        <v>0</v>
      </c>
      <c r="W79" s="1">
        <v>2</v>
      </c>
      <c r="X79" s="1">
        <v>2</v>
      </c>
      <c r="Y79" s="1">
        <v>2</v>
      </c>
      <c r="Z79" s="1">
        <v>0</v>
      </c>
      <c r="AA79" s="1">
        <v>2</v>
      </c>
      <c r="AB79" s="1">
        <v>0</v>
      </c>
      <c r="AC79" s="1">
        <v>2</v>
      </c>
      <c r="AD79" s="1">
        <v>7</v>
      </c>
      <c r="AE79" s="1">
        <v>4</v>
      </c>
      <c r="AF79" s="1">
        <v>2</v>
      </c>
      <c r="AG79" s="1" t="s">
        <v>304</v>
      </c>
      <c r="AH79" s="1">
        <v>11997018487</v>
      </c>
      <c r="AI79" s="1" t="s">
        <v>305</v>
      </c>
      <c r="AL79">
        <f>SUM(Tabela24[[#This Row],[Dada a seguinte lista de itens, você poderia informar  a quantidade de cada um que há em sua casa? '[Banheiros']]:[Sua casa tem acesso aos seguintes serviços públicos? '[Rua pavimentada']]])</f>
        <v>38</v>
      </c>
      <c r="AM79">
        <v>38</v>
      </c>
      <c r="AN79">
        <f t="shared" si="2"/>
        <v>0</v>
      </c>
      <c r="AQ79" t="s">
        <v>48</v>
      </c>
    </row>
    <row r="80" spans="1:43">
      <c r="A80" s="2">
        <v>45458.586848182866</v>
      </c>
      <c r="B80" s="1" t="s">
        <v>36</v>
      </c>
      <c r="C80" s="1" t="s">
        <v>37</v>
      </c>
      <c r="D80" s="1" t="s">
        <v>37</v>
      </c>
      <c r="E80" s="1" t="s">
        <v>37</v>
      </c>
      <c r="F80" s="1" t="s">
        <v>89</v>
      </c>
      <c r="G80" s="1">
        <v>5</v>
      </c>
      <c r="H80" s="1">
        <v>5</v>
      </c>
      <c r="I80" s="1">
        <v>3</v>
      </c>
      <c r="J80" s="1">
        <v>1</v>
      </c>
      <c r="K80" s="1">
        <v>1</v>
      </c>
      <c r="L80" s="1" t="s">
        <v>94</v>
      </c>
      <c r="M80" s="1">
        <v>5</v>
      </c>
      <c r="N80" s="1" t="s">
        <v>272</v>
      </c>
      <c r="O80" s="1">
        <v>5</v>
      </c>
      <c r="P80" s="1">
        <v>5</v>
      </c>
      <c r="Q80" s="1" t="s">
        <v>66</v>
      </c>
      <c r="R80" s="1">
        <v>10</v>
      </c>
      <c r="S80" s="1">
        <v>3</v>
      </c>
      <c r="T80" s="1">
        <v>5</v>
      </c>
      <c r="U80" s="1">
        <v>8</v>
      </c>
      <c r="V80" s="1">
        <v>0</v>
      </c>
      <c r="W80" s="1">
        <v>2</v>
      </c>
      <c r="X80" s="1">
        <v>2</v>
      </c>
      <c r="Y80" s="1">
        <v>2</v>
      </c>
      <c r="Z80" s="1">
        <v>1</v>
      </c>
      <c r="AA80" s="1">
        <v>2</v>
      </c>
      <c r="AB80" s="1">
        <v>0</v>
      </c>
      <c r="AC80" s="1">
        <v>2</v>
      </c>
      <c r="AD80" s="1">
        <v>7</v>
      </c>
      <c r="AE80" s="1">
        <v>4</v>
      </c>
      <c r="AF80" s="1">
        <v>2</v>
      </c>
      <c r="AG80" s="1" t="s">
        <v>306</v>
      </c>
      <c r="AH80" s="1">
        <v>11967035757</v>
      </c>
      <c r="AI80" s="1" t="s">
        <v>307</v>
      </c>
      <c r="AL80">
        <f>SUM(Tabela24[[#This Row],[Dada a seguinte lista de itens, você poderia informar  a quantidade de cada um que há em sua casa? '[Banheiros']]:[Sua casa tem acesso aos seguintes serviços públicos? '[Rua pavimentada']]])</f>
        <v>50</v>
      </c>
      <c r="AM80">
        <v>50</v>
      </c>
      <c r="AN80">
        <f t="shared" si="2"/>
        <v>0</v>
      </c>
      <c r="AQ80" t="s">
        <v>56</v>
      </c>
    </row>
    <row r="81" spans="1:43">
      <c r="A81" s="2">
        <v>45458.586866909725</v>
      </c>
      <c r="B81" s="1" t="s">
        <v>63</v>
      </c>
      <c r="C81" s="1" t="s">
        <v>37</v>
      </c>
      <c r="D81" s="1" t="s">
        <v>37</v>
      </c>
      <c r="E81" s="1" t="s">
        <v>37</v>
      </c>
      <c r="F81" s="1" t="s">
        <v>49</v>
      </c>
      <c r="G81" s="1">
        <v>3</v>
      </c>
      <c r="H81" s="1">
        <v>2</v>
      </c>
      <c r="I81" s="1">
        <v>5</v>
      </c>
      <c r="J81" s="1">
        <v>4</v>
      </c>
      <c r="K81" s="1">
        <v>5</v>
      </c>
      <c r="L81" s="1" t="s">
        <v>269</v>
      </c>
      <c r="M81" s="1">
        <v>4</v>
      </c>
      <c r="N81" s="1" t="s">
        <v>308</v>
      </c>
      <c r="O81" s="1">
        <v>5</v>
      </c>
      <c r="P81" s="1">
        <v>5</v>
      </c>
      <c r="Q81" s="1" t="s">
        <v>41</v>
      </c>
      <c r="R81" s="1">
        <v>7</v>
      </c>
      <c r="S81" s="1">
        <v>3</v>
      </c>
      <c r="T81" s="1">
        <v>0</v>
      </c>
      <c r="U81" s="1">
        <v>6</v>
      </c>
      <c r="V81" s="1">
        <v>3</v>
      </c>
      <c r="W81" s="1">
        <v>2</v>
      </c>
      <c r="X81" s="1">
        <v>2</v>
      </c>
      <c r="Y81" s="1">
        <v>2</v>
      </c>
      <c r="Z81" s="1">
        <v>0</v>
      </c>
      <c r="AA81" s="1">
        <v>2</v>
      </c>
      <c r="AB81" s="1">
        <v>0</v>
      </c>
      <c r="AC81" s="1">
        <v>2</v>
      </c>
      <c r="AD81" s="1">
        <v>7</v>
      </c>
      <c r="AE81" s="1">
        <v>4</v>
      </c>
      <c r="AF81" s="1">
        <v>2</v>
      </c>
      <c r="AG81" s="1" t="s">
        <v>309</v>
      </c>
      <c r="AH81" s="1">
        <v>1198123664</v>
      </c>
      <c r="AI81" s="1" t="s">
        <v>310</v>
      </c>
      <c r="AL81">
        <f>SUM(Tabela24[[#This Row],[Dada a seguinte lista de itens, você poderia informar  a quantidade de cada um que há em sua casa? '[Banheiros']]:[Sua casa tem acesso aos seguintes serviços públicos? '[Rua pavimentada']]])</f>
        <v>42</v>
      </c>
      <c r="AM81">
        <v>42</v>
      </c>
      <c r="AN81">
        <f t="shared" si="2"/>
        <v>0</v>
      </c>
      <c r="AQ81" t="s">
        <v>48</v>
      </c>
    </row>
    <row r="82" spans="1:43">
      <c r="A82" s="2">
        <v>45458.596983402778</v>
      </c>
      <c r="B82" s="1" t="s">
        <v>36</v>
      </c>
      <c r="C82" s="1" t="s">
        <v>37</v>
      </c>
      <c r="D82" s="1" t="s">
        <v>37</v>
      </c>
      <c r="E82" s="1" t="s">
        <v>37</v>
      </c>
      <c r="F82" s="1" t="s">
        <v>49</v>
      </c>
      <c r="G82" s="1">
        <v>4</v>
      </c>
      <c r="H82" s="1">
        <v>3</v>
      </c>
      <c r="I82" s="1">
        <v>1</v>
      </c>
      <c r="J82" s="1">
        <v>1</v>
      </c>
      <c r="K82" s="1">
        <v>4</v>
      </c>
      <c r="L82" s="1" t="s">
        <v>311</v>
      </c>
      <c r="M82" s="1">
        <v>1</v>
      </c>
      <c r="N82" s="1" t="s">
        <v>111</v>
      </c>
      <c r="O82" s="1">
        <v>1</v>
      </c>
      <c r="P82" s="1">
        <v>1</v>
      </c>
      <c r="Q82" s="1" t="s">
        <v>66</v>
      </c>
      <c r="R82" s="1">
        <v>7</v>
      </c>
      <c r="S82" s="1">
        <v>0</v>
      </c>
      <c r="T82" s="1">
        <v>3</v>
      </c>
      <c r="U82" s="1">
        <v>3</v>
      </c>
      <c r="V82" s="1">
        <v>3</v>
      </c>
      <c r="W82" s="1">
        <v>2</v>
      </c>
      <c r="X82" s="1">
        <v>0</v>
      </c>
      <c r="Y82" s="1">
        <v>2</v>
      </c>
      <c r="Z82" s="1">
        <v>0</v>
      </c>
      <c r="AA82" s="1">
        <v>2</v>
      </c>
      <c r="AB82" s="1">
        <v>1</v>
      </c>
      <c r="AC82" s="1">
        <v>0</v>
      </c>
      <c r="AD82" s="1">
        <v>7</v>
      </c>
      <c r="AE82" s="1">
        <v>4</v>
      </c>
      <c r="AF82" s="1">
        <v>2</v>
      </c>
      <c r="AG82" s="1" t="s">
        <v>386</v>
      </c>
      <c r="AH82" s="1">
        <v>11972554010</v>
      </c>
      <c r="AI82" s="1" t="s">
        <v>313</v>
      </c>
      <c r="AL82">
        <f>SUM(Tabela24[[#This Row],[Dada a seguinte lista de itens, você poderia informar  a quantidade de cada um que há em sua casa? '[Banheiros']]:[Sua casa tem acesso aos seguintes serviços públicos? '[Rua pavimentada']]])</f>
        <v>36</v>
      </c>
      <c r="AM82">
        <v>36</v>
      </c>
      <c r="AN82">
        <f t="shared" si="2"/>
        <v>0</v>
      </c>
      <c r="AQ82" t="s">
        <v>62</v>
      </c>
    </row>
    <row r="83" spans="1:43">
      <c r="A83" s="2">
        <v>45458.597133055555</v>
      </c>
      <c r="B83" s="1" t="s">
        <v>36</v>
      </c>
      <c r="C83" s="1" t="s">
        <v>37</v>
      </c>
      <c r="D83" s="1" t="s">
        <v>37</v>
      </c>
      <c r="E83" s="1" t="s">
        <v>37</v>
      </c>
      <c r="F83" s="1" t="s">
        <v>49</v>
      </c>
      <c r="G83" s="1">
        <v>5</v>
      </c>
      <c r="H83" s="1">
        <v>5</v>
      </c>
      <c r="I83" s="1">
        <v>2</v>
      </c>
      <c r="J83" s="1">
        <v>1</v>
      </c>
      <c r="K83" s="1">
        <v>5</v>
      </c>
      <c r="L83" s="1" t="s">
        <v>269</v>
      </c>
      <c r="M83" s="1">
        <v>5</v>
      </c>
      <c r="N83" s="1" t="s">
        <v>314</v>
      </c>
      <c r="O83" s="1">
        <v>5</v>
      </c>
      <c r="P83" s="1">
        <v>5</v>
      </c>
      <c r="Q83" s="1" t="s">
        <v>41</v>
      </c>
      <c r="R83" s="1">
        <v>7</v>
      </c>
      <c r="S83" s="1">
        <v>0</v>
      </c>
      <c r="T83" s="1">
        <v>0</v>
      </c>
      <c r="U83" s="1">
        <v>3</v>
      </c>
      <c r="V83" s="1">
        <v>0</v>
      </c>
      <c r="W83" s="1">
        <v>2</v>
      </c>
      <c r="X83" s="1">
        <v>0</v>
      </c>
      <c r="Y83" s="1">
        <v>0</v>
      </c>
      <c r="Z83" s="1">
        <v>0</v>
      </c>
      <c r="AA83" s="1">
        <v>2</v>
      </c>
      <c r="AB83" s="1">
        <v>0</v>
      </c>
      <c r="AC83" s="1">
        <v>0</v>
      </c>
      <c r="AD83" s="1">
        <v>7</v>
      </c>
      <c r="AE83" s="1">
        <v>4</v>
      </c>
      <c r="AF83" s="1">
        <v>2</v>
      </c>
      <c r="AG83" s="1" t="s">
        <v>315</v>
      </c>
      <c r="AH83" s="1">
        <v>11969144489</v>
      </c>
      <c r="AI83" s="1" t="s">
        <v>316</v>
      </c>
      <c r="AL83">
        <f>SUM(Tabela24[[#This Row],[Dada a seguinte lista de itens, você poderia informar  a quantidade de cada um que há em sua casa? '[Banheiros']]:[Sua casa tem acesso aos seguintes serviços públicos? '[Rua pavimentada']]])</f>
        <v>27</v>
      </c>
      <c r="AM83">
        <v>27</v>
      </c>
      <c r="AN83">
        <f t="shared" si="2"/>
        <v>0</v>
      </c>
      <c r="AQ83" t="s">
        <v>79</v>
      </c>
    </row>
    <row r="84" spans="1:43">
      <c r="A84" s="2">
        <v>45458.59727356481</v>
      </c>
      <c r="B84" s="1" t="s">
        <v>36</v>
      </c>
      <c r="C84" s="1" t="s">
        <v>37</v>
      </c>
      <c r="D84" s="1" t="s">
        <v>37</v>
      </c>
      <c r="E84" s="1" t="s">
        <v>37</v>
      </c>
      <c r="F84" s="1" t="s">
        <v>89</v>
      </c>
      <c r="G84" s="1">
        <v>5</v>
      </c>
      <c r="H84" s="1">
        <v>3</v>
      </c>
      <c r="I84" s="1">
        <v>1</v>
      </c>
      <c r="J84" s="1">
        <v>1</v>
      </c>
      <c r="K84" s="1">
        <v>4</v>
      </c>
      <c r="L84" s="1" t="s">
        <v>118</v>
      </c>
      <c r="M84" s="1">
        <v>4</v>
      </c>
      <c r="N84" s="1" t="s">
        <v>287</v>
      </c>
      <c r="O84" s="1">
        <v>5</v>
      </c>
      <c r="P84" s="1">
        <v>2</v>
      </c>
      <c r="Q84" s="1" t="s">
        <v>41</v>
      </c>
      <c r="R84" s="1">
        <v>10</v>
      </c>
      <c r="S84" s="1">
        <v>0</v>
      </c>
      <c r="T84" s="1">
        <v>3</v>
      </c>
      <c r="U84" s="1">
        <v>6</v>
      </c>
      <c r="V84" s="1">
        <v>0</v>
      </c>
      <c r="W84" s="1">
        <v>3</v>
      </c>
      <c r="X84" s="1">
        <v>0</v>
      </c>
      <c r="Y84" s="1">
        <v>2</v>
      </c>
      <c r="Z84" s="1">
        <v>0</v>
      </c>
      <c r="AA84" s="1">
        <v>2</v>
      </c>
      <c r="AB84" s="1">
        <v>0</v>
      </c>
      <c r="AC84" s="1">
        <v>0</v>
      </c>
      <c r="AD84" s="1">
        <v>7</v>
      </c>
      <c r="AE84" s="1">
        <v>4</v>
      </c>
      <c r="AF84" s="1">
        <v>2</v>
      </c>
      <c r="AG84" s="1" t="s">
        <v>317</v>
      </c>
      <c r="AH84" s="1">
        <v>11993270569</v>
      </c>
      <c r="AI84" s="1" t="s">
        <v>318</v>
      </c>
      <c r="AL84">
        <f>SUM(Tabela24[[#This Row],[Dada a seguinte lista de itens, você poderia informar  a quantidade de cada um que há em sua casa? '[Banheiros']]:[Sua casa tem acesso aos seguintes serviços públicos? '[Rua pavimentada']]])</f>
        <v>39</v>
      </c>
      <c r="AM84">
        <v>39</v>
      </c>
      <c r="AN84">
        <f t="shared" si="2"/>
        <v>0</v>
      </c>
      <c r="AQ84" t="s">
        <v>48</v>
      </c>
    </row>
    <row r="85" spans="1:43">
      <c r="A85" s="2">
        <v>45458.597299537039</v>
      </c>
      <c r="B85" s="1" t="s">
        <v>36</v>
      </c>
      <c r="C85" s="1" t="s">
        <v>37</v>
      </c>
      <c r="D85" s="1" t="s">
        <v>37</v>
      </c>
      <c r="E85" s="1" t="s">
        <v>37</v>
      </c>
      <c r="F85" s="1" t="s">
        <v>49</v>
      </c>
      <c r="G85" s="1">
        <v>3</v>
      </c>
      <c r="H85" s="1">
        <v>4</v>
      </c>
      <c r="I85" s="1">
        <v>2</v>
      </c>
      <c r="J85" s="1">
        <v>1</v>
      </c>
      <c r="K85" s="1">
        <v>5</v>
      </c>
      <c r="L85" s="1" t="s">
        <v>39</v>
      </c>
      <c r="M85" s="1">
        <v>3</v>
      </c>
      <c r="N85" s="1" t="s">
        <v>295</v>
      </c>
      <c r="O85" s="1">
        <v>4</v>
      </c>
      <c r="P85" s="1">
        <v>3</v>
      </c>
      <c r="Q85" s="1" t="s">
        <v>41</v>
      </c>
      <c r="R85" s="1">
        <v>7</v>
      </c>
      <c r="S85" s="1">
        <v>3</v>
      </c>
      <c r="T85" s="1">
        <v>3</v>
      </c>
      <c r="U85" s="1">
        <v>6</v>
      </c>
      <c r="V85" s="1">
        <v>0</v>
      </c>
      <c r="W85" s="1">
        <v>2</v>
      </c>
      <c r="X85" s="1">
        <v>0</v>
      </c>
      <c r="Y85" s="1">
        <v>2</v>
      </c>
      <c r="Z85" s="1">
        <v>0</v>
      </c>
      <c r="AA85" s="1">
        <v>2</v>
      </c>
      <c r="AB85" s="1">
        <v>0</v>
      </c>
      <c r="AC85" s="1">
        <v>2</v>
      </c>
      <c r="AD85" s="1">
        <v>7</v>
      </c>
      <c r="AE85" s="1">
        <v>4</v>
      </c>
      <c r="AF85" s="1">
        <v>2</v>
      </c>
      <c r="AG85" s="1" t="s">
        <v>319</v>
      </c>
      <c r="AH85" s="1">
        <v>11988072020</v>
      </c>
      <c r="AI85" s="1" t="s">
        <v>320</v>
      </c>
      <c r="AL85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85">
        <v>40</v>
      </c>
      <c r="AN85">
        <f t="shared" si="2"/>
        <v>0</v>
      </c>
      <c r="AQ85" t="s">
        <v>48</v>
      </c>
    </row>
    <row r="86" spans="1:43">
      <c r="A86" s="2">
        <v>45458.600617349541</v>
      </c>
      <c r="B86" s="1" t="s">
        <v>36</v>
      </c>
      <c r="C86" s="1" t="s">
        <v>37</v>
      </c>
      <c r="D86" s="1" t="s">
        <v>37</v>
      </c>
      <c r="E86" s="1" t="s">
        <v>37</v>
      </c>
      <c r="F86" s="1" t="s">
        <v>49</v>
      </c>
      <c r="G86" s="1">
        <v>5</v>
      </c>
      <c r="H86" s="1">
        <v>4</v>
      </c>
      <c r="I86" s="1">
        <v>1</v>
      </c>
      <c r="J86" s="1">
        <v>1</v>
      </c>
      <c r="K86" s="1">
        <v>5</v>
      </c>
      <c r="L86" s="1" t="s">
        <v>321</v>
      </c>
      <c r="M86" s="1">
        <v>2</v>
      </c>
      <c r="N86" s="1" t="s">
        <v>322</v>
      </c>
      <c r="O86" s="1">
        <v>4</v>
      </c>
      <c r="P86" s="1">
        <v>5</v>
      </c>
      <c r="Q86" s="1" t="s">
        <v>66</v>
      </c>
      <c r="R86" s="1">
        <v>10</v>
      </c>
      <c r="S86" s="1">
        <v>0</v>
      </c>
      <c r="T86" s="1">
        <v>3</v>
      </c>
      <c r="U86" s="1">
        <v>8</v>
      </c>
      <c r="V86" s="1">
        <v>3</v>
      </c>
      <c r="W86" s="1">
        <v>3</v>
      </c>
      <c r="X86" s="1">
        <v>4</v>
      </c>
      <c r="Y86" s="1">
        <v>2</v>
      </c>
      <c r="Z86" s="1">
        <v>0</v>
      </c>
      <c r="AA86" s="1">
        <v>2</v>
      </c>
      <c r="AB86" s="1">
        <v>0</v>
      </c>
      <c r="AC86" s="1">
        <v>0</v>
      </c>
      <c r="AD86" s="1">
        <v>7</v>
      </c>
      <c r="AE86" s="1">
        <v>4</v>
      </c>
      <c r="AF86" s="1">
        <v>2</v>
      </c>
      <c r="AG86" s="1" t="s">
        <v>323</v>
      </c>
      <c r="AH86" s="1">
        <v>11964472494</v>
      </c>
      <c r="AI86" s="1" t="s">
        <v>324</v>
      </c>
      <c r="AL86">
        <f>SUM(Tabela24[[#This Row],[Dada a seguinte lista de itens, você poderia informar  a quantidade de cada um que há em sua casa? '[Banheiros']]:[Sua casa tem acesso aos seguintes serviços públicos? '[Rua pavimentada']]])</f>
        <v>48</v>
      </c>
      <c r="AM86">
        <v>48</v>
      </c>
      <c r="AN86">
        <f t="shared" si="2"/>
        <v>0</v>
      </c>
      <c r="AQ86" t="s">
        <v>56</v>
      </c>
    </row>
    <row r="87" spans="1:43">
      <c r="A87" s="2">
        <v>45458.601490173613</v>
      </c>
      <c r="B87" s="1" t="s">
        <v>98</v>
      </c>
      <c r="C87" s="1" t="s">
        <v>37</v>
      </c>
      <c r="D87" s="1" t="s">
        <v>37</v>
      </c>
      <c r="E87" s="1" t="s">
        <v>37</v>
      </c>
      <c r="F87" s="1" t="s">
        <v>89</v>
      </c>
      <c r="G87" s="1">
        <v>3</v>
      </c>
      <c r="H87" s="1">
        <v>2</v>
      </c>
      <c r="I87" s="1">
        <v>1</v>
      </c>
      <c r="J87" s="1">
        <v>1</v>
      </c>
      <c r="K87" s="1">
        <v>4</v>
      </c>
      <c r="L87" s="1" t="s">
        <v>118</v>
      </c>
      <c r="M87" s="1">
        <v>1</v>
      </c>
      <c r="N87" s="1" t="s">
        <v>178</v>
      </c>
      <c r="O87" s="1">
        <v>5</v>
      </c>
      <c r="P87" s="1">
        <v>4</v>
      </c>
      <c r="Q87" s="1" t="s">
        <v>41</v>
      </c>
      <c r="R87" s="1">
        <v>14</v>
      </c>
      <c r="S87" s="1">
        <v>7</v>
      </c>
      <c r="T87" s="1">
        <v>11</v>
      </c>
      <c r="U87" s="1">
        <v>8</v>
      </c>
      <c r="V87" s="1">
        <v>3</v>
      </c>
      <c r="W87" s="1">
        <v>3</v>
      </c>
      <c r="X87" s="1">
        <v>2</v>
      </c>
      <c r="Y87" s="1">
        <v>2</v>
      </c>
      <c r="Z87" s="1">
        <v>0</v>
      </c>
      <c r="AA87" s="1">
        <v>4</v>
      </c>
      <c r="AB87" s="1">
        <v>0</v>
      </c>
      <c r="AC87" s="1">
        <v>2</v>
      </c>
      <c r="AD87" s="1">
        <v>4</v>
      </c>
      <c r="AE87" s="1">
        <v>4</v>
      </c>
      <c r="AF87" s="1">
        <v>2</v>
      </c>
      <c r="AG87" s="1" t="s">
        <v>325</v>
      </c>
      <c r="AH87" s="1">
        <v>14997276925</v>
      </c>
      <c r="AI87" s="1" t="s">
        <v>326</v>
      </c>
      <c r="AL87">
        <f>SUM(Tabela24[[#This Row],[Dada a seguinte lista de itens, você poderia informar  a quantidade de cada um que há em sua casa? '[Banheiros']]:[Sua casa tem acesso aos seguintes serviços públicos? '[Rua pavimentada']]])</f>
        <v>66</v>
      </c>
      <c r="AM87">
        <v>66</v>
      </c>
      <c r="AN87">
        <f t="shared" si="2"/>
        <v>0</v>
      </c>
      <c r="AQ87" t="s">
        <v>56</v>
      </c>
    </row>
    <row r="88" spans="1:43">
      <c r="A88" s="2">
        <v>45458.608015717589</v>
      </c>
      <c r="B88" s="1" t="s">
        <v>63</v>
      </c>
      <c r="C88" s="1" t="s">
        <v>37</v>
      </c>
      <c r="D88" s="1" t="s">
        <v>37</v>
      </c>
      <c r="E88" s="1" t="s">
        <v>37</v>
      </c>
      <c r="F88" s="1" t="s">
        <v>49</v>
      </c>
      <c r="G88" s="1">
        <v>5</v>
      </c>
      <c r="H88" s="1">
        <v>5</v>
      </c>
      <c r="I88" s="1">
        <v>1</v>
      </c>
      <c r="J88" s="1">
        <v>5</v>
      </c>
      <c r="K88" s="1">
        <v>5</v>
      </c>
      <c r="L88" s="1" t="s">
        <v>57</v>
      </c>
      <c r="M88" s="1">
        <v>5</v>
      </c>
      <c r="N88" s="1" t="s">
        <v>212</v>
      </c>
      <c r="O88" s="1">
        <v>5</v>
      </c>
      <c r="P88" s="1">
        <v>5</v>
      </c>
      <c r="Q88" s="1" t="s">
        <v>41</v>
      </c>
      <c r="R88" s="1">
        <v>7</v>
      </c>
      <c r="S88" s="1">
        <v>3</v>
      </c>
      <c r="T88" s="1">
        <v>5</v>
      </c>
      <c r="U88" s="1">
        <v>6</v>
      </c>
      <c r="V88" s="1">
        <v>3</v>
      </c>
      <c r="W88" s="1">
        <v>2</v>
      </c>
      <c r="X88" s="1">
        <v>2</v>
      </c>
      <c r="Y88" s="1">
        <v>2</v>
      </c>
      <c r="Z88" s="1">
        <v>1</v>
      </c>
      <c r="AA88" s="1">
        <v>2</v>
      </c>
      <c r="AB88" s="1">
        <v>0</v>
      </c>
      <c r="AC88" s="1">
        <v>2</v>
      </c>
      <c r="AD88" s="1">
        <v>7</v>
      </c>
      <c r="AE88" s="1">
        <v>4</v>
      </c>
      <c r="AF88" s="1">
        <v>2</v>
      </c>
      <c r="AG88" s="1" t="s">
        <v>327</v>
      </c>
      <c r="AH88" s="1">
        <v>11950635563</v>
      </c>
      <c r="AI88" s="1" t="s">
        <v>328</v>
      </c>
      <c r="AL88">
        <f>SUM(Tabela24[[#This Row],[Dada a seguinte lista de itens, você poderia informar  a quantidade de cada um que há em sua casa? '[Banheiros']]:[Sua casa tem acesso aos seguintes serviços públicos? '[Rua pavimentada']]])</f>
        <v>48</v>
      </c>
      <c r="AM88">
        <v>48</v>
      </c>
      <c r="AN88">
        <f t="shared" si="2"/>
        <v>0</v>
      </c>
      <c r="AQ88" t="s">
        <v>56</v>
      </c>
    </row>
    <row r="89" spans="1:43">
      <c r="A89" s="2">
        <v>45458.608596724538</v>
      </c>
      <c r="B89" s="1" t="s">
        <v>63</v>
      </c>
      <c r="C89" s="1" t="s">
        <v>37</v>
      </c>
      <c r="D89" s="1" t="s">
        <v>37</v>
      </c>
      <c r="E89" s="1" t="s">
        <v>37</v>
      </c>
      <c r="F89" s="1" t="s">
        <v>84</v>
      </c>
      <c r="G89" s="1">
        <v>3</v>
      </c>
      <c r="H89" s="1">
        <v>5</v>
      </c>
      <c r="I89" s="1">
        <v>3</v>
      </c>
      <c r="J89" s="1">
        <v>1</v>
      </c>
      <c r="K89" s="1">
        <v>4</v>
      </c>
      <c r="L89" s="1" t="s">
        <v>151</v>
      </c>
      <c r="M89" s="1">
        <v>4</v>
      </c>
      <c r="N89" s="1" t="s">
        <v>329</v>
      </c>
      <c r="O89" s="1">
        <v>4</v>
      </c>
      <c r="P89" s="1">
        <v>2</v>
      </c>
      <c r="Q89" s="1" t="s">
        <v>66</v>
      </c>
      <c r="R89" s="1">
        <v>7</v>
      </c>
      <c r="S89" s="1">
        <v>3</v>
      </c>
      <c r="T89" s="1">
        <v>3</v>
      </c>
      <c r="U89" s="1">
        <v>6</v>
      </c>
      <c r="V89" s="1">
        <v>0</v>
      </c>
      <c r="W89" s="1">
        <v>3</v>
      </c>
      <c r="X89" s="1">
        <v>2</v>
      </c>
      <c r="Y89" s="1">
        <v>2</v>
      </c>
      <c r="Z89" s="1">
        <v>3</v>
      </c>
      <c r="AA89" s="1">
        <v>2</v>
      </c>
      <c r="AB89" s="1">
        <v>0</v>
      </c>
      <c r="AC89" s="1">
        <v>2</v>
      </c>
      <c r="AD89" s="1">
        <v>7</v>
      </c>
      <c r="AE89" s="1">
        <v>4</v>
      </c>
      <c r="AF89" s="1">
        <v>2</v>
      </c>
      <c r="AG89" s="1" t="s">
        <v>330</v>
      </c>
      <c r="AH89" s="1">
        <v>11964524909</v>
      </c>
      <c r="AI89" s="1" t="s">
        <v>331</v>
      </c>
      <c r="AL89">
        <f>SUM(Tabela24[[#This Row],[Dada a seguinte lista de itens, você poderia informar  a quantidade de cada um que há em sua casa? '[Banheiros']]:[Sua casa tem acesso aos seguintes serviços públicos? '[Rua pavimentada']]])</f>
        <v>46</v>
      </c>
      <c r="AM89">
        <v>46</v>
      </c>
      <c r="AN89">
        <f t="shared" si="2"/>
        <v>0</v>
      </c>
      <c r="AQ89" t="s">
        <v>56</v>
      </c>
    </row>
    <row r="90" spans="1:43">
      <c r="A90" s="2">
        <v>45458.608695960647</v>
      </c>
      <c r="B90" s="1" t="s">
        <v>63</v>
      </c>
      <c r="C90" s="1" t="s">
        <v>37</v>
      </c>
      <c r="D90" s="1" t="s">
        <v>37</v>
      </c>
      <c r="E90" s="1" t="s">
        <v>37</v>
      </c>
      <c r="F90" s="1" t="s">
        <v>49</v>
      </c>
      <c r="G90" s="1">
        <v>4</v>
      </c>
      <c r="H90" s="1">
        <v>5</v>
      </c>
      <c r="I90" s="1">
        <v>5</v>
      </c>
      <c r="J90" s="1">
        <v>1</v>
      </c>
      <c r="K90" s="1">
        <v>5</v>
      </c>
      <c r="L90" s="1" t="s">
        <v>39</v>
      </c>
      <c r="M90" s="1">
        <v>4</v>
      </c>
      <c r="N90" s="1" t="s">
        <v>332</v>
      </c>
      <c r="O90" s="1">
        <v>5</v>
      </c>
      <c r="P90" s="1">
        <v>5</v>
      </c>
      <c r="Q90" s="1" t="s">
        <v>66</v>
      </c>
      <c r="R90" s="1">
        <v>10</v>
      </c>
      <c r="S90" s="1">
        <v>0</v>
      </c>
      <c r="T90" s="1">
        <v>3</v>
      </c>
      <c r="U90" s="1">
        <v>3</v>
      </c>
      <c r="V90" s="1">
        <v>3</v>
      </c>
      <c r="W90" s="1">
        <v>2</v>
      </c>
      <c r="X90" s="1">
        <v>2</v>
      </c>
      <c r="Y90" s="1">
        <v>2</v>
      </c>
      <c r="Z90" s="1">
        <v>0</v>
      </c>
      <c r="AA90" s="1">
        <v>2</v>
      </c>
      <c r="AB90" s="1">
        <v>0</v>
      </c>
      <c r="AC90" s="1">
        <v>0</v>
      </c>
      <c r="AD90" s="1">
        <v>7</v>
      </c>
      <c r="AE90" s="1">
        <v>4</v>
      </c>
      <c r="AF90" s="1">
        <v>2</v>
      </c>
      <c r="AG90" s="1" t="s">
        <v>333</v>
      </c>
      <c r="AH90" s="1">
        <v>11999925350</v>
      </c>
      <c r="AI90" s="1" t="s">
        <v>334</v>
      </c>
      <c r="AL90">
        <f>SUM(Tabela24[[#This Row],[Dada a seguinte lista de itens, você poderia informar  a quantidade de cada um que há em sua casa? '[Banheiros']]:[Sua casa tem acesso aos seguintes serviços públicos? '[Rua pavimentada']]])</f>
        <v>40</v>
      </c>
      <c r="AM90">
        <v>40</v>
      </c>
      <c r="AN90">
        <f t="shared" si="2"/>
        <v>0</v>
      </c>
      <c r="AQ90" t="s">
        <v>48</v>
      </c>
    </row>
    <row r="91" spans="1:43">
      <c r="A91" s="2">
        <v>45458.609226805551</v>
      </c>
      <c r="B91" s="1" t="s">
        <v>36</v>
      </c>
      <c r="C91" s="1" t="s">
        <v>37</v>
      </c>
      <c r="D91" s="1" t="s">
        <v>37</v>
      </c>
      <c r="E91" s="1" t="s">
        <v>37</v>
      </c>
      <c r="F91" s="1" t="s">
        <v>89</v>
      </c>
      <c r="G91" s="1">
        <v>4</v>
      </c>
      <c r="H91" s="1">
        <v>3</v>
      </c>
      <c r="I91" s="1">
        <v>2</v>
      </c>
      <c r="J91" s="1">
        <v>1</v>
      </c>
      <c r="K91" s="1">
        <v>5</v>
      </c>
      <c r="L91" s="1" t="s">
        <v>131</v>
      </c>
      <c r="M91" s="1">
        <v>3</v>
      </c>
      <c r="N91" s="1" t="s">
        <v>135</v>
      </c>
      <c r="O91" s="1">
        <v>4</v>
      </c>
      <c r="P91" s="1">
        <v>5</v>
      </c>
      <c r="Q91" s="1" t="s">
        <v>41</v>
      </c>
      <c r="R91" s="1">
        <v>14</v>
      </c>
      <c r="S91" s="1">
        <v>3</v>
      </c>
      <c r="T91" s="1">
        <v>3</v>
      </c>
      <c r="U91" s="1">
        <v>6</v>
      </c>
      <c r="V91" s="1">
        <v>0</v>
      </c>
      <c r="W91" s="1">
        <v>2</v>
      </c>
      <c r="X91" s="1">
        <v>2</v>
      </c>
      <c r="Y91" s="1">
        <v>2</v>
      </c>
      <c r="Z91" s="1">
        <v>0</v>
      </c>
      <c r="AA91" s="1">
        <v>2</v>
      </c>
      <c r="AB91" s="1">
        <v>0</v>
      </c>
      <c r="AC91" s="1">
        <v>0</v>
      </c>
      <c r="AD91" s="1">
        <v>7</v>
      </c>
      <c r="AE91" s="1">
        <v>4</v>
      </c>
      <c r="AF91" s="1">
        <v>2</v>
      </c>
      <c r="AG91" s="1" t="s">
        <v>335</v>
      </c>
      <c r="AH91" s="1">
        <v>51997420748</v>
      </c>
      <c r="AI91" s="1" t="s">
        <v>336</v>
      </c>
      <c r="AL91">
        <f>SUM(Tabela24[[#This Row],[Dada a seguinte lista de itens, você poderia informar  a quantidade de cada um que há em sua casa? '[Banheiros']]:[Sua casa tem acesso aos seguintes serviços públicos? '[Rua pavimentada']]])</f>
        <v>47</v>
      </c>
      <c r="AM91">
        <v>47</v>
      </c>
      <c r="AN91">
        <f t="shared" si="2"/>
        <v>0</v>
      </c>
      <c r="AQ91" t="s">
        <v>56</v>
      </c>
    </row>
    <row r="92" spans="1:43">
      <c r="A92" s="2">
        <v>45458.614327870368</v>
      </c>
      <c r="B92" s="1" t="s">
        <v>169</v>
      </c>
      <c r="C92" s="1" t="s">
        <v>37</v>
      </c>
      <c r="D92" s="1" t="s">
        <v>37</v>
      </c>
      <c r="E92" s="1" t="s">
        <v>37</v>
      </c>
      <c r="F92" s="1" t="s">
        <v>69</v>
      </c>
      <c r="G92" s="1">
        <v>1</v>
      </c>
      <c r="H92" s="1">
        <v>2</v>
      </c>
      <c r="I92" s="1">
        <v>5</v>
      </c>
      <c r="J92" s="1">
        <v>1</v>
      </c>
      <c r="K92" s="1">
        <v>5</v>
      </c>
      <c r="L92" s="1" t="s">
        <v>160</v>
      </c>
      <c r="M92" s="1">
        <v>5</v>
      </c>
      <c r="N92" s="1" t="s">
        <v>337</v>
      </c>
      <c r="O92" s="1">
        <v>5</v>
      </c>
      <c r="P92" s="1">
        <v>5</v>
      </c>
      <c r="Q92" s="1" t="s">
        <v>66</v>
      </c>
      <c r="R92" s="1">
        <v>10</v>
      </c>
      <c r="S92" s="1">
        <v>3</v>
      </c>
      <c r="T92" s="1">
        <v>5</v>
      </c>
      <c r="U92" s="1">
        <v>11</v>
      </c>
      <c r="V92" s="1">
        <v>3</v>
      </c>
      <c r="W92" s="1">
        <v>2</v>
      </c>
      <c r="X92" s="1">
        <v>2</v>
      </c>
      <c r="Y92" s="1">
        <v>2</v>
      </c>
      <c r="Z92" s="1">
        <v>1</v>
      </c>
      <c r="AA92" s="1">
        <v>2</v>
      </c>
      <c r="AB92" s="1">
        <v>0</v>
      </c>
      <c r="AC92" s="1">
        <v>2</v>
      </c>
      <c r="AD92" s="1">
        <v>7</v>
      </c>
      <c r="AE92" s="1">
        <v>4</v>
      </c>
      <c r="AF92" s="1">
        <v>2</v>
      </c>
      <c r="AG92" s="1" t="s">
        <v>338</v>
      </c>
      <c r="AH92" s="1" t="s">
        <v>82</v>
      </c>
      <c r="AI92" s="1" t="s">
        <v>339</v>
      </c>
      <c r="AL92">
        <f>SUM(Tabela24[[#This Row],[Dada a seguinte lista de itens, você poderia informar  a quantidade de cada um que há em sua casa? '[Banheiros']]:[Sua casa tem acesso aos seguintes serviços públicos? '[Rua pavimentada']]])</f>
        <v>56</v>
      </c>
      <c r="AM92">
        <v>56</v>
      </c>
      <c r="AN92">
        <f t="shared" si="2"/>
        <v>0</v>
      </c>
      <c r="AQ92" t="s">
        <v>56</v>
      </c>
    </row>
    <row r="93" spans="1:43">
      <c r="A93" s="2">
        <v>45458.614769155094</v>
      </c>
      <c r="B93" s="1" t="s">
        <v>169</v>
      </c>
      <c r="C93" s="1" t="s">
        <v>37</v>
      </c>
      <c r="D93" s="1" t="s">
        <v>37</v>
      </c>
      <c r="E93" s="1" t="s">
        <v>37</v>
      </c>
      <c r="F93" s="1" t="s">
        <v>49</v>
      </c>
      <c r="G93" s="1">
        <v>3</v>
      </c>
      <c r="H93" s="1">
        <v>5</v>
      </c>
      <c r="I93" s="1">
        <v>3</v>
      </c>
      <c r="J93" s="1">
        <v>1</v>
      </c>
      <c r="K93" s="1">
        <v>4</v>
      </c>
      <c r="L93" s="1" t="s">
        <v>39</v>
      </c>
      <c r="M93" s="1">
        <v>3</v>
      </c>
      <c r="N93" s="1" t="s">
        <v>295</v>
      </c>
      <c r="O93" s="1">
        <v>4</v>
      </c>
      <c r="P93" s="1">
        <v>4</v>
      </c>
      <c r="Q93" s="1" t="s">
        <v>41</v>
      </c>
      <c r="R93" s="1">
        <v>10</v>
      </c>
      <c r="S93" s="1">
        <v>3</v>
      </c>
      <c r="T93" s="1">
        <v>5</v>
      </c>
      <c r="U93" s="1">
        <v>11</v>
      </c>
      <c r="V93" s="1">
        <v>3</v>
      </c>
      <c r="W93" s="1">
        <v>2</v>
      </c>
      <c r="X93" s="1">
        <v>2</v>
      </c>
      <c r="Y93" s="1">
        <v>2</v>
      </c>
      <c r="Z93" s="1">
        <v>1</v>
      </c>
      <c r="AA93" s="1">
        <v>2</v>
      </c>
      <c r="AB93" s="1">
        <v>0</v>
      </c>
      <c r="AC93" s="1">
        <v>2</v>
      </c>
      <c r="AD93" s="1">
        <v>7</v>
      </c>
      <c r="AE93" s="1">
        <v>4</v>
      </c>
      <c r="AF93" s="1">
        <v>2</v>
      </c>
      <c r="AG93" s="1" t="s">
        <v>340</v>
      </c>
      <c r="AH93" s="1" t="s">
        <v>82</v>
      </c>
      <c r="AI93" s="1" t="s">
        <v>341</v>
      </c>
      <c r="AL93">
        <f>SUM(Tabela24[[#This Row],[Dada a seguinte lista de itens, você poderia informar  a quantidade de cada um que há em sua casa? '[Banheiros']]:[Sua casa tem acesso aos seguintes serviços públicos? '[Rua pavimentada']]])</f>
        <v>56</v>
      </c>
      <c r="AM93">
        <v>56</v>
      </c>
      <c r="AN93">
        <f t="shared" si="2"/>
        <v>0</v>
      </c>
      <c r="AQ93" t="s">
        <v>56</v>
      </c>
    </row>
    <row r="94" spans="1:43">
      <c r="A94" s="2">
        <v>45458.620240300923</v>
      </c>
      <c r="B94" s="1" t="s">
        <v>63</v>
      </c>
      <c r="C94" s="1" t="s">
        <v>37</v>
      </c>
      <c r="D94" s="1" t="s">
        <v>37</v>
      </c>
      <c r="E94" s="1" t="s">
        <v>37</v>
      </c>
      <c r="F94" s="1" t="s">
        <v>84</v>
      </c>
      <c r="G94" s="1">
        <v>2</v>
      </c>
      <c r="H94" s="1">
        <v>2</v>
      </c>
      <c r="I94" s="1">
        <v>2</v>
      </c>
      <c r="J94" s="1">
        <v>1</v>
      </c>
      <c r="K94" s="1">
        <v>2</v>
      </c>
      <c r="L94" s="1" t="s">
        <v>50</v>
      </c>
      <c r="M94" s="1">
        <v>3</v>
      </c>
      <c r="N94" s="1" t="s">
        <v>342</v>
      </c>
      <c r="O94" s="1">
        <v>3</v>
      </c>
      <c r="P94" s="1">
        <v>3</v>
      </c>
      <c r="Q94" s="1" t="s">
        <v>66</v>
      </c>
      <c r="R94" s="1">
        <v>7</v>
      </c>
      <c r="S94" s="1">
        <v>3</v>
      </c>
      <c r="T94" s="1">
        <v>5</v>
      </c>
      <c r="U94" s="1">
        <v>6</v>
      </c>
      <c r="V94" s="1">
        <v>0</v>
      </c>
      <c r="W94" s="1">
        <v>2</v>
      </c>
      <c r="X94" s="1">
        <v>2</v>
      </c>
      <c r="Y94" s="1">
        <v>2</v>
      </c>
      <c r="Z94" s="1">
        <v>0</v>
      </c>
      <c r="AA94" s="1">
        <v>2</v>
      </c>
      <c r="AB94" s="1">
        <v>0</v>
      </c>
      <c r="AC94" s="1">
        <v>2</v>
      </c>
      <c r="AD94" s="1">
        <v>4</v>
      </c>
      <c r="AE94" s="1">
        <v>4</v>
      </c>
      <c r="AF94" s="1">
        <v>2</v>
      </c>
      <c r="AG94" s="1" t="s">
        <v>343</v>
      </c>
      <c r="AH94" s="1">
        <v>11982031600</v>
      </c>
      <c r="AI94" s="1" t="s">
        <v>344</v>
      </c>
      <c r="AL94">
        <f>SUM(Tabela24[[#This Row],[Dada a seguinte lista de itens, você poderia informar  a quantidade de cada um que há em sua casa? '[Banheiros']]:[Sua casa tem acesso aos seguintes serviços públicos? '[Rua pavimentada']]])</f>
        <v>41</v>
      </c>
      <c r="AM94">
        <v>41</v>
      </c>
      <c r="AN94">
        <f t="shared" si="2"/>
        <v>0</v>
      </c>
      <c r="AQ94" t="s">
        <v>48</v>
      </c>
    </row>
    <row r="95" spans="1:43">
      <c r="A95" s="2">
        <v>45458.622910034726</v>
      </c>
      <c r="B95" s="1" t="s">
        <v>36</v>
      </c>
      <c r="C95" s="1" t="s">
        <v>37</v>
      </c>
      <c r="D95" s="1" t="s">
        <v>37</v>
      </c>
      <c r="E95" s="1" t="s">
        <v>37</v>
      </c>
      <c r="F95" s="1" t="s">
        <v>69</v>
      </c>
      <c r="G95" s="1">
        <v>3</v>
      </c>
      <c r="H95" s="1">
        <v>1</v>
      </c>
      <c r="I95" s="1">
        <v>2</v>
      </c>
      <c r="J95" s="1">
        <v>1</v>
      </c>
      <c r="K95" s="1">
        <v>5</v>
      </c>
      <c r="L95" s="1" t="s">
        <v>94</v>
      </c>
      <c r="M95" s="1">
        <v>2</v>
      </c>
      <c r="N95" s="1" t="s">
        <v>119</v>
      </c>
      <c r="O95" s="1">
        <v>1</v>
      </c>
      <c r="P95" s="1">
        <v>3</v>
      </c>
      <c r="Q95" s="1" t="s">
        <v>41</v>
      </c>
      <c r="R95" s="1">
        <v>3</v>
      </c>
      <c r="S95" s="1">
        <v>0</v>
      </c>
      <c r="T95" s="1">
        <v>0</v>
      </c>
      <c r="U95" s="1">
        <v>3</v>
      </c>
      <c r="V95" s="1">
        <v>0</v>
      </c>
      <c r="W95" s="1">
        <v>2</v>
      </c>
      <c r="X95" s="1">
        <v>0</v>
      </c>
      <c r="Y95" s="1">
        <v>2</v>
      </c>
      <c r="Z95" s="1">
        <v>0</v>
      </c>
      <c r="AA95" s="1">
        <v>2</v>
      </c>
      <c r="AB95" s="1">
        <v>0</v>
      </c>
      <c r="AC95" s="1">
        <v>2</v>
      </c>
      <c r="AD95" s="1">
        <v>7</v>
      </c>
      <c r="AE95" s="1">
        <v>4</v>
      </c>
      <c r="AF95" s="1">
        <v>2</v>
      </c>
      <c r="AG95" s="1" t="s">
        <v>387</v>
      </c>
      <c r="AH95" s="1">
        <v>11979631446</v>
      </c>
      <c r="AI95" s="1" t="s">
        <v>346</v>
      </c>
      <c r="AL95">
        <f>SUM(Tabela24[[#This Row],[Dada a seguinte lista de itens, você poderia informar  a quantidade de cada um que há em sua casa? '[Banheiros']]:[Sua casa tem acesso aos seguintes serviços públicos? '[Rua pavimentada']]])</f>
        <v>27</v>
      </c>
      <c r="AM95">
        <v>27</v>
      </c>
      <c r="AN95">
        <f t="shared" si="2"/>
        <v>0</v>
      </c>
      <c r="AQ95" t="s">
        <v>79</v>
      </c>
    </row>
    <row r="96" spans="1:43">
      <c r="A96" s="2">
        <v>45458.623504293981</v>
      </c>
      <c r="B96" s="1" t="s">
        <v>36</v>
      </c>
      <c r="C96" s="1" t="s">
        <v>37</v>
      </c>
      <c r="D96" s="1" t="s">
        <v>37</v>
      </c>
      <c r="E96" s="1" t="s">
        <v>37</v>
      </c>
      <c r="F96" s="1" t="s">
        <v>49</v>
      </c>
      <c r="G96" s="1">
        <v>4</v>
      </c>
      <c r="H96" s="1">
        <v>4</v>
      </c>
      <c r="I96" s="1">
        <v>3</v>
      </c>
      <c r="J96" s="1">
        <v>1</v>
      </c>
      <c r="K96" s="1">
        <v>3</v>
      </c>
      <c r="L96" s="1" t="s">
        <v>347</v>
      </c>
      <c r="M96" s="1">
        <v>3</v>
      </c>
      <c r="N96" s="1" t="s">
        <v>308</v>
      </c>
      <c r="O96" s="1">
        <v>5</v>
      </c>
      <c r="P96" s="1">
        <v>4</v>
      </c>
      <c r="Q96" s="1" t="s">
        <v>41</v>
      </c>
      <c r="R96" s="1">
        <v>3</v>
      </c>
      <c r="S96" s="1">
        <v>0</v>
      </c>
      <c r="T96" s="1">
        <v>0</v>
      </c>
      <c r="U96" s="1">
        <v>3</v>
      </c>
      <c r="V96" s="1">
        <v>0</v>
      </c>
      <c r="W96" s="1">
        <v>2</v>
      </c>
      <c r="X96" s="1">
        <v>0</v>
      </c>
      <c r="Y96" s="1">
        <v>2</v>
      </c>
      <c r="Z96" s="1">
        <v>0</v>
      </c>
      <c r="AA96" s="1">
        <v>2</v>
      </c>
      <c r="AB96" s="1">
        <v>0</v>
      </c>
      <c r="AC96" s="1">
        <v>0</v>
      </c>
      <c r="AD96" s="1">
        <v>7</v>
      </c>
      <c r="AE96" s="1">
        <v>4</v>
      </c>
      <c r="AF96" s="1">
        <v>2</v>
      </c>
      <c r="AG96" s="1" t="s">
        <v>348</v>
      </c>
      <c r="AH96" s="1">
        <v>11984809747</v>
      </c>
      <c r="AI96" s="1" t="s">
        <v>349</v>
      </c>
      <c r="AL96">
        <f>SUM(Tabela24[[#This Row],[Dada a seguinte lista de itens, você poderia informar  a quantidade de cada um que há em sua casa? '[Banheiros']]:[Sua casa tem acesso aos seguintes serviços públicos? '[Rua pavimentada']]])</f>
        <v>25</v>
      </c>
      <c r="AM96">
        <v>25</v>
      </c>
      <c r="AN96">
        <f t="shared" si="2"/>
        <v>0</v>
      </c>
      <c r="AQ96" t="s">
        <v>79</v>
      </c>
    </row>
    <row r="97" spans="1:43">
      <c r="A97" s="2">
        <v>45458.627659247686</v>
      </c>
      <c r="B97" s="1" t="s">
        <v>36</v>
      </c>
      <c r="C97" s="1" t="s">
        <v>37</v>
      </c>
      <c r="D97" s="1" t="s">
        <v>37</v>
      </c>
      <c r="E97" s="1" t="s">
        <v>37</v>
      </c>
      <c r="F97" s="1" t="s">
        <v>49</v>
      </c>
      <c r="G97" s="1">
        <v>5</v>
      </c>
      <c r="H97" s="1">
        <v>3</v>
      </c>
      <c r="I97" s="1">
        <v>1</v>
      </c>
      <c r="J97" s="1">
        <v>1</v>
      </c>
      <c r="K97" s="1">
        <v>4</v>
      </c>
      <c r="L97" s="1" t="s">
        <v>321</v>
      </c>
      <c r="M97" s="1">
        <v>2</v>
      </c>
      <c r="N97" s="1" t="s">
        <v>111</v>
      </c>
      <c r="O97" s="1">
        <v>3</v>
      </c>
      <c r="P97" s="1">
        <v>3</v>
      </c>
      <c r="Q97" s="1" t="s">
        <v>66</v>
      </c>
      <c r="R97" s="1">
        <v>7</v>
      </c>
      <c r="S97" s="1">
        <v>3</v>
      </c>
      <c r="T97" s="1">
        <v>0</v>
      </c>
      <c r="U97" s="1">
        <v>3</v>
      </c>
      <c r="V97" s="1">
        <v>3</v>
      </c>
      <c r="W97" s="1">
        <v>2</v>
      </c>
      <c r="X97" s="1">
        <v>0</v>
      </c>
      <c r="Y97" s="1">
        <v>2</v>
      </c>
      <c r="Z97" s="1">
        <v>0</v>
      </c>
      <c r="AA97" s="1">
        <v>2</v>
      </c>
      <c r="AB97" s="1">
        <v>0</v>
      </c>
      <c r="AC97" s="1">
        <v>0</v>
      </c>
      <c r="AD97" s="1">
        <v>7</v>
      </c>
      <c r="AE97" s="1">
        <v>4</v>
      </c>
      <c r="AF97" s="1">
        <v>2</v>
      </c>
      <c r="AG97" s="1" t="s">
        <v>350</v>
      </c>
      <c r="AH97" s="1">
        <v>11975575839</v>
      </c>
      <c r="AI97" s="1" t="s">
        <v>351</v>
      </c>
      <c r="AL97">
        <f>SUM(Tabela24[[#This Row],[Dada a seguinte lista de itens, você poderia informar  a quantidade de cada um que há em sua casa? '[Banheiros']]:[Sua casa tem acesso aos seguintes serviços públicos? '[Rua pavimentada']]])</f>
        <v>35</v>
      </c>
      <c r="AM97">
        <v>35</v>
      </c>
      <c r="AN97">
        <f t="shared" si="2"/>
        <v>0</v>
      </c>
      <c r="AQ97" t="s">
        <v>62</v>
      </c>
    </row>
    <row r="98" spans="1:43">
      <c r="A98" s="2">
        <v>45458.628396504631</v>
      </c>
      <c r="B98" s="1" t="s">
        <v>36</v>
      </c>
      <c r="C98" s="1" t="s">
        <v>37</v>
      </c>
      <c r="D98" s="1" t="s">
        <v>37</v>
      </c>
      <c r="E98" s="1" t="s">
        <v>37</v>
      </c>
      <c r="F98" s="1" t="s">
        <v>89</v>
      </c>
      <c r="G98" s="1">
        <v>4</v>
      </c>
      <c r="H98" s="1">
        <v>5</v>
      </c>
      <c r="I98" s="1">
        <v>5</v>
      </c>
      <c r="J98" s="1">
        <v>3</v>
      </c>
      <c r="K98" s="1">
        <v>4</v>
      </c>
      <c r="L98" s="1" t="s">
        <v>147</v>
      </c>
      <c r="M98" s="1">
        <v>4</v>
      </c>
      <c r="N98" s="1" t="s">
        <v>352</v>
      </c>
      <c r="O98" s="1">
        <v>5</v>
      </c>
      <c r="P98" s="1">
        <v>4</v>
      </c>
      <c r="Q98" s="1" t="s">
        <v>41</v>
      </c>
      <c r="R98" s="1">
        <v>7</v>
      </c>
      <c r="S98" s="1">
        <v>0</v>
      </c>
      <c r="T98" s="1">
        <v>3</v>
      </c>
      <c r="U98" s="1">
        <v>3</v>
      </c>
      <c r="V98" s="1">
        <v>0</v>
      </c>
      <c r="W98" s="1">
        <v>2</v>
      </c>
      <c r="X98" s="1">
        <v>0</v>
      </c>
      <c r="Y98" s="1">
        <v>2</v>
      </c>
      <c r="Z98" s="1">
        <v>1</v>
      </c>
      <c r="AA98" s="1">
        <v>2</v>
      </c>
      <c r="AB98" s="1">
        <v>0</v>
      </c>
      <c r="AC98" s="1">
        <v>0</v>
      </c>
      <c r="AD98" s="1">
        <v>7</v>
      </c>
      <c r="AE98" s="1">
        <v>4</v>
      </c>
      <c r="AF98" s="1">
        <v>2</v>
      </c>
      <c r="AG98" s="1" t="s">
        <v>353</v>
      </c>
      <c r="AH98" s="1">
        <v>11989387961</v>
      </c>
      <c r="AI98" s="1" t="s">
        <v>354</v>
      </c>
      <c r="AL98">
        <f>SUM(Tabela24[[#This Row],[Dada a seguinte lista de itens, você poderia informar  a quantidade de cada um que há em sua casa? '[Banheiros']]:[Sua casa tem acesso aos seguintes serviços públicos? '[Rua pavimentada']]])</f>
        <v>33</v>
      </c>
      <c r="AM98">
        <v>33</v>
      </c>
      <c r="AN98">
        <f t="shared" ref="AN98:AN101" si="3">COUNTIFS(AM98,"&gt;=0",AM98, "&lt;=16")</f>
        <v>0</v>
      </c>
      <c r="AQ98" t="s">
        <v>62</v>
      </c>
    </row>
    <row r="99" spans="1:43">
      <c r="A99" s="2">
        <v>45458.628618923613</v>
      </c>
      <c r="B99" s="1" t="s">
        <v>36</v>
      </c>
      <c r="C99" s="1" t="s">
        <v>37</v>
      </c>
      <c r="D99" s="1" t="s">
        <v>37</v>
      </c>
      <c r="E99" s="1" t="s">
        <v>37</v>
      </c>
      <c r="F99" s="1" t="s">
        <v>49</v>
      </c>
      <c r="G99" s="1">
        <v>3</v>
      </c>
      <c r="H99" s="1">
        <v>4</v>
      </c>
      <c r="I99" s="1">
        <v>1</v>
      </c>
      <c r="J99" s="1">
        <v>1</v>
      </c>
      <c r="K99" s="1">
        <v>5</v>
      </c>
      <c r="L99" s="1" t="s">
        <v>258</v>
      </c>
      <c r="M99" s="1">
        <v>4</v>
      </c>
      <c r="N99" s="1" t="s">
        <v>355</v>
      </c>
      <c r="O99" s="1">
        <v>5</v>
      </c>
      <c r="P99" s="1">
        <v>4</v>
      </c>
      <c r="Q99" s="1" t="s">
        <v>41</v>
      </c>
      <c r="R99" s="1">
        <v>3</v>
      </c>
      <c r="S99" s="1">
        <v>0</v>
      </c>
      <c r="T99" s="1">
        <v>0</v>
      </c>
      <c r="U99" s="1">
        <v>3</v>
      </c>
      <c r="V99" s="1">
        <v>0</v>
      </c>
      <c r="W99" s="1">
        <v>2</v>
      </c>
      <c r="X99" s="1">
        <v>0</v>
      </c>
      <c r="Y99" s="1">
        <v>2</v>
      </c>
      <c r="Z99" s="1">
        <v>0</v>
      </c>
      <c r="AA99" s="1">
        <v>2</v>
      </c>
      <c r="AB99" s="1">
        <v>0</v>
      </c>
      <c r="AC99" s="1">
        <v>0</v>
      </c>
      <c r="AD99" s="1">
        <v>7</v>
      </c>
      <c r="AE99" s="1">
        <v>4</v>
      </c>
      <c r="AF99" s="1">
        <v>2</v>
      </c>
      <c r="AG99" s="1" t="s">
        <v>356</v>
      </c>
      <c r="AH99" s="1">
        <v>11967760639</v>
      </c>
      <c r="AI99" s="1" t="s">
        <v>357</v>
      </c>
      <c r="AL99">
        <f>SUM(Tabela24[[#This Row],[Dada a seguinte lista de itens, você poderia informar  a quantidade de cada um que há em sua casa? '[Banheiros']]:[Sua casa tem acesso aos seguintes serviços públicos? '[Rua pavimentada']]])</f>
        <v>25</v>
      </c>
      <c r="AM99">
        <v>25</v>
      </c>
      <c r="AN99">
        <f t="shared" si="3"/>
        <v>0</v>
      </c>
      <c r="AQ99" t="s">
        <v>79</v>
      </c>
    </row>
    <row r="100" spans="1:43">
      <c r="A100" s="2">
        <v>45458.633964872686</v>
      </c>
      <c r="B100" s="1" t="s">
        <v>63</v>
      </c>
      <c r="C100" s="1" t="s">
        <v>37</v>
      </c>
      <c r="D100" s="1" t="s">
        <v>37</v>
      </c>
      <c r="E100" s="1" t="s">
        <v>37</v>
      </c>
      <c r="F100" s="1" t="s">
        <v>69</v>
      </c>
      <c r="G100" s="1">
        <v>1</v>
      </c>
      <c r="H100" s="1">
        <v>1</v>
      </c>
      <c r="I100" s="1">
        <v>1</v>
      </c>
      <c r="J100" s="1">
        <v>1</v>
      </c>
      <c r="K100" s="1">
        <v>5</v>
      </c>
      <c r="L100" s="1" t="s">
        <v>358</v>
      </c>
      <c r="M100" s="1">
        <v>3</v>
      </c>
      <c r="N100" s="1" t="s">
        <v>355</v>
      </c>
      <c r="O100" s="1">
        <v>4</v>
      </c>
      <c r="P100" s="1">
        <v>4</v>
      </c>
      <c r="Q100" s="1" t="s">
        <v>41</v>
      </c>
      <c r="R100" s="1">
        <v>7</v>
      </c>
      <c r="S100" s="1">
        <v>0</v>
      </c>
      <c r="T100" s="1">
        <v>3</v>
      </c>
      <c r="U100" s="1">
        <v>6</v>
      </c>
      <c r="V100" s="1">
        <v>0</v>
      </c>
      <c r="W100" s="1">
        <v>3</v>
      </c>
      <c r="X100" s="1">
        <v>4</v>
      </c>
      <c r="Y100" s="1">
        <v>2</v>
      </c>
      <c r="Z100" s="1">
        <v>1</v>
      </c>
      <c r="AA100" s="1">
        <v>2</v>
      </c>
      <c r="AB100" s="1">
        <v>0</v>
      </c>
      <c r="AC100" s="1">
        <v>0</v>
      </c>
      <c r="AD100" s="1">
        <v>7</v>
      </c>
      <c r="AE100" s="1">
        <v>4</v>
      </c>
      <c r="AF100" s="1">
        <v>2</v>
      </c>
      <c r="AG100" s="1" t="s">
        <v>359</v>
      </c>
      <c r="AH100" s="1">
        <v>21985497069</v>
      </c>
      <c r="AI100" s="1" t="s">
        <v>360</v>
      </c>
      <c r="AL100">
        <f>SUM(Tabela24[[#This Row],[Dada a seguinte lista de itens, você poderia informar  a quantidade de cada um que há em sua casa? '[Banheiros']]:[Sua casa tem acesso aos seguintes serviços públicos? '[Rua pavimentada']]])</f>
        <v>41</v>
      </c>
      <c r="AM100">
        <v>41</v>
      </c>
      <c r="AN100">
        <f t="shared" si="3"/>
        <v>0</v>
      </c>
      <c r="AQ100" t="s">
        <v>48</v>
      </c>
    </row>
    <row r="101" spans="1:43">
      <c r="A101" s="2">
        <v>45458.634067858795</v>
      </c>
      <c r="B101" s="1" t="s">
        <v>169</v>
      </c>
      <c r="C101" s="1" t="s">
        <v>37</v>
      </c>
      <c r="D101" s="1" t="s">
        <v>37</v>
      </c>
      <c r="E101" s="1" t="s">
        <v>37</v>
      </c>
      <c r="F101" s="1" t="s">
        <v>49</v>
      </c>
      <c r="G101" s="1">
        <v>5</v>
      </c>
      <c r="H101" s="1">
        <v>3</v>
      </c>
      <c r="I101" s="1">
        <v>5</v>
      </c>
      <c r="J101" s="1">
        <v>1</v>
      </c>
      <c r="K101" s="1">
        <v>5</v>
      </c>
      <c r="L101" s="1" t="s">
        <v>94</v>
      </c>
      <c r="M101" s="1">
        <v>5</v>
      </c>
      <c r="N101" s="1" t="s">
        <v>128</v>
      </c>
      <c r="O101" s="1">
        <v>5</v>
      </c>
      <c r="P101" s="1">
        <v>5</v>
      </c>
      <c r="Q101" s="1" t="s">
        <v>41</v>
      </c>
      <c r="R101" s="1">
        <v>7</v>
      </c>
      <c r="S101" s="1">
        <v>0</v>
      </c>
      <c r="T101" s="1">
        <v>0</v>
      </c>
      <c r="U101" s="1">
        <v>6</v>
      </c>
      <c r="V101" s="1">
        <v>0</v>
      </c>
      <c r="W101" s="1">
        <v>2</v>
      </c>
      <c r="X101" s="1">
        <v>0</v>
      </c>
      <c r="Y101" s="1">
        <v>2</v>
      </c>
      <c r="Z101" s="1">
        <v>1</v>
      </c>
      <c r="AA101" s="1">
        <v>2</v>
      </c>
      <c r="AB101" s="1">
        <v>0</v>
      </c>
      <c r="AC101" s="1">
        <v>0</v>
      </c>
      <c r="AD101" s="1">
        <v>7</v>
      </c>
      <c r="AE101" s="1">
        <v>4</v>
      </c>
      <c r="AF101" s="1">
        <v>2</v>
      </c>
      <c r="AG101" s="1" t="s">
        <v>361</v>
      </c>
      <c r="AH101" s="1">
        <v>11970555151</v>
      </c>
      <c r="AI101" s="1" t="s">
        <v>362</v>
      </c>
      <c r="AL101">
        <f>SUM(Tabela24[[#This Row],[Dada a seguinte lista de itens, você poderia informar  a quantidade de cada um que há em sua casa? '[Banheiros']]:[Sua casa tem acesso aos seguintes serviços públicos? '[Rua pavimentada']]])</f>
        <v>33</v>
      </c>
      <c r="AM101">
        <v>33</v>
      </c>
      <c r="AN101">
        <f t="shared" si="3"/>
        <v>0</v>
      </c>
      <c r="AQ101" t="s">
        <v>62</v>
      </c>
    </row>
  </sheetData>
  <pageMargins left="0.511811024" right="0.511811024" top="0.78740157499999996" bottom="0.78740157499999996" header="0.31496062000000002" footer="0.31496062000000002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16C72-BF24-47D9-9264-D4C8D8C61056}">
  <dimension ref="A1:CY54"/>
  <sheetViews>
    <sheetView zoomScale="56" zoomScaleNormal="64" workbookViewId="0">
      <selection activeCell="G40" sqref="G40"/>
    </sheetView>
  </sheetViews>
  <sheetFormatPr defaultRowHeight="12.6"/>
  <cols>
    <col min="1" max="1" width="18.28515625" bestFit="1" customWidth="1"/>
    <col min="2" max="2" width="19.5703125" bestFit="1" customWidth="1"/>
    <col min="3" max="3" width="43" bestFit="1" customWidth="1"/>
    <col min="4" max="4" width="18.140625" bestFit="1" customWidth="1"/>
    <col min="5" max="5" width="28.85546875" bestFit="1" customWidth="1"/>
    <col min="6" max="6" width="30.42578125" bestFit="1" customWidth="1"/>
    <col min="7" max="7" width="34.85546875" bestFit="1" customWidth="1"/>
    <col min="8" max="8" width="25.28515625" customWidth="1"/>
    <col min="9" max="9" width="15.42578125" style="42" customWidth="1"/>
    <col min="10" max="10" width="18.140625" bestFit="1" customWidth="1"/>
    <col min="11" max="11" width="19.5703125" bestFit="1" customWidth="1"/>
    <col min="12" max="16" width="26.5703125" customWidth="1"/>
    <col min="17" max="17" width="19.42578125" customWidth="1"/>
    <col min="18" max="18" width="8.7109375" style="42"/>
    <col min="19" max="19" width="18.140625" bestFit="1" customWidth="1"/>
    <col min="20" max="20" width="19.5703125" bestFit="1" customWidth="1"/>
    <col min="21" max="26" width="23.85546875" customWidth="1"/>
    <col min="27" max="27" width="8.7109375" style="42"/>
    <col min="28" max="28" width="18.140625" bestFit="1" customWidth="1"/>
    <col min="29" max="29" width="19.5703125" bestFit="1" customWidth="1"/>
    <col min="30" max="35" width="19.42578125" customWidth="1"/>
    <col min="36" max="36" width="8.7109375" style="42"/>
    <col min="37" max="37" width="18.140625" bestFit="1" customWidth="1"/>
    <col min="38" max="38" width="19.5703125" bestFit="1" customWidth="1"/>
    <col min="39" max="44" width="20.140625" customWidth="1"/>
    <col min="45" max="45" width="8.7109375" style="42"/>
    <col min="46" max="46" width="18.140625" bestFit="1" customWidth="1"/>
    <col min="47" max="47" width="19.5703125" bestFit="1" customWidth="1"/>
    <col min="48" max="53" width="20.5703125" customWidth="1"/>
    <col min="54" max="54" width="8.7109375" style="42"/>
    <col min="55" max="55" width="18.140625" bestFit="1" customWidth="1"/>
    <col min="56" max="56" width="19.5703125" bestFit="1" customWidth="1"/>
    <col min="57" max="57" width="37.7109375" bestFit="1" customWidth="1"/>
    <col min="58" max="58" width="47.5703125" bestFit="1" customWidth="1"/>
    <col min="59" max="59" width="47" bestFit="1" customWidth="1"/>
    <col min="60" max="60" width="54.5703125" bestFit="1" customWidth="1"/>
    <col min="61" max="61" width="27.42578125" bestFit="1" customWidth="1"/>
    <col min="62" max="62" width="34.85546875" bestFit="1" customWidth="1"/>
    <col min="63" max="63" width="42.85546875" bestFit="1" customWidth="1"/>
    <col min="64" max="64" width="48.42578125" bestFit="1" customWidth="1"/>
    <col min="66" max="66" width="8.7109375" style="42"/>
    <col min="67" max="67" width="18.140625" bestFit="1" customWidth="1"/>
    <col min="68" max="68" width="19.5703125" bestFit="1" customWidth="1"/>
    <col min="69" max="74" width="18.5703125" customWidth="1"/>
    <col min="75" max="75" width="8.7109375" style="42"/>
    <col min="76" max="76" width="18.140625" bestFit="1" customWidth="1"/>
    <col min="77" max="77" width="19.5703125" bestFit="1" customWidth="1"/>
    <col min="78" max="78" width="18.5703125" bestFit="1" customWidth="1"/>
    <col min="79" max="79" width="21.28515625" bestFit="1" customWidth="1"/>
    <col min="80" max="80" width="13.140625" bestFit="1" customWidth="1"/>
    <col min="81" max="81" width="13.85546875" customWidth="1"/>
    <col min="82" max="82" width="37" bestFit="1" customWidth="1"/>
    <col min="83" max="83" width="28" bestFit="1" customWidth="1"/>
    <col min="84" max="84" width="42.5703125" bestFit="1" customWidth="1"/>
    <col min="86" max="86" width="8.7109375" style="42"/>
    <col min="87" max="87" width="19" bestFit="1" customWidth="1"/>
    <col min="88" max="88" width="21.28515625" bestFit="1" customWidth="1"/>
    <col min="89" max="94" width="16.5703125" customWidth="1"/>
    <col min="95" max="95" width="8.7109375" style="42"/>
    <col min="96" max="96" width="18.28515625" bestFit="1" customWidth="1"/>
    <col min="97" max="97" width="19.5703125" bestFit="1" customWidth="1"/>
    <col min="98" max="103" width="18.42578125" customWidth="1"/>
  </cols>
  <sheetData>
    <row r="1" spans="1:103" ht="15.6">
      <c r="A1" s="20"/>
      <c r="B1" s="21"/>
      <c r="C1" s="89" t="s">
        <v>388</v>
      </c>
      <c r="D1" s="89"/>
      <c r="E1" s="89"/>
      <c r="F1" s="89"/>
      <c r="G1" s="89"/>
      <c r="H1" s="90"/>
      <c r="I1" s="41"/>
      <c r="J1" s="20"/>
      <c r="K1" s="21"/>
      <c r="L1" s="91" t="s">
        <v>389</v>
      </c>
      <c r="M1" s="91"/>
      <c r="N1" s="91"/>
      <c r="O1" s="91"/>
      <c r="P1" s="91"/>
      <c r="Q1" s="92"/>
      <c r="R1" s="41"/>
      <c r="S1" s="43"/>
      <c r="T1" s="21"/>
      <c r="U1" s="91" t="s">
        <v>390</v>
      </c>
      <c r="V1" s="91"/>
      <c r="W1" s="91"/>
      <c r="X1" s="91"/>
      <c r="Y1" s="91"/>
      <c r="Z1" s="92"/>
      <c r="AA1" s="41"/>
      <c r="AB1" s="43"/>
      <c r="AC1" s="21"/>
      <c r="AD1" s="91" t="s">
        <v>391</v>
      </c>
      <c r="AE1" s="91"/>
      <c r="AF1" s="91"/>
      <c r="AG1" s="91"/>
      <c r="AH1" s="91"/>
      <c r="AI1" s="92"/>
      <c r="AJ1" s="41"/>
      <c r="AK1" s="43"/>
      <c r="AL1" s="21"/>
      <c r="AM1" s="91" t="s">
        <v>392</v>
      </c>
      <c r="AN1" s="91"/>
      <c r="AO1" s="91"/>
      <c r="AP1" s="91"/>
      <c r="AQ1" s="91"/>
      <c r="AR1" s="92"/>
      <c r="AS1" s="41"/>
      <c r="AT1" s="43"/>
      <c r="AU1" s="21"/>
      <c r="AV1" s="91" t="s">
        <v>393</v>
      </c>
      <c r="AW1" s="91"/>
      <c r="AX1" s="91"/>
      <c r="AY1" s="91"/>
      <c r="AZ1" s="91"/>
      <c r="BA1" s="91"/>
      <c r="BB1" s="41"/>
      <c r="BC1" s="43"/>
      <c r="BD1" s="21"/>
      <c r="BE1" s="98" t="s">
        <v>394</v>
      </c>
      <c r="BF1" s="99"/>
      <c r="BG1" s="99"/>
      <c r="BH1" s="99"/>
      <c r="BI1" s="99"/>
      <c r="BJ1" s="99"/>
      <c r="BK1" s="99"/>
      <c r="BL1" s="99"/>
      <c r="BM1" s="99"/>
      <c r="BN1" s="41"/>
      <c r="BO1" s="43"/>
      <c r="BP1" s="21"/>
      <c r="BQ1" s="91" t="s">
        <v>395</v>
      </c>
      <c r="BR1" s="91"/>
      <c r="BS1" s="91"/>
      <c r="BT1" s="91"/>
      <c r="BU1" s="91"/>
      <c r="BV1" s="91"/>
      <c r="BW1" s="41"/>
      <c r="BX1" s="43"/>
      <c r="BY1" s="21"/>
      <c r="BZ1" s="96" t="s">
        <v>396</v>
      </c>
      <c r="CA1" s="97"/>
      <c r="CB1" s="97"/>
      <c r="CC1" s="97"/>
      <c r="CD1" s="97"/>
      <c r="CE1" s="97"/>
      <c r="CF1" s="97"/>
      <c r="CG1" s="97"/>
      <c r="CH1" s="41"/>
      <c r="CI1" s="43"/>
      <c r="CJ1" s="21"/>
      <c r="CK1" s="91" t="s">
        <v>397</v>
      </c>
      <c r="CL1" s="91"/>
      <c r="CM1" s="91"/>
      <c r="CN1" s="91"/>
      <c r="CO1" s="91"/>
      <c r="CP1" s="91"/>
      <c r="CQ1" s="41"/>
      <c r="CR1" s="43"/>
      <c r="CS1" s="21"/>
      <c r="CT1" s="100" t="s">
        <v>398</v>
      </c>
      <c r="CU1" s="91"/>
      <c r="CV1" s="91"/>
      <c r="CW1" s="91"/>
      <c r="CX1" s="91"/>
      <c r="CY1" s="92"/>
    </row>
    <row r="2" spans="1:103" ht="21.6" customHeight="1">
      <c r="A2" s="22"/>
      <c r="B2" s="23"/>
      <c r="C2" s="24" t="s">
        <v>49</v>
      </c>
      <c r="D2" s="25" t="s">
        <v>69</v>
      </c>
      <c r="E2" s="25" t="s">
        <v>89</v>
      </c>
      <c r="F2" s="25" t="s">
        <v>84</v>
      </c>
      <c r="G2" s="25" t="s">
        <v>38</v>
      </c>
      <c r="H2" s="35" t="s">
        <v>365</v>
      </c>
      <c r="J2" s="22"/>
      <c r="K2" s="23"/>
      <c r="L2" s="24">
        <v>1</v>
      </c>
      <c r="M2" s="25">
        <v>2</v>
      </c>
      <c r="N2" s="25">
        <v>3</v>
      </c>
      <c r="O2" s="25">
        <v>4</v>
      </c>
      <c r="P2" s="25">
        <v>5</v>
      </c>
      <c r="Q2" s="35" t="s">
        <v>365</v>
      </c>
      <c r="S2" s="44"/>
      <c r="T2" s="23"/>
      <c r="U2" s="24">
        <v>1</v>
      </c>
      <c r="V2" s="25">
        <v>2</v>
      </c>
      <c r="W2" s="25">
        <v>3</v>
      </c>
      <c r="X2" s="25">
        <v>4</v>
      </c>
      <c r="Y2" s="25">
        <v>5</v>
      </c>
      <c r="Z2" s="35" t="s">
        <v>365</v>
      </c>
      <c r="AB2" s="44"/>
      <c r="AC2" s="23"/>
      <c r="AD2" s="24">
        <v>1</v>
      </c>
      <c r="AE2" s="25">
        <v>2</v>
      </c>
      <c r="AF2" s="25">
        <v>3</v>
      </c>
      <c r="AG2" s="25">
        <v>4</v>
      </c>
      <c r="AH2" s="25">
        <v>5</v>
      </c>
      <c r="AI2" s="35" t="s">
        <v>365</v>
      </c>
      <c r="AK2" s="44"/>
      <c r="AL2" s="23"/>
      <c r="AM2" s="24">
        <v>1</v>
      </c>
      <c r="AN2" s="25">
        <v>2</v>
      </c>
      <c r="AO2" s="25">
        <v>3</v>
      </c>
      <c r="AP2" s="25">
        <v>4</v>
      </c>
      <c r="AQ2" s="25">
        <v>5</v>
      </c>
      <c r="AR2" s="35" t="s">
        <v>365</v>
      </c>
      <c r="AT2" s="44"/>
      <c r="AU2" s="23"/>
      <c r="AV2" s="24">
        <v>1</v>
      </c>
      <c r="AW2" s="25">
        <v>2</v>
      </c>
      <c r="AX2" s="25">
        <v>3</v>
      </c>
      <c r="AY2" s="25">
        <v>4</v>
      </c>
      <c r="AZ2" s="25">
        <v>5</v>
      </c>
      <c r="BA2" s="35" t="s">
        <v>365</v>
      </c>
      <c r="BC2" s="44"/>
      <c r="BD2" s="23"/>
      <c r="BE2" s="58" t="s">
        <v>70</v>
      </c>
      <c r="BF2" s="58" t="s">
        <v>371</v>
      </c>
      <c r="BG2" s="58" t="s">
        <v>106</v>
      </c>
      <c r="BH2" s="58" t="s">
        <v>110</v>
      </c>
      <c r="BI2" s="58" t="s">
        <v>164</v>
      </c>
      <c r="BJ2" s="58" t="s">
        <v>264</v>
      </c>
      <c r="BK2" s="58" t="s">
        <v>94</v>
      </c>
      <c r="BL2" s="58" t="s">
        <v>372</v>
      </c>
      <c r="BM2" s="35" t="s">
        <v>365</v>
      </c>
      <c r="BO2" s="44"/>
      <c r="BP2" s="23"/>
      <c r="BQ2" s="24">
        <v>1</v>
      </c>
      <c r="BR2" s="25">
        <v>2</v>
      </c>
      <c r="BS2" s="25">
        <v>3</v>
      </c>
      <c r="BT2" s="25">
        <v>4</v>
      </c>
      <c r="BU2" s="25">
        <v>5</v>
      </c>
      <c r="BV2" s="35" t="s">
        <v>365</v>
      </c>
      <c r="BX2" s="44"/>
      <c r="BY2" s="23"/>
      <c r="BZ2" s="58" t="s">
        <v>374</v>
      </c>
      <c r="CA2" s="58" t="s">
        <v>375</v>
      </c>
      <c r="CB2" s="58" t="s">
        <v>376</v>
      </c>
      <c r="CC2" s="58" t="s">
        <v>111</v>
      </c>
      <c r="CD2" s="58" t="s">
        <v>132</v>
      </c>
      <c r="CE2" s="58" t="s">
        <v>377</v>
      </c>
      <c r="CF2" s="58" t="s">
        <v>378</v>
      </c>
      <c r="CG2" s="35" t="s">
        <v>365</v>
      </c>
      <c r="CI2" s="44"/>
      <c r="CJ2" s="23"/>
      <c r="CK2" s="24">
        <v>1</v>
      </c>
      <c r="CL2" s="25">
        <v>2</v>
      </c>
      <c r="CM2" s="25">
        <v>3</v>
      </c>
      <c r="CN2" s="25">
        <v>4</v>
      </c>
      <c r="CO2" s="25">
        <v>5</v>
      </c>
      <c r="CP2" s="35" t="s">
        <v>365</v>
      </c>
      <c r="CR2" s="44"/>
      <c r="CS2" s="23"/>
      <c r="CT2" s="24">
        <v>1</v>
      </c>
      <c r="CU2" s="25">
        <v>2</v>
      </c>
      <c r="CV2" s="25">
        <v>3</v>
      </c>
      <c r="CW2" s="25">
        <v>4</v>
      </c>
      <c r="CX2" s="25">
        <v>5</v>
      </c>
      <c r="CY2" s="58" t="s">
        <v>365</v>
      </c>
    </row>
    <row r="3" spans="1:103" ht="15.6">
      <c r="A3" s="86" t="s">
        <v>399</v>
      </c>
      <c r="B3" s="33" t="s">
        <v>41</v>
      </c>
      <c r="C3" s="30">
        <f>COUNTIFS(Tabela2[Com que frequência você costuma consumir saladas na Olga Ri?],'Dados cruzados'!C2,Tabela2[Com qual gênero você se identifica?],'Dados cruzados'!B3)</f>
        <v>26</v>
      </c>
      <c r="D3" s="30">
        <f>COUNTIFS(Tabela2[Com que frequência você costuma consumir saladas na Olga Ri?],'Dados cruzados'!D2,Tabela2[Com qual gênero você se identifica?],'Dados cruzados'!B3)</f>
        <v>15</v>
      </c>
      <c r="E3" s="30">
        <f>COUNTIFS(Tabela2[Com que frequência você costuma consumir saladas na Olga Ri?],'Dados cruzados'!E2,Tabela2[Com qual gênero você se identifica?],'Dados cruzados'!B3)</f>
        <v>11</v>
      </c>
      <c r="F3" s="30">
        <f>COUNTIFS(Tabela2[Com que frequência você costuma consumir saladas na Olga Ri?],'Dados cruzados'!F2,Tabela2[Com qual gênero você se identifica?],'Dados cruzados'!B3)</f>
        <v>7</v>
      </c>
      <c r="G3" s="30">
        <f>COUNTIFS(Tabela2[Com que frequência você costuma consumir saladas na Olga Ri?],'Dados cruzados'!G2,Tabela2[Com qual gênero você se identifica?],'Dados cruzados'!B3)</f>
        <v>3</v>
      </c>
      <c r="H3" s="36">
        <f>SUM(C3:G3)</f>
        <v>62</v>
      </c>
      <c r="J3" s="86" t="s">
        <v>399</v>
      </c>
      <c r="K3" s="33" t="s">
        <v>41</v>
      </c>
      <c r="L3" s="30">
        <f>COUNTIFS(Tabela2[Como você avalia o seu grau de importância do clima na escolha das refeições que você costuma adquirir?],'Dados cruzados'!L$2,Tabela2[Com qual gênero você se identifica?],'Dados cruzados'!$K3)</f>
        <v>4</v>
      </c>
      <c r="M3" s="30">
        <f>COUNTIFS(Tabela2[Como você avalia o seu grau de importância do clima na escolha das refeições que você costuma adquirir?],'Dados cruzados'!M2,Tabela2[Com qual gênero você se identifica?],'Dados cruzados'!$K3)</f>
        <v>1</v>
      </c>
      <c r="N3" s="30">
        <f>COUNTIFS(Tabela2[Como você avalia o seu grau de importância do clima na escolha das refeições que você costuma adquirir?],'Dados cruzados'!N2,Tabela2[Com qual gênero você se identifica?],'Dados cruzados'!$K3)</f>
        <v>19</v>
      </c>
      <c r="O3" s="30">
        <f>COUNTIFS(Tabela2[Como você avalia o seu grau de importância do clima na escolha das refeições que você costuma adquirir?],'Dados cruzados'!O2,Tabela2[Com qual gênero você se identifica?],'Dados cruzados'!$K3)</f>
        <v>21</v>
      </c>
      <c r="P3" s="30">
        <f>COUNTIFS(Tabela2[Como você avalia o seu grau de importância do clima na escolha das refeições que você costuma adquirir?],'Dados cruzados'!P2,Tabela2[Com qual gênero você se identifica?],'Dados cruzados'!$K3)</f>
        <v>17</v>
      </c>
      <c r="Q3" s="36">
        <f>SUM(L3:P3)</f>
        <v>62</v>
      </c>
      <c r="S3" s="93" t="s">
        <v>399</v>
      </c>
      <c r="T3" s="33" t="s">
        <v>41</v>
      </c>
      <c r="U3" s="30">
        <f>COUNTIFS(Tabela2[Como você avalia o seu grau interesse em comprar bowls* quentes?],'Dados cruzados'!U$2,Tabela2[Com qual gênero você se identifica?],'Dados cruzados'!$K3)</f>
        <v>7</v>
      </c>
      <c r="V3" s="30">
        <f>COUNTIFS(Tabela2[Como você avalia o seu grau interesse em comprar bowls* quentes?],'Dados cruzados'!V$2,Tabela2[Com qual gênero você se identifica?],'Dados cruzados'!$K3)</f>
        <v>20</v>
      </c>
      <c r="W3" s="30">
        <f>COUNTIFS(Tabela2[Como você avalia o seu grau interesse em comprar bowls* quentes?],'Dados cruzados'!W$2,Tabela2[Com qual gênero você se identifica?],'Dados cruzados'!$K3)</f>
        <v>8</v>
      </c>
      <c r="X3" s="30">
        <f>COUNTIFS(Tabela2[Como você avalia o seu grau interesse em comprar bowls* quentes?],'Dados cruzados'!X$2,Tabela2[Com qual gênero você se identifica?],'Dados cruzados'!$K3)</f>
        <v>9</v>
      </c>
      <c r="Y3" s="30">
        <f>COUNTIFS(Tabela2[Como você avalia o seu grau interesse em comprar bowls* quentes?],'Dados cruzados'!Y$2,Tabela2[Com qual gênero você se identifica?],'Dados cruzados'!$K3)</f>
        <v>18</v>
      </c>
      <c r="Z3" s="36">
        <f>SUM(U3:Y3)</f>
        <v>62</v>
      </c>
      <c r="AB3" s="93" t="s">
        <v>399</v>
      </c>
      <c r="AC3" s="33" t="s">
        <v>41</v>
      </c>
      <c r="AD3" s="30">
        <f>COUNTIFS(Tabela2[Como você avalia o seu grau de conhecimento sobre as opções de pratos quentes oferecidos pela Olga RI?],'Dados cruzados'!AD$2,Tabela2[Com qual gênero você se identifica?],'Dados cruzados'!$B3)</f>
        <v>18</v>
      </c>
      <c r="AE3" s="30">
        <f>COUNTIFS(Tabela2[Como você avalia o seu grau de conhecimento sobre as opções de pratos quentes oferecidos pela Olga RI?],'Dados cruzados'!AE$2,Tabela2[Com qual gênero você se identifica?],'Dados cruzados'!$B3)</f>
        <v>18</v>
      </c>
      <c r="AF3" s="30">
        <f>COUNTIFS(Tabela2[Como você avalia o seu grau de conhecimento sobre as opções de pratos quentes oferecidos pela Olga RI?],'Dados cruzados'!AF$2,Tabela2[Com qual gênero você se identifica?],'Dados cruzados'!$B3)</f>
        <v>10</v>
      </c>
      <c r="AG3" s="30">
        <f>COUNTIFS(Tabela2[Como você avalia o seu grau de conhecimento sobre as opções de pratos quentes oferecidos pela Olga RI?],'Dados cruzados'!AG$2,Tabela2[Com qual gênero você se identifica?],'Dados cruzados'!$B3)</f>
        <v>3</v>
      </c>
      <c r="AH3" s="30">
        <f>COUNTIFS(Tabela2[Como você avalia o seu grau de conhecimento sobre as opções de pratos quentes oferecidos pela Olga RI?],'Dados cruzados'!AH$2,Tabela2[Com qual gênero você se identifica?],'Dados cruzados'!$B3)</f>
        <v>13</v>
      </c>
      <c r="AI3" s="36">
        <f>SUM(AD3:AH3)</f>
        <v>62</v>
      </c>
      <c r="AK3" s="93" t="s">
        <v>399</v>
      </c>
      <c r="AL3" s="29" t="s">
        <v>41</v>
      </c>
      <c r="AM3" s="30">
        <f>COUNTIFS(Tabela2["A Olga Ri é a primeira marca que vem à mente quando penso em comprar opções quentes,"
O quanto você concorda com essa afirmação?],'Dados cruzados'!AM$2,Tabela2[Com qual gênero você se identifica?],'Dados cruzados'!$B3)</f>
        <v>50</v>
      </c>
      <c r="AN3" s="30">
        <f>COUNTIFS(Tabela2["A Olga Ri é a primeira marca que vem à mente quando penso em comprar opções quentes,"
O quanto você concorda com essa afirmação?],'Dados cruzados'!AN$2,Tabela2[Com qual gênero você se identifica?],'Dados cruzados'!$B3)</f>
        <v>7</v>
      </c>
      <c r="AO3" s="30">
        <f>COUNTIFS(Tabela2["A Olga Ri é a primeira marca que vem à mente quando penso em comprar opções quentes,"
O quanto você concorda com essa afirmação?],'Dados cruzados'!AO$2,Tabela2[Com qual gênero você se identifica?],'Dados cruzados'!$B3)</f>
        <v>1</v>
      </c>
      <c r="AP3" s="30">
        <f>COUNTIFS(Tabela2["A Olga Ri é a primeira marca que vem à mente quando penso em comprar opções quentes,"
O quanto você concorda com essa afirmação?],'Dados cruzados'!AP$2,Tabela2[Com qual gênero você se identifica?],'Dados cruzados'!$B3)</f>
        <v>1</v>
      </c>
      <c r="AQ3" s="30">
        <f>COUNTIFS(Tabela2["A Olga Ri é a primeira marca que vem à mente quando penso em comprar opções quentes,"
O quanto você concorda com essa afirmação?],'Dados cruzados'!AQ$2,Tabela2[Com qual gênero você se identifica?],'Dados cruzados'!$B3)</f>
        <v>3</v>
      </c>
      <c r="AR3" s="36">
        <f>SUM(AM3:AQ3)</f>
        <v>62</v>
      </c>
      <c r="AT3" s="93" t="s">
        <v>399</v>
      </c>
      <c r="AU3" s="29" t="s">
        <v>41</v>
      </c>
      <c r="AV3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cruzados'!AV$2,Tabela2[Com qual gênero você se identifica?],'Dados cruzados'!$B3)</f>
        <v>4</v>
      </c>
      <c r="AW3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cruzados'!AW$2,Tabela2[Com qual gênero você se identifica?],'Dados cruzados'!$B3)</f>
        <v>3</v>
      </c>
      <c r="AX3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cruzados'!AX$2,Tabela2[Com qual gênero você se identifica?],'Dados cruzados'!$B3)</f>
        <v>10</v>
      </c>
      <c r="AY3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cruzados'!AY$2,Tabela2[Com qual gênero você se identifica?],'Dados cruzados'!$B3)</f>
        <v>18</v>
      </c>
      <c r="AZ3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cruzados'!AZ$2,Tabela2[Com qual gênero você se identifica?],'Dados cruzados'!$B3)</f>
        <v>27</v>
      </c>
      <c r="BA3" s="36">
        <f>SUM(AV3:AZ3)</f>
        <v>62</v>
      </c>
      <c r="BC3" s="93" t="s">
        <v>399</v>
      </c>
      <c r="BD3" s="29" t="s">
        <v>41</v>
      </c>
      <c r="BE3" s="30">
        <f>COUNTIFS(Tabela2[Quando você considera experimentar pratos quentes na Olga Ri, quais aspectos são mais importantes para a sua decisão?],"*Ambiente e atmosfera do restaurante*",Tabela2[Com qual gênero você se identifica?],'Dados cruzados'!$B3)</f>
        <v>30</v>
      </c>
      <c r="BF3" s="30">
        <f>COUNTIFS(Tabela2[Quando você considera experimentar pratos quentes na Olga Ri, quais aspectos são mais importantes para a sua decisão?],"*Avaliação ou recomendação de influenciadores*",Tabela2[Com qual gênero você se identifica?],'Dados cruzados'!$B3)</f>
        <v>2</v>
      </c>
      <c r="BG3" s="30">
        <f>COUNTIFS(Tabela2[Quando você considera experimentar pratos quentes na Olga Ri, quais aspectos são mais importantes para a sua decisão?],"*Avaliação ou recomendação de outros clientes*",Tabela2[Com qual gênero você se identifica?],'Dados cruzados'!$B3)</f>
        <v>15</v>
      </c>
      <c r="BH3" s="30">
        <f>COUNTIFS(Tabela2[Quando você considera experimentar pratos quentes na Olga Ri, quais aspectos são mais importantes para a sua decisão?],"*Opções vegetarianas e/ou veganas de pratos quentes*",Tabela2[Com qual gênero você se identifica?],'Dados cruzados'!$B3)</f>
        <v>13</v>
      </c>
      <c r="BI3" s="30">
        <f>COUNTIFS(Tabela2[Quando você considera experimentar pratos quentes na Olga Ri, quais aspectos são mais importantes para a sua decisão?],"*Preço das opções quentes*",Tabela2[Com qual gênero você se identifica?],'Dados cruzados'!$B3)</f>
        <v>22</v>
      </c>
      <c r="BJ3" s="30">
        <f>COUNTIFS(Tabela2[Quando você considera experimentar pratos quentes na Olga Ri, quais aspectos são mais importantes para a sua decisão?],"*Tempo de espera para ser servido*",Tabela2[Com qual gênero você se identifica?],'Dados cruzados'!$B3)</f>
        <v>26</v>
      </c>
      <c r="BK3" s="30">
        <f>COUNTIFS(Tabela2[Quando você considera experimentar pratos quentes na Olga Ri, quais aspectos são mais importantes para a sua decisão?],"*Variedade de opções quentes no cardápio*",Tabela2[Com qual gênero você se identifica?],'Dados cruzados'!$B3)</f>
        <v>44</v>
      </c>
      <c r="BL3" s="30">
        <f>COUNTIFS(Tabela2[Quando você considera experimentar pratos quentes na Olga Ri, quais aspectos são mais importantes para a sua decisão?],"*Muitas opções de salada*",Tabela2[Com qual gênero você se identifica?],'Dados cruzados'!$B3)</f>
        <v>1</v>
      </c>
      <c r="BM3" s="36">
        <f>SUM(BE3:BL3)</f>
        <v>153</v>
      </c>
      <c r="BO3" s="93" t="s">
        <v>399</v>
      </c>
      <c r="BP3" s="29" t="s">
        <v>41</v>
      </c>
      <c r="BQ3" s="30">
        <f>COUNTIFS(Tabela2[Qual a probabilidade de mudanças realizadas no cardápio de opções quentes influenciarem a sua decisão de compra dos bowls quentes?],'Dados cruzados'!BQ$2,Tabela2[Com qual gênero você se identifica?],'Dados cruzados'!$B3)</f>
        <v>7</v>
      </c>
      <c r="BR3" s="30">
        <f>COUNTIFS(Tabela2[Qual a probabilidade de mudanças realizadas no cardápio de opções quentes influenciarem a sua decisão de compra dos bowls quentes?],'Dados cruzados'!BR$2,Tabela2[Com qual gênero você se identifica?],'Dados cruzados'!$B3)</f>
        <v>9</v>
      </c>
      <c r="BS3" s="30">
        <f>COUNTIFS(Tabela2[Qual a probabilidade de mudanças realizadas no cardápio de opções quentes influenciarem a sua decisão de compra dos bowls quentes?],'Dados cruzados'!BS$2,Tabela2[Com qual gênero você se identifica?],'Dados cruzados'!$B3)</f>
        <v>19</v>
      </c>
      <c r="BT3" s="30">
        <f>COUNTIFS(Tabela2[Qual a probabilidade de mudanças realizadas no cardápio de opções quentes influenciarem a sua decisão de compra dos bowls quentes?],'Dados cruzados'!BT$2,Tabela2[Com qual gênero você se identifica?],'Dados cruzados'!$B3)</f>
        <v>18</v>
      </c>
      <c r="BU3" s="30">
        <f>COUNTIFS(Tabela2[Qual a probabilidade de mudanças realizadas no cardápio de opções quentes influenciarem a sua decisão de compra dos bowls quentes?],'Dados cruzados'!BU$2,Tabela2[Com qual gênero você se identifica?],'Dados cruzados'!$B3)</f>
        <v>9</v>
      </c>
      <c r="BV3" s="36">
        <f>SUM(BQ3:BU3)</f>
        <v>62</v>
      </c>
      <c r="BX3" s="93" t="s">
        <v>399</v>
      </c>
      <c r="BY3" s="29" t="s">
        <v>41</v>
      </c>
      <c r="BZ3" s="30">
        <f>COUNTIFS(Tabela2[Que tipo de ingredientes quentes você mais gostaria de ver nos bowls quentes da Olga RI no futuro?],"*Frango Grelhado*",Tabela2[Com qual gênero você se identifica?],'Dados cruzados'!$B3)</f>
        <v>19</v>
      </c>
      <c r="CA3" s="30">
        <f>COUNTIFS(Tabela2[Que tipo de ingredientes quentes você mais gostaria de ver nos bowls quentes da Olga RI no futuro?],"*Carne seca desfiada*",Tabela2[Com qual gênero você se identifica?],'Dados cruzados'!$B3)</f>
        <v>17</v>
      </c>
      <c r="CB3" s="30">
        <f>COUNTIFS(Tabela2[Que tipo de ingredientes quentes você mais gostaria de ver nos bowls quentes da Olga RI no futuro?],"*Filé mignon*",Tabela2[Com qual gênero você se identifica?],'Dados cruzados'!$B3)</f>
        <v>33</v>
      </c>
      <c r="CC3" s="30">
        <f>COUNTIFS(Tabela2[Que tipo de ingredientes quentes você mais gostaria de ver nos bowls quentes da Olga RI no futuro?],"*Falafel*",Tabela2[Com qual gênero você se identifica?],'Dados cruzados'!$B3)</f>
        <v>25</v>
      </c>
      <c r="CD3" s="30">
        <f>COUNTIFS(Tabela2[Que tipo de ingredientes quentes você mais gostaria de ver nos bowls quentes da Olga RI no futuro?],"*Salmão grelhado com molho teriyaki*",Tabela2[Com qual gênero você se identifica?],'Dados cruzados'!$B3)</f>
        <v>35</v>
      </c>
      <c r="CE3" s="30">
        <f>COUNTIFS(Tabela2[Que tipo de ingredientes quentes você mais gostaria de ver nos bowls quentes da Olga RI no futuro?],"*Atum selado com gergelim*",Tabela2[Com qual gênero você se identifica?],'Dados cruzados'!$B3)</f>
        <v>26</v>
      </c>
      <c r="CF3" s="30">
        <v>2</v>
      </c>
      <c r="CG3" s="36">
        <f>SUM(BZ3:CF3)</f>
        <v>157</v>
      </c>
      <c r="CI3" s="93" t="s">
        <v>399</v>
      </c>
      <c r="CJ3" s="29" t="s">
        <v>41</v>
      </c>
      <c r="CK3" s="30">
        <f>COUNTIFS(Tabela2[Levando em consideração que os ingredientes escolhidos por você estivessem disponíveis na próxima virada de cardápio da Olga RI, qual é a chance de você comprar esse bowl quente? ],'Dados cruzados'!CK$2,Tabela2[Com qual gênero você se identifica?],'Dados cruzados'!$B3)</f>
        <v>1</v>
      </c>
      <c r="CL3" s="30">
        <f>COUNTIFS(Tabela2[Levando em consideração que os ingredientes escolhidos por você estivessem disponíveis na próxima virada de cardápio da Olga RI, qual é a chance de você comprar esse bowl quente? ],'Dados cruzados'!CL$2,Tabela2[Com qual gênero você se identifica?],'Dados cruzados'!$B3)</f>
        <v>0</v>
      </c>
      <c r="CM3" s="30">
        <f>COUNTIFS(Tabela2[Levando em consideração que os ingredientes escolhidos por você estivessem disponíveis na próxima virada de cardápio da Olga RI, qual é a chance de você comprar esse bowl quente? ],'Dados cruzados'!CM$2,Tabela2[Com qual gênero você se identifica?],'Dados cruzados'!$B3)</f>
        <v>8</v>
      </c>
      <c r="CN3" s="30">
        <f>COUNTIFS(Tabela2[Levando em consideração que os ingredientes escolhidos por você estivessem disponíveis na próxima virada de cardápio da Olga RI, qual é a chance de você comprar esse bowl quente? ],'Dados cruzados'!CN$2,Tabela2[Com qual gênero você se identifica?],'Dados cruzados'!$B3)</f>
        <v>17</v>
      </c>
      <c r="CO3" s="30">
        <f>COUNTIFS(Tabela2[Levando em consideração que os ingredientes escolhidos por você estivessem disponíveis na próxima virada de cardápio da Olga RI, qual é a chance de você comprar esse bowl quente? ],'Dados cruzados'!CO$2,Tabela2[Com qual gênero você se identifica?],'Dados cruzados'!$B3)</f>
        <v>36</v>
      </c>
      <c r="CP3" s="36">
        <f>SUM(CK3:CO3)</f>
        <v>62</v>
      </c>
      <c r="CR3" s="93" t="s">
        <v>399</v>
      </c>
      <c r="CS3" s="29" t="s">
        <v>41</v>
      </c>
      <c r="CT3" s="30">
        <f>COUNTIFS(Tabela2[Com a inclusão das novas opções de bowls quentes, qual é a probabilidade de você optar por essas opções da Olga RI em dias mais frios? ],'Dados cruzados'!CT$2,Tabela2[Com qual gênero você se identifica?],'Dados cruzados'!$B3)</f>
        <v>1</v>
      </c>
      <c r="CU3" s="30">
        <f>COUNTIFS(Tabela2[Com a inclusão das novas opções de bowls quentes, qual é a probabilidade de você optar por essas opções da Olga RI em dias mais frios? ],'Dados cruzados'!CU$2,Tabela2[Com qual gênero você se identifica?],'Dados cruzados'!$B3)</f>
        <v>4</v>
      </c>
      <c r="CV3" s="30">
        <f>COUNTIFS(Tabela2[Com a inclusão das novas opções de bowls quentes, qual é a probabilidade de você optar por essas opções da Olga RI em dias mais frios? ],'Dados cruzados'!CV$2,Tabela2[Com qual gênero você se identifica?],'Dados cruzados'!$B3)</f>
        <v>12</v>
      </c>
      <c r="CW3" s="30">
        <f>COUNTIFS(Tabela2[Com a inclusão das novas opções de bowls quentes, qual é a probabilidade de você optar por essas opções da Olga RI em dias mais frios? ],'Dados cruzados'!CW$2,Tabela2[Com qual gênero você se identifica?],'Dados cruzados'!$B3)</f>
        <v>20</v>
      </c>
      <c r="CX3" s="30">
        <f>COUNTIFS(Tabela2[Com a inclusão das novas opções de bowls quentes, qual é a probabilidade de você optar por essas opções da Olga RI em dias mais frios? ],'Dados cruzados'!CX$2,Tabela2[Com qual gênero você se identifica?],'Dados cruzados'!$B3)</f>
        <v>25</v>
      </c>
      <c r="CY3" s="59">
        <f>SUM(CT3:CX3)</f>
        <v>62</v>
      </c>
    </row>
    <row r="4" spans="1:103" ht="15.6">
      <c r="A4" s="87"/>
      <c r="B4" s="16" t="s">
        <v>66</v>
      </c>
      <c r="C4" s="26">
        <f>COUNTIFS(Tabela2[Com que frequência você costuma consumir saladas na Olga Ri?],'Dados cruzados'!C2,Tabela2[Com qual gênero você se identifica?],'Dados cruzados'!B4)</f>
        <v>14</v>
      </c>
      <c r="D4" s="26">
        <f>COUNTIFS(Tabela2[Com que frequência você costuma consumir saladas na Olga Ri?],'Dados cruzados'!D2,Tabela2[Com qual gênero você se identifica?],'Dados cruzados'!B4)</f>
        <v>9</v>
      </c>
      <c r="E4" s="26">
        <f>COUNTIFS(Tabela2[Com que frequência você costuma consumir saladas na Olga Ri?],'Dados cruzados'!E2,Tabela2[Com qual gênero você se identifica?],'Dados cruzados'!$B$4)</f>
        <v>5</v>
      </c>
      <c r="F4" s="26">
        <f>COUNTIFS(Tabela2[Com que frequência você costuma consumir saladas na Olga Ri?],'Dados cruzados'!F2,Tabela2[Com qual gênero você se identifica?],'Dados cruzados'!$B$4)</f>
        <v>9</v>
      </c>
      <c r="G4" s="26">
        <f>COUNTIFS(Tabela2[Com que frequência você costuma consumir saladas na Olga Ri?],'Dados cruzados'!G2,Tabela2[Com qual gênero você se identifica?],'Dados cruzados'!$B$4)</f>
        <v>0</v>
      </c>
      <c r="H4" s="37">
        <f t="shared" ref="H4:H5" si="0">SUM(C4:G4)</f>
        <v>37</v>
      </c>
      <c r="J4" s="87"/>
      <c r="K4" s="16" t="s">
        <v>66</v>
      </c>
      <c r="L4" s="26">
        <f>COUNTIFS(Tabela2[Como você avalia o seu grau de importância do clima na escolha das refeições que você costuma adquirir?],'Dados cruzados'!L$2,Tabela2[Com qual gênero você se identifica?],'Dados cruzados'!$K4)</f>
        <v>6</v>
      </c>
      <c r="M4" s="26">
        <f>COUNTIFS(Tabela2[Como você avalia o seu grau de importância do clima na escolha das refeições que você costuma adquirir?],'Dados cruzados'!M$2,Tabela2[Com qual gênero você se identifica?],'Dados cruzados'!$K4)</f>
        <v>5</v>
      </c>
      <c r="N4" s="26">
        <f>COUNTIFS(Tabela2[Como você avalia o seu grau de importância do clima na escolha das refeições que você costuma adquirir?],'Dados cruzados'!N$2,Tabela2[Com qual gênero você se identifica?],'Dados cruzados'!$K4)</f>
        <v>7</v>
      </c>
      <c r="O4" s="26">
        <f>COUNTIFS(Tabela2[Como você avalia o seu grau de importância do clima na escolha das refeições que você costuma adquirir?],'Dados cruzados'!O$2,Tabela2[Com qual gênero você se identifica?],'Dados cruzados'!$K4)</f>
        <v>10</v>
      </c>
      <c r="P4" s="26">
        <f>COUNTIFS(Tabela2[Como você avalia o seu grau de importância do clima na escolha das refeições que você costuma adquirir?],'Dados cruzados'!P$2,Tabela2[Com qual gênero você se identifica?],'Dados cruzados'!$K4)</f>
        <v>9</v>
      </c>
      <c r="Q4" s="37">
        <f t="shared" ref="Q4:Q5" si="1">SUM(L4:P4)</f>
        <v>37</v>
      </c>
      <c r="S4" s="94"/>
      <c r="T4" s="16" t="s">
        <v>66</v>
      </c>
      <c r="U4" s="26">
        <f>COUNTIFS(Tabela2[Como você avalia o seu grau interesse em comprar bowls* quentes?],'Dados cruzados'!U$2,Tabela2[Com qual gênero você se identifica?],'Dados cruzados'!$K4)</f>
        <v>7</v>
      </c>
      <c r="V4" s="26">
        <f>COUNTIFS(Tabela2[Como você avalia o seu grau interesse em comprar bowls* quentes?],'Dados cruzados'!V$2,Tabela2[Com qual gênero você se identifica?],'Dados cruzados'!$K4)</f>
        <v>5</v>
      </c>
      <c r="W4" s="26">
        <f>COUNTIFS(Tabela2[Como você avalia o seu grau interesse em comprar bowls* quentes?],'Dados cruzados'!W$2,Tabela2[Com qual gênero você se identifica?],'Dados cruzados'!$K4)</f>
        <v>8</v>
      </c>
      <c r="X4" s="26">
        <f>COUNTIFS(Tabela2[Como você avalia o seu grau interesse em comprar bowls* quentes?],'Dados cruzados'!X$2,Tabela2[Com qual gênero você se identifica?],'Dados cruzados'!$K4)</f>
        <v>12</v>
      </c>
      <c r="Y4" s="26">
        <f>COUNTIFS(Tabela2[Como você avalia o seu grau interesse em comprar bowls* quentes?],'Dados cruzados'!Y$2,Tabela2[Com qual gênero você se identifica?],'Dados cruzados'!$K4)</f>
        <v>5</v>
      </c>
      <c r="Z4" s="37">
        <f t="shared" ref="Z4:Z5" si="2">SUM(U4:Y4)</f>
        <v>37</v>
      </c>
      <c r="AB4" s="94"/>
      <c r="AC4" s="16" t="s">
        <v>66</v>
      </c>
      <c r="AD4" s="26">
        <f>COUNTIFS(Tabela2[Como você avalia o seu grau de conhecimento sobre as opções de pratos quentes oferecidos pela Olga RI?],'Dados cruzados'!AD$2,Tabela2[Com qual gênero você se identifica?],'Dados cruzados'!$B4)</f>
        <v>16</v>
      </c>
      <c r="AE4" s="26">
        <f>COUNTIFS(Tabela2[Como você avalia o seu grau de conhecimento sobre as opções de pratos quentes oferecidos pela Olga RI?],'Dados cruzados'!AE$2,Tabela2[Com qual gênero você se identifica?],'Dados cruzados'!$B4)</f>
        <v>4</v>
      </c>
      <c r="AF4" s="26">
        <f>COUNTIFS(Tabela2[Como você avalia o seu grau de conhecimento sobre as opções de pratos quentes oferecidos pela Olga RI?],'Dados cruzados'!AF$2,Tabela2[Com qual gênero você se identifica?],'Dados cruzados'!$B4)</f>
        <v>8</v>
      </c>
      <c r="AG4" s="26">
        <f>COUNTIFS(Tabela2[Como você avalia o seu grau de conhecimento sobre as opções de pratos quentes oferecidos pela Olga RI?],'Dados cruzados'!AG$2,Tabela2[Com qual gênero você se identifica?],'Dados cruzados'!$B4)</f>
        <v>3</v>
      </c>
      <c r="AH4" s="26">
        <f>COUNTIFS(Tabela2[Como você avalia o seu grau de conhecimento sobre as opções de pratos quentes oferecidos pela Olga RI?],'Dados cruzados'!AH$2,Tabela2[Com qual gênero você se identifica?],'Dados cruzados'!$B4)</f>
        <v>6</v>
      </c>
      <c r="AI4" s="37">
        <f t="shared" ref="AI4:AI5" si="3">SUM(AD4:AH4)</f>
        <v>37</v>
      </c>
      <c r="AK4" s="94"/>
      <c r="AL4" s="16" t="s">
        <v>66</v>
      </c>
      <c r="AM4" s="26">
        <f>COUNTIFS(Tabela2["A Olga Ri é a primeira marca que vem à mente quando penso em comprar opções quentes,"
O quanto você concorda com essa afirmação?],'Dados cruzados'!AM$2,Tabela2[Com qual gênero você se identifica?],'Dados cruzados'!$B4)</f>
        <v>32</v>
      </c>
      <c r="AN4" s="26">
        <f>COUNTIFS(Tabela2["A Olga Ri é a primeira marca que vem à mente quando penso em comprar opções quentes,"
O quanto você concorda com essa afirmação?],'Dados cruzados'!AN$2,Tabela2[Com qual gênero você se identifica?],'Dados cruzados'!$B4)</f>
        <v>1</v>
      </c>
      <c r="AO4" s="26">
        <f>COUNTIFS(Tabela2["A Olga Ri é a primeira marca que vem à mente quando penso em comprar opções quentes,"
O quanto você concorda com essa afirmação?],'Dados cruzados'!AO$2,Tabela2[Com qual gênero você se identifica?],'Dados cruzados'!$B4)</f>
        <v>3</v>
      </c>
      <c r="AP4" s="26">
        <f>COUNTIFS(Tabela2["A Olga Ri é a primeira marca que vem à mente quando penso em comprar opções quentes,"
O quanto você concorda com essa afirmação?],'Dados cruzados'!AP$2,Tabela2[Com qual gênero você se identifica?],'Dados cruzados'!$B4)</f>
        <v>0</v>
      </c>
      <c r="AQ4" s="26">
        <f>COUNTIFS(Tabela2["A Olga Ri é a primeira marca que vem à mente quando penso em comprar opções quentes,"
O quanto você concorda com essa afirmação?],'Dados cruzados'!AQ$2,Tabela2[Com qual gênero você se identifica?],'Dados cruzados'!$B4)</f>
        <v>1</v>
      </c>
      <c r="AR4" s="37">
        <f t="shared" ref="AR4:AR5" si="4">SUM(AM4:AQ4)</f>
        <v>37</v>
      </c>
      <c r="AT4" s="94"/>
      <c r="AU4" s="16" t="s">
        <v>66</v>
      </c>
      <c r="AV4" s="26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cruzados'!AV$2,Tabela2[Com qual gênero você se identifica?],'Dados cruzados'!$B4)</f>
        <v>3</v>
      </c>
      <c r="AW4" s="26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cruzados'!AW$2,Tabela2[Com qual gênero você se identifica?],'Dados cruzados'!$B4)</f>
        <v>3</v>
      </c>
      <c r="AX4" s="26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cruzados'!AX$2,Tabela2[Com qual gênero você se identifica?],'Dados cruzados'!$B4)</f>
        <v>3</v>
      </c>
      <c r="AY4" s="26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cruzados'!AY$2,Tabela2[Com qual gênero você se identifica?],'Dados cruzados'!$B4)</f>
        <v>13</v>
      </c>
      <c r="AZ4" s="26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cruzados'!AZ$2,Tabela2[Com qual gênero você se identifica?],'Dados cruzados'!$B4)</f>
        <v>15</v>
      </c>
      <c r="BA4" s="37">
        <f t="shared" ref="BA4:BA5" si="5">SUM(AV4:AZ4)</f>
        <v>37</v>
      </c>
      <c r="BC4" s="94"/>
      <c r="BD4" s="16" t="s">
        <v>66</v>
      </c>
      <c r="BE4" s="26">
        <f>COUNTIFS(Tabela2[Quando você considera experimentar pratos quentes na Olga Ri, quais aspectos são mais importantes para a sua decisão?],"*Ambiente e atmosfera do restaurante*",Tabela2[Com qual gênero você se identifica?],'Dados cruzados'!$B4)</f>
        <v>23</v>
      </c>
      <c r="BF4" s="26">
        <f>COUNTIFS(Tabela2[Quando você considera experimentar pratos quentes na Olga Ri, quais aspectos são mais importantes para a sua decisão?],"*Avaliação ou recomendação de influenciadores*",Tabela2[Com qual gênero você se identifica?],'Dados cruzados'!$B4)</f>
        <v>7</v>
      </c>
      <c r="BG4" s="26">
        <f>COUNTIFS(Tabela2[Quando você considera experimentar pratos quentes na Olga Ri, quais aspectos são mais importantes para a sua decisão?],"*Avaliação ou recomendação de outros clientes*",Tabela2[Com qual gênero você se identifica?],'Dados cruzados'!$B4)</f>
        <v>9</v>
      </c>
      <c r="BH4" s="26">
        <f>COUNTIFS(Tabela2[Quando você considera experimentar pratos quentes na Olga Ri, quais aspectos são mais importantes para a sua decisão?],"*Opções vegetarianas e/ou veganas de pratos quentes*",Tabela2[Com qual gênero você se identifica?],'Dados cruzados'!$B4)</f>
        <v>8</v>
      </c>
      <c r="BI4" s="26">
        <f>COUNTIFS(Tabela2[Quando você considera experimentar pratos quentes na Olga Ri, quais aspectos são mais importantes para a sua decisão?],"*Preço das opções quentes*",Tabela2[Com qual gênero você se identifica?],'Dados cruzados'!$B4)</f>
        <v>13</v>
      </c>
      <c r="BJ4" s="26">
        <f>COUNTIFS(Tabela2[Quando você considera experimentar pratos quentes na Olga Ri, quais aspectos são mais importantes para a sua decisão?],"*Tempo de espera para ser servido*",Tabela2[Com qual gênero você se identifica?],'Dados cruzados'!$B4)</f>
        <v>12</v>
      </c>
      <c r="BK4" s="26">
        <f>COUNTIFS(Tabela2[Quando você considera experimentar pratos quentes na Olga Ri, quais aspectos são mais importantes para a sua decisão?],"*Variedade de opções quentes no cardápio*",Tabela2[Com qual gênero você se identifica?],'Dados cruzados'!$B4)</f>
        <v>17</v>
      </c>
      <c r="BL4" s="26">
        <f>COUNTIFS(Tabela2[Quando você considera experimentar pratos quentes na Olga Ri, quais aspectos são mais importantes para a sua decisão?],"*Pet Friendly*",Tabela2[Com qual gênero você se identifica?],'Dados cruzados'!$B4)</f>
        <v>1</v>
      </c>
      <c r="BM4" s="37">
        <f t="shared" ref="BM4:BM6" si="6">SUM(BE4:BL4)</f>
        <v>90</v>
      </c>
      <c r="BO4" s="94"/>
      <c r="BP4" s="16" t="s">
        <v>66</v>
      </c>
      <c r="BQ4" s="26">
        <f>COUNTIFS(Tabela2[Qual a probabilidade de mudanças realizadas no cardápio de opções quentes influenciarem a sua decisão de compra dos bowls quentes?],'Dados cruzados'!BQ$2,Tabela2[Com qual gênero você se identifica?],'Dados cruzados'!$B4)</f>
        <v>7</v>
      </c>
      <c r="BR4" s="26">
        <f>COUNTIFS(Tabela2[Qual a probabilidade de mudanças realizadas no cardápio de opções quentes influenciarem a sua decisão de compra dos bowls quentes?],'Dados cruzados'!BR$2,Tabela2[Com qual gênero você se identifica?],'Dados cruzados'!$B4)</f>
        <v>7</v>
      </c>
      <c r="BS4" s="26">
        <f>COUNTIFS(Tabela2[Qual a probabilidade de mudanças realizadas no cardápio de opções quentes influenciarem a sua decisão de compra dos bowls quentes?],'Dados cruzados'!BS$2,Tabela2[Com qual gênero você se identifica?],'Dados cruzados'!$B4)</f>
        <v>11</v>
      </c>
      <c r="BT4" s="26">
        <f>COUNTIFS(Tabela2[Qual a probabilidade de mudanças realizadas no cardápio de opções quentes influenciarem a sua decisão de compra dos bowls quentes?],'Dados cruzados'!BT$2,Tabela2[Com qual gênero você se identifica?],'Dados cruzados'!$B4)</f>
        <v>8</v>
      </c>
      <c r="BU4" s="26">
        <f>COUNTIFS(Tabela2[Qual a probabilidade de mudanças realizadas no cardápio de opções quentes influenciarem a sua decisão de compra dos bowls quentes?],'Dados cruzados'!BU$2,Tabela2[Com qual gênero você se identifica?],'Dados cruzados'!$B4)</f>
        <v>4</v>
      </c>
      <c r="BV4" s="37">
        <f t="shared" ref="BV4:BV5" si="7">SUM(BQ4:BU4)</f>
        <v>37</v>
      </c>
      <c r="BX4" s="94"/>
      <c r="BY4" s="16" t="s">
        <v>66</v>
      </c>
      <c r="BZ4" s="26">
        <f>COUNTIFS(Tabela2[Que tipo de ingredientes quentes você mais gostaria de ver nos bowls quentes da Olga RI no futuro?],"*Frango Grelhado*",Tabela2[Com qual gênero você se identifica?],'Dados cruzados'!$B4)</f>
        <v>15</v>
      </c>
      <c r="CA4" s="26">
        <f>COUNTIFS(Tabela2[Que tipo de ingredientes quentes você mais gostaria de ver nos bowls quentes da Olga RI no futuro?],"*Carne seca desfiada*",Tabela2[Com qual gênero você se identifica?],'Dados cruzados'!$B4)</f>
        <v>15</v>
      </c>
      <c r="CB4" s="26">
        <f>COUNTIFS(Tabela2[Que tipo de ingredientes quentes você mais gostaria de ver nos bowls quentes da Olga RI no futuro?],"*Filé mignon*",Tabela2[Com qual gênero você se identifica?],'Dados cruzados'!$B4)</f>
        <v>14</v>
      </c>
      <c r="CC4" s="26">
        <f>COUNTIFS(Tabela2[Que tipo de ingredientes quentes você mais gostaria de ver nos bowls quentes da Olga RI no futuro?],"*Falafel*",Tabela2[Com qual gênero você se identifica?],'Dados cruzados'!$B4)</f>
        <v>9</v>
      </c>
      <c r="CD4" s="26">
        <f>COUNTIFS(Tabela2[Que tipo de ingredientes quentes você mais gostaria de ver nos bowls quentes da Olga RI no futuro?],"*Salmão grelhado com molho teriyaki*",Tabela2[Com qual gênero você se identifica?],'Dados cruzados'!$B4)</f>
        <v>18</v>
      </c>
      <c r="CE4" s="26">
        <f>COUNTIFS(Tabela2[Que tipo de ingredientes quentes você mais gostaria de ver nos bowls quentes da Olga RI no futuro?],"*Atum selado com gergelim*",Tabela2[Com qual gênero você se identifica?],'Dados cruzados'!$B4)</f>
        <v>14</v>
      </c>
      <c r="CF4" s="26">
        <v>2</v>
      </c>
      <c r="CG4" s="36">
        <f t="shared" ref="CG4:CG6" si="8">SUM(BZ4:CF4)</f>
        <v>87</v>
      </c>
      <c r="CI4" s="94"/>
      <c r="CJ4" s="16" t="s">
        <v>66</v>
      </c>
      <c r="CK4" s="26">
        <f>COUNTIFS(Tabela2[Levando em consideração que os ingredientes escolhidos por você estivessem disponíveis na próxima virada de cardápio da Olga RI, qual é a chance de você comprar esse bowl quente? ],'Dados cruzados'!CK$2,Tabela2[Com qual gênero você se identifica?],'Dados cruzados'!$B4)</f>
        <v>2</v>
      </c>
      <c r="CL4" s="26">
        <f>COUNTIFS(Tabela2[Levando em consideração que os ingredientes escolhidos por você estivessem disponíveis na próxima virada de cardápio da Olga RI, qual é a chance de você comprar esse bowl quente? ],'Dados cruzados'!CL$2,Tabela2[Com qual gênero você se identifica?],'Dados cruzados'!$B4)</f>
        <v>0</v>
      </c>
      <c r="CM4" s="26">
        <f>COUNTIFS(Tabela2[Levando em consideração que os ingredientes escolhidos por você estivessem disponíveis na próxima virada de cardápio da Olga RI, qual é a chance de você comprar esse bowl quente? ],'Dados cruzados'!CM$2,Tabela2[Com qual gênero você se identifica?],'Dados cruzados'!$B4)</f>
        <v>5</v>
      </c>
      <c r="CN4" s="26">
        <f>COUNTIFS(Tabela2[Levando em consideração que os ingredientes escolhidos por você estivessem disponíveis na próxima virada de cardápio da Olga RI, qual é a chance de você comprar esse bowl quente? ],'Dados cruzados'!CN$2,Tabela2[Com qual gênero você se identifica?],'Dados cruzados'!$B4)</f>
        <v>14</v>
      </c>
      <c r="CO4" s="26">
        <f>COUNTIFS(Tabela2[Levando em consideração que os ingredientes escolhidos por você estivessem disponíveis na próxima virada de cardápio da Olga RI, qual é a chance de você comprar esse bowl quente? ],'Dados cruzados'!CO$2,Tabela2[Com qual gênero você se identifica?],'Dados cruzados'!$B4)</f>
        <v>16</v>
      </c>
      <c r="CP4" s="37">
        <f t="shared" ref="CP4:CP5" si="9">SUM(CK4:CO4)</f>
        <v>37</v>
      </c>
      <c r="CR4" s="94"/>
      <c r="CS4" s="16" t="s">
        <v>66</v>
      </c>
      <c r="CT4" s="26">
        <f>COUNTIFS(Tabela2[Com a inclusão das novas opções de bowls quentes, qual é a probabilidade de você optar por essas opções da Olga RI em dias mais frios? ],'Dados cruzados'!CT$2,Tabela2[Com qual gênero você se identifica?],'Dados cruzados'!$B4)</f>
        <v>3</v>
      </c>
      <c r="CU4" s="26">
        <f>COUNTIFS(Tabela2[Com a inclusão das novas opções de bowls quentes, qual é a probabilidade de você optar por essas opções da Olga RI em dias mais frios? ],'Dados cruzados'!CU$2,Tabela2[Com qual gênero você se identifica?],'Dados cruzados'!$B4)</f>
        <v>1</v>
      </c>
      <c r="CV4" s="26">
        <f>COUNTIFS(Tabela2[Com a inclusão das novas opções de bowls quentes, qual é a probabilidade de você optar por essas opções da Olga RI em dias mais frios? ],'Dados cruzados'!CV$2,Tabela2[Com qual gênero você se identifica?],'Dados cruzados'!$B4)</f>
        <v>14</v>
      </c>
      <c r="CW4" s="26">
        <f>COUNTIFS(Tabela2[Com a inclusão das novas opções de bowls quentes, qual é a probabilidade de você optar por essas opções da Olga RI em dias mais frios? ],'Dados cruzados'!CW$2,Tabela2[Com qual gênero você se identifica?],'Dados cruzados'!$B4)</f>
        <v>5</v>
      </c>
      <c r="CX4" s="26">
        <f>COUNTIFS(Tabela2[Com a inclusão das novas opções de bowls quentes, qual é a probabilidade de você optar por essas opções da Olga RI em dias mais frios? ],'Dados cruzados'!CX$2,Tabela2[Com qual gênero você se identifica?],'Dados cruzados'!$B4)</f>
        <v>14</v>
      </c>
      <c r="CY4" s="54">
        <f t="shared" ref="CY4:CY5" si="10">SUM(CT4:CX4)</f>
        <v>37</v>
      </c>
    </row>
    <row r="5" spans="1:103" ht="15.6">
      <c r="A5" s="87"/>
      <c r="B5" s="29" t="s">
        <v>156</v>
      </c>
      <c r="C5" s="30">
        <f>COUNTIFS(Tabela2[Com que frequência você costuma consumir saladas na Olga Ri?],'Dados cruzados'!C2,Tabela2[Com qual gênero você se identifica?],'Dados cruzados'!$B$5)</f>
        <v>1</v>
      </c>
      <c r="D5" s="30">
        <f>COUNTIFS(Tabela2[Com que frequência você costuma consumir saladas na Olga Ri?],'Dados cruzados'!D2,Tabela2[Com qual gênero você se identifica?],'Dados cruzados'!$B$5)</f>
        <v>0</v>
      </c>
      <c r="E5" s="30">
        <f>COUNTIFS(Tabela2[Com que frequência você costuma consumir saladas na Olga Ri?],'Dados cruzados'!E2,Tabela2[Com qual gênero você se identifica?],'Dados cruzados'!$B$5)</f>
        <v>0</v>
      </c>
      <c r="F5" s="30">
        <f>COUNTIFS(Tabela2[Com que frequência você costuma consumir saladas na Olga Ri?],'Dados cruzados'!F2,Tabela2[Com qual gênero você se identifica?],'Dados cruzados'!$B$5)</f>
        <v>0</v>
      </c>
      <c r="G5" s="30">
        <f>COUNTIFS(Tabela2[Com que frequência você costuma consumir saladas na Olga Ri?],'Dados cruzados'!G2,Tabela2[Com qual gênero você se identifica?],'Dados cruzados'!$B$5)</f>
        <v>0</v>
      </c>
      <c r="H5" s="36">
        <f t="shared" si="0"/>
        <v>1</v>
      </c>
      <c r="J5" s="87"/>
      <c r="K5" s="29" t="s">
        <v>156</v>
      </c>
      <c r="L5" s="30">
        <f>COUNTIFS(Tabela2[Como você avalia o seu grau de importância do clima na escolha das refeições que você costuma adquirir?],'Dados cruzados'!L$2,Tabela2[Com qual gênero você se identifica?],'Dados cruzados'!$K5)</f>
        <v>1</v>
      </c>
      <c r="M5" s="30">
        <f>COUNTIFS(Tabela2[Como você avalia o seu grau de importância do clima na escolha das refeições que você costuma adquirir?],'Dados cruzados'!M$2,Tabela2[Com qual gênero você se identifica?],'Dados cruzados'!$K5)</f>
        <v>0</v>
      </c>
      <c r="N5" s="30">
        <f>COUNTIFS(Tabela2[Como você avalia o seu grau de importância do clima na escolha das refeições que você costuma adquirir?],'Dados cruzados'!N$2,Tabela2[Com qual gênero você se identifica?],'Dados cruzados'!$K5)</f>
        <v>0</v>
      </c>
      <c r="O5" s="30">
        <f>COUNTIFS(Tabela2[Como você avalia o seu grau de importância do clima na escolha das refeições que você costuma adquirir?],'Dados cruzados'!O$2,Tabela2[Com qual gênero você se identifica?],'Dados cruzados'!$K5)</f>
        <v>0</v>
      </c>
      <c r="P5" s="30">
        <f>COUNTIFS(Tabela2[Como você avalia o seu grau de importância do clima na escolha das refeições que você costuma adquirir?],'Dados cruzados'!P$2,Tabela2[Com qual gênero você se identifica?],'Dados cruzados'!$K5)</f>
        <v>0</v>
      </c>
      <c r="Q5" s="36">
        <f t="shared" si="1"/>
        <v>1</v>
      </c>
      <c r="S5" s="94"/>
      <c r="T5" s="29" t="s">
        <v>156</v>
      </c>
      <c r="U5" s="30">
        <f>COUNTIFS(Tabela2[Como você avalia o seu grau interesse em comprar bowls* quentes?],'Dados cruzados'!U$2,Tabela2[Com qual gênero você se identifica?],'Dados cruzados'!$K5)</f>
        <v>0</v>
      </c>
      <c r="V5" s="30">
        <f>COUNTIFS(Tabela2[Como você avalia o seu grau interesse em comprar bowls* quentes?],'Dados cruzados'!V$2,Tabela2[Com qual gênero você se identifica?],'Dados cruzados'!$K5)</f>
        <v>1</v>
      </c>
      <c r="W5" s="30">
        <f>COUNTIFS(Tabela2[Como você avalia o seu grau interesse em comprar bowls* quentes?],'Dados cruzados'!W$2,Tabela2[Com qual gênero você se identifica?],'Dados cruzados'!$K5)</f>
        <v>0</v>
      </c>
      <c r="X5" s="30">
        <f>COUNTIFS(Tabela2[Como você avalia o seu grau interesse em comprar bowls* quentes?],'Dados cruzados'!X$2,Tabela2[Com qual gênero você se identifica?],'Dados cruzados'!$K5)</f>
        <v>0</v>
      </c>
      <c r="Y5" s="30">
        <f>COUNTIFS(Tabela2[Como você avalia o seu grau interesse em comprar bowls* quentes?],'Dados cruzados'!Y$2,Tabela2[Com qual gênero você se identifica?],'Dados cruzados'!$K5)</f>
        <v>0</v>
      </c>
      <c r="Z5" s="36">
        <f t="shared" si="2"/>
        <v>1</v>
      </c>
      <c r="AB5" s="94"/>
      <c r="AC5" s="29" t="s">
        <v>156</v>
      </c>
      <c r="AD5" s="30">
        <f>COUNTIFS(Tabela2[Como você avalia o seu grau de conhecimento sobre as opções de pratos quentes oferecidos pela Olga RI?],'Dados cruzados'!AD$2,Tabela2[Com qual gênero você se identifica?],'Dados cruzados'!$B5)</f>
        <v>0</v>
      </c>
      <c r="AE5" s="30">
        <f>COUNTIFS(Tabela2[Como você avalia o seu grau de conhecimento sobre as opções de pratos quentes oferecidos pela Olga RI?],'Dados cruzados'!AE$2,Tabela2[Com qual gênero você se identifica?],'Dados cruzados'!$B5)</f>
        <v>1</v>
      </c>
      <c r="AF5" s="30">
        <f>COUNTIFS(Tabela2[Como você avalia o seu grau de conhecimento sobre as opções de pratos quentes oferecidos pela Olga RI?],'Dados cruzados'!AF$2,Tabela2[Com qual gênero você se identifica?],'Dados cruzados'!$B5)</f>
        <v>0</v>
      </c>
      <c r="AG5" s="30">
        <f>COUNTIFS(Tabela2[Como você avalia o seu grau de conhecimento sobre as opções de pratos quentes oferecidos pela Olga RI?],'Dados cruzados'!AG$2,Tabela2[Com qual gênero você se identifica?],'Dados cruzados'!$B5)</f>
        <v>0</v>
      </c>
      <c r="AH5" s="30">
        <f>COUNTIFS(Tabela2[Como você avalia o seu grau de conhecimento sobre as opções de pratos quentes oferecidos pela Olga RI?],'Dados cruzados'!AH$2,Tabela2[Com qual gênero você se identifica?],'Dados cruzados'!$B5)</f>
        <v>0</v>
      </c>
      <c r="AI5" s="36">
        <f t="shared" si="3"/>
        <v>1</v>
      </c>
      <c r="AK5" s="94"/>
      <c r="AL5" s="29" t="s">
        <v>156</v>
      </c>
      <c r="AM5" s="30">
        <f>COUNTIFS(Tabela2["A Olga Ri é a primeira marca que vem à mente quando penso em comprar opções quentes,"
O quanto você concorda com essa afirmação?],'Dados cruzados'!AM$2,Tabela2[Com qual gênero você se identifica?],'Dados cruzados'!$B5)</f>
        <v>1</v>
      </c>
      <c r="AN5" s="30">
        <f>COUNTIFS(Tabela2["A Olga Ri é a primeira marca que vem à mente quando penso em comprar opções quentes,"
O quanto você concorda com essa afirmação?],'Dados cruzados'!AN$2,Tabela2[Com qual gênero você se identifica?],'Dados cruzados'!$B5)</f>
        <v>0</v>
      </c>
      <c r="AO5" s="30">
        <f>COUNTIFS(Tabela2["A Olga Ri é a primeira marca que vem à mente quando penso em comprar opções quentes,"
O quanto você concorda com essa afirmação?],'Dados cruzados'!AO$2,Tabela2[Com qual gênero você se identifica?],'Dados cruzados'!$B5)</f>
        <v>0</v>
      </c>
      <c r="AP5" s="30">
        <f>COUNTIFS(Tabela2["A Olga Ri é a primeira marca que vem à mente quando penso em comprar opções quentes,"
O quanto você concorda com essa afirmação?],'Dados cruzados'!AP$2,Tabela2[Com qual gênero você se identifica?],'Dados cruzados'!$B5)</f>
        <v>0</v>
      </c>
      <c r="AQ5" s="30">
        <f>COUNTIFS(Tabela2["A Olga Ri é a primeira marca que vem à mente quando penso em comprar opções quentes,"
O quanto você concorda com essa afirmação?],'Dados cruzados'!AQ$2,Tabela2[Com qual gênero você se identifica?],'Dados cruzados'!$B5)</f>
        <v>0</v>
      </c>
      <c r="AR5" s="36">
        <f t="shared" si="4"/>
        <v>1</v>
      </c>
      <c r="AT5" s="94"/>
      <c r="AU5" s="29" t="s">
        <v>156</v>
      </c>
      <c r="AV5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cruzados'!AV$2,Tabela2[Com qual gênero você se identifica?],'Dados cruzados'!$B5)</f>
        <v>0</v>
      </c>
      <c r="AW5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cruzados'!AW$2,Tabela2[Com qual gênero você se identifica?],'Dados cruzados'!$B5)</f>
        <v>0</v>
      </c>
      <c r="AX5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cruzados'!AX$2,Tabela2[Com qual gênero você se identifica?],'Dados cruzados'!$B5)</f>
        <v>1</v>
      </c>
      <c r="AY5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cruzados'!AY$2,Tabela2[Com qual gênero você se identifica?],'Dados cruzados'!$B5)</f>
        <v>0</v>
      </c>
      <c r="AZ5" s="30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cruzados'!AZ$2,Tabela2[Com qual gênero você se identifica?],'Dados cruzados'!$B5)</f>
        <v>0</v>
      </c>
      <c r="BA5" s="36">
        <f t="shared" si="5"/>
        <v>1</v>
      </c>
      <c r="BC5" s="94"/>
      <c r="BD5" s="29" t="s">
        <v>156</v>
      </c>
      <c r="BE5" s="30">
        <f>COUNTIFS(Tabela2[Quando você considera experimentar pratos quentes na Olga Ri, quais aspectos são mais importantes para a sua decisão?],"*Ambiente e atmosfera do restaurante*",Tabela2[Com qual gênero você se identifica?],'Dados cruzados'!$B5)</f>
        <v>0</v>
      </c>
      <c r="BF5" s="30">
        <f>COUNTIFS(Tabela2[Quando você considera experimentar pratos quentes na Olga Ri, quais aspectos são mais importantes para a sua decisão?],"*Avaliação ou recomendação de influenciadores*",Tabela2[Com qual gênero você se identifica?],'Dados cruzados'!$B5)</f>
        <v>0</v>
      </c>
      <c r="BG5" s="30">
        <f>COUNTIFS(Tabela2[Quando você considera experimentar pratos quentes na Olga Ri, quais aspectos são mais importantes para a sua decisão?],"*Avaliação ou recomendação de outros clientes*",Tabela2[Com qual gênero você se identifica?],'Dados cruzados'!$B5)</f>
        <v>0</v>
      </c>
      <c r="BH5" s="30">
        <f>COUNTIFS(Tabela2[Quando você considera experimentar pratos quentes na Olga Ri, quais aspectos são mais importantes para a sua decisão?],"*Opções vegetarianas e/ou veganas de pratos quentes*",Tabela2[Com qual gênero você se identifica?],'Dados cruzados'!$B5)</f>
        <v>0</v>
      </c>
      <c r="BI5" s="30">
        <f>COUNTIFS(Tabela2[Quando você considera experimentar pratos quentes na Olga Ri, quais aspectos são mais importantes para a sua decisão?],"*Preço das opções quentes*",Tabela2[Com qual gênero você se identifica?],'Dados cruzados'!$B5)</f>
        <v>1</v>
      </c>
      <c r="BJ5" s="30">
        <f>COUNTIFS(Tabela2[Quando você considera experimentar pratos quentes na Olga Ri, quais aspectos são mais importantes para a sua decisão?],"*Tempo de espera para ser servido*",Tabela2[Com qual gênero você se identifica?],'Dados cruzados'!$B5)</f>
        <v>1</v>
      </c>
      <c r="BK5" s="30">
        <f>COUNTIFS(Tabela2[Quando você considera experimentar pratos quentes na Olga Ri, quais aspectos são mais importantes para a sua decisão?],"*Variedade de opções quentes no cardápio*",Tabela2[Com qual gênero você se identifica?],'Dados cruzados'!$B5)</f>
        <v>1</v>
      </c>
      <c r="BL5" s="30">
        <f>COUNTIFS(Tabela2[Quando você considera experimentar pratos quentes na Olga Ri, quais aspectos são mais importantes para a sua decisão?],"*Muitas opções de salada*",Tabela2[Com qual gênero você se identifica?],'Dados cruzados'!$B5)</f>
        <v>0</v>
      </c>
      <c r="BM5" s="36">
        <f t="shared" si="6"/>
        <v>3</v>
      </c>
      <c r="BO5" s="94"/>
      <c r="BP5" s="29" t="s">
        <v>156</v>
      </c>
      <c r="BQ5" s="30">
        <f>COUNTIFS(Tabela2[Qual a probabilidade de mudanças realizadas no cardápio de opções quentes influenciarem a sua decisão de compra dos bowls quentes?],'Dados cruzados'!BQ$2,Tabela2[Com qual gênero você se identifica?],'Dados cruzados'!$B5)</f>
        <v>0</v>
      </c>
      <c r="BR5" s="30">
        <f>COUNTIFS(Tabela2[Qual a probabilidade de mudanças realizadas no cardápio de opções quentes influenciarem a sua decisão de compra dos bowls quentes?],'Dados cruzados'!BR$2,Tabela2[Com qual gênero você se identifica?],'Dados cruzados'!$B5)</f>
        <v>0</v>
      </c>
      <c r="BS5" s="30">
        <f>COUNTIFS(Tabela2[Qual a probabilidade de mudanças realizadas no cardápio de opções quentes influenciarem a sua decisão de compra dos bowls quentes?],'Dados cruzados'!BS$2,Tabela2[Com qual gênero você se identifica?],'Dados cruzados'!$B5)</f>
        <v>0</v>
      </c>
      <c r="BT5" s="30">
        <f>COUNTIFS(Tabela2[Qual a probabilidade de mudanças realizadas no cardápio de opções quentes influenciarem a sua decisão de compra dos bowls quentes?],'Dados cruzados'!BT$2,Tabela2[Com qual gênero você se identifica?],'Dados cruzados'!$B5)</f>
        <v>1</v>
      </c>
      <c r="BU5" s="30">
        <f>COUNTIFS(Tabela2[Qual a probabilidade de mudanças realizadas no cardápio de opções quentes influenciarem a sua decisão de compra dos bowls quentes?],'Dados cruzados'!BU$2,Tabela2[Com qual gênero você se identifica?],'Dados cruzados'!$B5)</f>
        <v>0</v>
      </c>
      <c r="BV5" s="36">
        <f t="shared" si="7"/>
        <v>1</v>
      </c>
      <c r="BX5" s="94"/>
      <c r="BY5" s="29" t="s">
        <v>156</v>
      </c>
      <c r="BZ5" s="30">
        <f>COUNTIFS(Tabela2[Que tipo de ingredientes quentes você mais gostaria de ver nos bowls quentes da Olga RI no futuro?],"*Frango Grelhado*",Tabela2[Com qual gênero você se identifica?],'Dados cruzados'!$B5)</f>
        <v>1</v>
      </c>
      <c r="CA5" s="30">
        <f>COUNTIFS(Tabela2[Que tipo de ingredientes quentes você mais gostaria de ver nos bowls quentes da Olga RI no futuro?],"*Carne seca desfiada*",Tabela2[Com qual gênero você se identifica?],'Dados cruzados'!$B5)</f>
        <v>1</v>
      </c>
      <c r="CB5" s="30">
        <f>COUNTIFS(Tabela2[Que tipo de ingredientes quentes você mais gostaria de ver nos bowls quentes da Olga RI no futuro?],"*Filé mignon*",Tabela2[Com qual gênero você se identifica?],'Dados cruzados'!$B5)</f>
        <v>0</v>
      </c>
      <c r="CC5" s="30">
        <f>COUNTIFS(Tabela2[Que tipo de ingredientes quentes você mais gostaria de ver nos bowls quentes da Olga RI no futuro?],"*Falafel*",Tabela2[Com qual gênero você se identifica?],'Dados cruzados'!$B5)</f>
        <v>0</v>
      </c>
      <c r="CD5" s="30">
        <f>COUNTIFS(Tabela2[Que tipo de ingredientes quentes você mais gostaria de ver nos bowls quentes da Olga RI no futuro?],"*Salmão grelhado com molho teriyaki*",Tabela2[Com qual gênero você se identifica?],'Dados cruzados'!$B5)</f>
        <v>1</v>
      </c>
      <c r="CE5" s="30">
        <f>COUNTIFS(Tabela2[Que tipo de ingredientes quentes você mais gostaria de ver nos bowls quentes da Olga RI no futuro?],"*Atum selado com gergelim*",Tabela2[Com qual gênero você se identifica?],'Dados cruzados'!$B5)</f>
        <v>0</v>
      </c>
      <c r="CF5" s="30">
        <f>COUNTIFS(Tabela2[Que tipo de ingredientes quentes você mais gostaria de ver nos bowls quentes da Olga RI no futuro?],"*Bacon*",Tabela2[Com qual gênero você se identifica?],'Dados cruzados'!$B5)</f>
        <v>0</v>
      </c>
      <c r="CG5" s="36">
        <f t="shared" si="8"/>
        <v>3</v>
      </c>
      <c r="CI5" s="94"/>
      <c r="CJ5" s="29" t="s">
        <v>156</v>
      </c>
      <c r="CK5" s="30">
        <f>COUNTIFS(Tabela2[Levando em consideração que os ingredientes escolhidos por você estivessem disponíveis na próxima virada de cardápio da Olga RI, qual é a chance de você comprar esse bowl quente? ],'Dados cruzados'!CK$2,Tabela2[Com qual gênero você se identifica?],'Dados cruzados'!$B5)</f>
        <v>0</v>
      </c>
      <c r="CL5" s="30">
        <f>COUNTIFS(Tabela2[Levando em consideração que os ingredientes escolhidos por você estivessem disponíveis na próxima virada de cardápio da Olga RI, qual é a chance de você comprar esse bowl quente? ],'Dados cruzados'!CL$2,Tabela2[Com qual gênero você se identifica?],'Dados cruzados'!$B5)</f>
        <v>0</v>
      </c>
      <c r="CM5" s="30">
        <f>COUNTIFS(Tabela2[Levando em consideração que os ingredientes escolhidos por você estivessem disponíveis na próxima virada de cardápio da Olga RI, qual é a chance de você comprar esse bowl quente? ],'Dados cruzados'!CM$2,Tabela2[Com qual gênero você se identifica?],'Dados cruzados'!$B5)</f>
        <v>0</v>
      </c>
      <c r="CN5" s="30">
        <f>COUNTIFS(Tabela2[Levando em consideração que os ingredientes escolhidos por você estivessem disponíveis na próxima virada de cardápio da Olga RI, qual é a chance de você comprar esse bowl quente? ],'Dados cruzados'!CN$2,Tabela2[Com qual gênero você se identifica?],'Dados cruzados'!$B5)</f>
        <v>1</v>
      </c>
      <c r="CO5" s="30">
        <f>COUNTIFS(Tabela2[Levando em consideração que os ingredientes escolhidos por você estivessem disponíveis na próxima virada de cardápio da Olga RI, qual é a chance de você comprar esse bowl quente? ],'Dados cruzados'!CO$2,Tabela2[Com qual gênero você se identifica?],'Dados cruzados'!$B5)</f>
        <v>0</v>
      </c>
      <c r="CP5" s="36">
        <f t="shared" si="9"/>
        <v>1</v>
      </c>
      <c r="CR5" s="94"/>
      <c r="CS5" s="29" t="s">
        <v>156</v>
      </c>
      <c r="CT5" s="30">
        <f>COUNTIFS(Tabela2[Com a inclusão das novas opções de bowls quentes, qual é a probabilidade de você optar por essas opções da Olga RI em dias mais frios? ],'Dados cruzados'!CT$2,Tabela2[Com qual gênero você se identifica?],'Dados cruzados'!$B5)</f>
        <v>0</v>
      </c>
      <c r="CU5" s="30">
        <f>COUNTIFS(Tabela2[Com a inclusão das novas opções de bowls quentes, qual é a probabilidade de você optar por essas opções da Olga RI em dias mais frios? ],'Dados cruzados'!CU$2,Tabela2[Com qual gênero você se identifica?],'Dados cruzados'!$B5)</f>
        <v>0</v>
      </c>
      <c r="CV5" s="30">
        <f>COUNTIFS(Tabela2[Com a inclusão das novas opções de bowls quentes, qual é a probabilidade de você optar por essas opções da Olga RI em dias mais frios? ],'Dados cruzados'!CV$2,Tabela2[Com qual gênero você se identifica?],'Dados cruzados'!$B5)</f>
        <v>1</v>
      </c>
      <c r="CW5" s="30">
        <f>COUNTIFS(Tabela2[Com a inclusão das novas opções de bowls quentes, qual é a probabilidade de você optar por essas opções da Olga RI em dias mais frios? ],'Dados cruzados'!CW$2,Tabela2[Com qual gênero você se identifica?],'Dados cruzados'!$B5)</f>
        <v>0</v>
      </c>
      <c r="CX5" s="30">
        <f>COUNTIFS(Tabela2[Com a inclusão das novas opções de bowls quentes, qual é a probabilidade de você optar por essas opções da Olga RI em dias mais frios? ],'Dados cruzados'!CX$2,Tabela2[Com qual gênero você se identifica?],'Dados cruzados'!$B5)</f>
        <v>0</v>
      </c>
      <c r="CY5" s="59">
        <f t="shared" si="10"/>
        <v>1</v>
      </c>
    </row>
    <row r="6" spans="1:103" ht="15.6">
      <c r="A6" s="88"/>
      <c r="B6" s="17" t="s">
        <v>365</v>
      </c>
      <c r="C6" s="27">
        <f>SUM(C3:C5)</f>
        <v>41</v>
      </c>
      <c r="D6" s="27">
        <f t="shared" ref="D6:G6" si="11">SUM(D3:D5)</f>
        <v>24</v>
      </c>
      <c r="E6" s="27">
        <f t="shared" si="11"/>
        <v>16</v>
      </c>
      <c r="F6" s="27">
        <f t="shared" si="11"/>
        <v>16</v>
      </c>
      <c r="G6" s="27">
        <f t="shared" si="11"/>
        <v>3</v>
      </c>
      <c r="H6" s="38">
        <f>SUM(C6:G6)</f>
        <v>100</v>
      </c>
      <c r="J6" s="88"/>
      <c r="K6" s="17" t="s">
        <v>365</v>
      </c>
      <c r="L6" s="27">
        <f>SUM(L3:L5)</f>
        <v>11</v>
      </c>
      <c r="M6" s="27">
        <f t="shared" ref="M6" si="12">SUM(M3:M5)</f>
        <v>6</v>
      </c>
      <c r="N6" s="27">
        <f t="shared" ref="N6" si="13">SUM(N3:N5)</f>
        <v>26</v>
      </c>
      <c r="O6" s="27">
        <f t="shared" ref="O6" si="14">SUM(O3:O5)</f>
        <v>31</v>
      </c>
      <c r="P6" s="27">
        <f t="shared" ref="P6" si="15">SUM(P3:P5)</f>
        <v>26</v>
      </c>
      <c r="Q6" s="38">
        <f>SUM(L6:P6)</f>
        <v>100</v>
      </c>
      <c r="S6" s="95"/>
      <c r="T6" s="17" t="s">
        <v>365</v>
      </c>
      <c r="U6" s="27">
        <f>SUM(U3:U5)</f>
        <v>14</v>
      </c>
      <c r="V6" s="27">
        <f t="shared" ref="V6" si="16">SUM(V3:V5)</f>
        <v>26</v>
      </c>
      <c r="W6" s="27">
        <f t="shared" ref="W6" si="17">SUM(W3:W5)</f>
        <v>16</v>
      </c>
      <c r="X6" s="27">
        <f t="shared" ref="X6" si="18">SUM(X3:X5)</f>
        <v>21</v>
      </c>
      <c r="Y6" s="27">
        <f t="shared" ref="Y6" si="19">SUM(Y3:Y5)</f>
        <v>23</v>
      </c>
      <c r="Z6" s="38">
        <f>SUM(U6:Y6)</f>
        <v>100</v>
      </c>
      <c r="AB6" s="95"/>
      <c r="AC6" s="17" t="s">
        <v>365</v>
      </c>
      <c r="AD6" s="27">
        <f>SUM(AD3:AD5)</f>
        <v>34</v>
      </c>
      <c r="AE6" s="27">
        <f t="shared" ref="AE6:AH6" si="20">SUM(AE3:AE5)</f>
        <v>23</v>
      </c>
      <c r="AF6" s="27">
        <f t="shared" si="20"/>
        <v>18</v>
      </c>
      <c r="AG6" s="27">
        <f t="shared" si="20"/>
        <v>6</v>
      </c>
      <c r="AH6" s="27">
        <f t="shared" si="20"/>
        <v>19</v>
      </c>
      <c r="AI6" s="38">
        <f>SUM(AD6:AH6)</f>
        <v>100</v>
      </c>
      <c r="AK6" s="95"/>
      <c r="AL6" s="17" t="s">
        <v>365</v>
      </c>
      <c r="AM6" s="27">
        <f>SUM(AM3:AM5)</f>
        <v>83</v>
      </c>
      <c r="AN6" s="27">
        <f t="shared" ref="AN6:AQ6" si="21">SUM(AN3:AN5)</f>
        <v>8</v>
      </c>
      <c r="AO6" s="27">
        <f t="shared" si="21"/>
        <v>4</v>
      </c>
      <c r="AP6" s="27">
        <f t="shared" si="21"/>
        <v>1</v>
      </c>
      <c r="AQ6" s="27">
        <f t="shared" si="21"/>
        <v>4</v>
      </c>
      <c r="AR6" s="38">
        <f>SUM(AM6:AQ6)</f>
        <v>100</v>
      </c>
      <c r="AT6" s="95"/>
      <c r="AU6" s="17" t="s">
        <v>365</v>
      </c>
      <c r="AV6" s="27">
        <f>SUM(AV3:AV5)</f>
        <v>7</v>
      </c>
      <c r="AW6" s="27">
        <f t="shared" ref="AW6:AZ6" si="22">SUM(AW3:AW5)</f>
        <v>6</v>
      </c>
      <c r="AX6" s="27">
        <f t="shared" si="22"/>
        <v>14</v>
      </c>
      <c r="AY6" s="27">
        <f t="shared" si="22"/>
        <v>31</v>
      </c>
      <c r="AZ6" s="27">
        <f t="shared" si="22"/>
        <v>42</v>
      </c>
      <c r="BA6" s="38">
        <f>SUM(AV6:AZ6)</f>
        <v>100</v>
      </c>
      <c r="BC6" s="95"/>
      <c r="BD6" s="17" t="s">
        <v>365</v>
      </c>
      <c r="BE6" s="27">
        <f>SUM(BE3:BE5)</f>
        <v>53</v>
      </c>
      <c r="BF6" s="27">
        <f t="shared" ref="BF6:BL6" si="23">SUM(BF3:BF5)</f>
        <v>9</v>
      </c>
      <c r="BG6" s="27">
        <f t="shared" si="23"/>
        <v>24</v>
      </c>
      <c r="BH6" s="27">
        <f t="shared" si="23"/>
        <v>21</v>
      </c>
      <c r="BI6" s="27">
        <f t="shared" si="23"/>
        <v>36</v>
      </c>
      <c r="BJ6" s="27">
        <f t="shared" si="23"/>
        <v>39</v>
      </c>
      <c r="BK6" s="27">
        <f t="shared" si="23"/>
        <v>62</v>
      </c>
      <c r="BL6" s="27">
        <f t="shared" si="23"/>
        <v>2</v>
      </c>
      <c r="BM6" s="37">
        <f t="shared" si="6"/>
        <v>246</v>
      </c>
      <c r="BO6" s="95"/>
      <c r="BP6" s="17" t="s">
        <v>365</v>
      </c>
      <c r="BQ6" s="27">
        <f>SUM(BQ3:BQ5)</f>
        <v>14</v>
      </c>
      <c r="BR6" s="27">
        <f t="shared" ref="BR6:BU6" si="24">SUM(BR3:BR5)</f>
        <v>16</v>
      </c>
      <c r="BS6" s="27">
        <f t="shared" si="24"/>
        <v>30</v>
      </c>
      <c r="BT6" s="27">
        <f t="shared" si="24"/>
        <v>27</v>
      </c>
      <c r="BU6" s="27">
        <f t="shared" si="24"/>
        <v>13</v>
      </c>
      <c r="BV6" s="38">
        <f>SUM(BQ6:BU6)</f>
        <v>100</v>
      </c>
      <c r="BX6" s="95"/>
      <c r="BY6" s="17" t="s">
        <v>365</v>
      </c>
      <c r="BZ6" s="27">
        <f>SUM(BZ3:BZ5)</f>
        <v>35</v>
      </c>
      <c r="CA6" s="27">
        <f t="shared" ref="CA6:CD6" si="25">SUM(CA3:CA5)</f>
        <v>33</v>
      </c>
      <c r="CB6" s="27">
        <f t="shared" si="25"/>
        <v>47</v>
      </c>
      <c r="CC6" s="27">
        <f t="shared" si="25"/>
        <v>34</v>
      </c>
      <c r="CD6" s="27">
        <f t="shared" si="25"/>
        <v>54</v>
      </c>
      <c r="CE6" s="27">
        <f t="shared" ref="CE6:CF6" si="26">SUM(CE3:CE5)</f>
        <v>40</v>
      </c>
      <c r="CF6" s="27">
        <f t="shared" si="26"/>
        <v>4</v>
      </c>
      <c r="CG6" s="36">
        <f t="shared" si="8"/>
        <v>247</v>
      </c>
      <c r="CI6" s="95"/>
      <c r="CJ6" s="17" t="s">
        <v>365</v>
      </c>
      <c r="CK6" s="27">
        <f>SUM(CK3:CK5)</f>
        <v>3</v>
      </c>
      <c r="CL6" s="27">
        <f t="shared" ref="CL6:CO6" si="27">SUM(CL3:CL5)</f>
        <v>0</v>
      </c>
      <c r="CM6" s="27">
        <f t="shared" si="27"/>
        <v>13</v>
      </c>
      <c r="CN6" s="27">
        <f t="shared" si="27"/>
        <v>32</v>
      </c>
      <c r="CO6" s="27">
        <f t="shared" si="27"/>
        <v>52</v>
      </c>
      <c r="CP6" s="38">
        <f>SUM(CK6:CO6)</f>
        <v>100</v>
      </c>
      <c r="CR6" s="95"/>
      <c r="CS6" s="17" t="s">
        <v>365</v>
      </c>
      <c r="CT6" s="27">
        <f>SUM(CT3:CT5)</f>
        <v>4</v>
      </c>
      <c r="CU6" s="27">
        <f t="shared" ref="CU6:CX6" si="28">SUM(CU3:CU5)</f>
        <v>5</v>
      </c>
      <c r="CV6" s="27">
        <f t="shared" si="28"/>
        <v>27</v>
      </c>
      <c r="CW6" s="27">
        <f t="shared" si="28"/>
        <v>25</v>
      </c>
      <c r="CX6" s="27">
        <f t="shared" si="28"/>
        <v>39</v>
      </c>
      <c r="CY6" s="54">
        <f>SUM(CT6:CX6)</f>
        <v>100</v>
      </c>
    </row>
    <row r="7" spans="1:103">
      <c r="A7" s="18"/>
      <c r="B7" s="19"/>
      <c r="C7" s="28"/>
      <c r="D7" s="28"/>
      <c r="E7" s="28"/>
      <c r="F7" s="28"/>
      <c r="G7" s="28"/>
      <c r="H7" s="19"/>
      <c r="I7" s="56"/>
      <c r="J7" s="18"/>
      <c r="K7" s="19"/>
      <c r="L7" s="28"/>
      <c r="M7" s="28"/>
      <c r="N7" s="28"/>
      <c r="O7" s="28"/>
      <c r="P7" s="28"/>
      <c r="Q7" s="19"/>
      <c r="R7" s="56"/>
      <c r="S7" s="19"/>
      <c r="T7" s="19"/>
      <c r="U7" s="28"/>
      <c r="V7" s="28"/>
      <c r="W7" s="28"/>
      <c r="X7" s="28"/>
      <c r="Y7" s="28"/>
      <c r="Z7" s="19"/>
      <c r="AA7" s="56"/>
      <c r="AB7" s="19"/>
      <c r="AC7" s="19"/>
      <c r="AD7" s="28"/>
      <c r="AE7" s="28"/>
      <c r="AF7" s="28"/>
      <c r="AG7" s="28"/>
      <c r="AH7" s="28"/>
      <c r="AI7" s="19"/>
      <c r="AJ7" s="56"/>
      <c r="AK7" s="19"/>
      <c r="AL7" s="19"/>
      <c r="AM7" s="28"/>
      <c r="AN7" s="28"/>
      <c r="AO7" s="28"/>
      <c r="AP7" s="28"/>
      <c r="AQ7" s="28"/>
      <c r="AR7" s="19"/>
      <c r="AT7" s="19"/>
      <c r="AU7" s="19"/>
      <c r="AV7" s="28"/>
      <c r="AW7" s="28"/>
      <c r="AX7" s="28"/>
      <c r="AY7" s="28"/>
      <c r="AZ7" s="28"/>
      <c r="BA7" s="19"/>
      <c r="BC7" s="19"/>
      <c r="BD7" s="19"/>
      <c r="BE7" s="28"/>
      <c r="BF7" s="28"/>
      <c r="BG7" s="28"/>
      <c r="BH7" s="28"/>
      <c r="BI7" s="28"/>
      <c r="BJ7" s="19"/>
      <c r="BK7" s="19"/>
      <c r="BL7" s="19"/>
      <c r="BM7" s="19"/>
      <c r="BO7" s="19"/>
      <c r="BP7" s="19"/>
      <c r="BQ7" s="28"/>
      <c r="BR7" s="28"/>
      <c r="BS7" s="28"/>
      <c r="BT7" s="28"/>
      <c r="BU7" s="28"/>
      <c r="BV7" s="19"/>
      <c r="BX7" s="19"/>
      <c r="BY7" s="19"/>
      <c r="BZ7" s="28"/>
      <c r="CA7" s="28"/>
      <c r="CB7" s="28"/>
      <c r="CC7" s="28"/>
      <c r="CD7" s="28"/>
      <c r="CE7" s="28"/>
      <c r="CF7" s="28"/>
      <c r="CG7" s="19"/>
      <c r="CI7" s="19"/>
      <c r="CJ7" s="19"/>
      <c r="CK7" s="28"/>
      <c r="CL7" s="28"/>
      <c r="CM7" s="28"/>
      <c r="CN7" s="28"/>
      <c r="CO7" s="28"/>
      <c r="CP7" s="19"/>
      <c r="CR7" s="18"/>
      <c r="CS7" s="19"/>
      <c r="CT7" s="28"/>
      <c r="CU7" s="28"/>
      <c r="CV7" s="28"/>
      <c r="CW7" s="28"/>
      <c r="CX7" s="28"/>
      <c r="CY7" s="57"/>
    </row>
    <row r="8" spans="1:103" ht="15.6">
      <c r="A8" s="86" t="s">
        <v>400</v>
      </c>
      <c r="B8" s="33" t="s">
        <v>363</v>
      </c>
      <c r="C8" s="34">
        <f>COUNTIFS(Tabela2[Com que frequência você costuma consumir saladas na Olga Ri?],'Dados cruzados'!C2,Tabela2[Em qual das faixas etárias abaixo você se encontra?],'Dados cruzados'!$B$8)</f>
        <v>0</v>
      </c>
      <c r="D8" s="34">
        <f>COUNTIFS(Tabela2[Com que frequência você costuma consumir saladas na Olga Ri?],'Dados cruzados'!D2,Tabela2[Em qual das faixas etárias abaixo você se encontra?],'Dados cruzados'!$B$8)</f>
        <v>0</v>
      </c>
      <c r="E8" s="34">
        <f>COUNTIFS(Tabela2[Com que frequência você costuma consumir saladas na Olga Ri?],'Dados cruzados'!E2,Tabela2[Em qual das faixas etárias abaixo você se encontra?],'Dados cruzados'!$B$8)</f>
        <v>0</v>
      </c>
      <c r="F8" s="34">
        <f>COUNTIFS(Tabela2[Com que frequência você costuma consumir saladas na Olga Ri?],'Dados cruzados'!F2,Tabela2[Em qual das faixas etárias abaixo você se encontra?],'Dados cruzados'!$B$8)</f>
        <v>0</v>
      </c>
      <c r="G8" s="34">
        <f>COUNTIFS(Tabela2[Com que frequência você costuma consumir saladas na Olga Ri?],'Dados cruzados'!G2,Tabela2[Em qual das faixas etárias abaixo você se encontra?],'Dados cruzados'!$B$8)</f>
        <v>0</v>
      </c>
      <c r="H8" s="39">
        <f>SUM(C8:G8)</f>
        <v>0</v>
      </c>
      <c r="J8" s="86" t="s">
        <v>400</v>
      </c>
      <c r="K8" s="33" t="s">
        <v>363</v>
      </c>
      <c r="L8" s="34">
        <f>COUNTIFS(Tabela2[Como você avalia o seu grau de importância do clima na escolha das refeições que você costuma adquirir?],'Dados cruzados'!L$2,Tabela2[Em qual das faixas etárias abaixo você se encontra?],'Dados cruzados'!$K8)</f>
        <v>0</v>
      </c>
      <c r="M8" s="34">
        <f>COUNTIFS(Tabela2[Como você avalia o seu grau de importância do clima na escolha das refeições que você costuma adquirir?],'Dados cruzados'!M$2,Tabela2[Em qual das faixas etárias abaixo você se encontra?],'Dados cruzados'!$K8)</f>
        <v>0</v>
      </c>
      <c r="N8" s="34">
        <f>COUNTIFS(Tabela2[Como você avalia o seu grau de importância do clima na escolha das refeições que você costuma adquirir?],'Dados cruzados'!N$2,Tabela2[Em qual das faixas etárias abaixo você se encontra?],'Dados cruzados'!$K8)</f>
        <v>0</v>
      </c>
      <c r="O8" s="34">
        <f>COUNTIFS(Tabela2[Como você avalia o seu grau de importância do clima na escolha das refeições que você costuma adquirir?],'Dados cruzados'!O$2,Tabela2[Em qual das faixas etárias abaixo você se encontra?],'Dados cruzados'!$K8)</f>
        <v>0</v>
      </c>
      <c r="P8" s="34">
        <f>COUNTIFS(Tabela2[Como você avalia o seu grau de importância do clima na escolha das refeições que você costuma adquirir?],'Dados cruzados'!P$2,Tabela2[Em qual das faixas etárias abaixo você se encontra?],'Dados cruzados'!$K8)</f>
        <v>0</v>
      </c>
      <c r="Q8" s="39">
        <f>SUM(L8:P8)</f>
        <v>0</v>
      </c>
      <c r="S8" s="93" t="s">
        <v>400</v>
      </c>
      <c r="T8" s="33" t="s">
        <v>363</v>
      </c>
      <c r="U8" s="55">
        <f>COUNTIFS(Tabela2[Como você avalia o seu grau interesse em comprar bowls* quentes?],'Dados cruzados'!U$2,Tabela2[Em qual das faixas etárias abaixo você se encontra?],'Dados cruzados'!$K8)</f>
        <v>0</v>
      </c>
      <c r="V8" s="55">
        <f>COUNTIFS(Tabela2[Como você avalia o seu grau interesse em comprar bowls* quentes?],'Dados cruzados'!V$2,Tabela2[Em qual das faixas etárias abaixo você se encontra?],'Dados cruzados'!$K8)</f>
        <v>0</v>
      </c>
      <c r="W8" s="55">
        <f>COUNTIFS(Tabela2[Como você avalia o seu grau interesse em comprar bowls* quentes?],'Dados cruzados'!W$2,Tabela2[Em qual das faixas etárias abaixo você se encontra?],'Dados cruzados'!$K8)</f>
        <v>0</v>
      </c>
      <c r="X8" s="55">
        <f>COUNTIFS(Tabela2[Como você avalia o seu grau interesse em comprar bowls* quentes?],'Dados cruzados'!X$2,Tabela2[Em qual das faixas etárias abaixo você se encontra?],'Dados cruzados'!$K8)</f>
        <v>0</v>
      </c>
      <c r="Y8" s="55">
        <f>COUNTIFS(Tabela2[Como você avalia o seu grau interesse em comprar bowls* quentes?],'Dados cruzados'!Y$2,Tabela2[Em qual das faixas etárias abaixo você se encontra?],'Dados cruzados'!$K8)</f>
        <v>0</v>
      </c>
      <c r="Z8" s="46">
        <f>SUM(U8:Y8)</f>
        <v>0</v>
      </c>
      <c r="AB8" s="93" t="s">
        <v>400</v>
      </c>
      <c r="AC8" s="33" t="s">
        <v>363</v>
      </c>
      <c r="AD8" s="55">
        <f>COUNTIFS(Tabela2[Como você avalia o seu grau de conhecimento sobre as opções de pratos quentes oferecidos pela Olga RI?],'Dados cruzados'!AD$2,Tabela2[Em qual das faixas etárias abaixo você se encontra?],'Dados cruzados'!$B8)</f>
        <v>0</v>
      </c>
      <c r="AE8" s="55">
        <f>COUNTIFS(Tabela2[Como você avalia o seu grau de conhecimento sobre as opções de pratos quentes oferecidos pela Olga RI?],'Dados cruzados'!AE$2,Tabela2[Em qual das faixas etárias abaixo você se encontra?],'Dados cruzados'!$B8)</f>
        <v>0</v>
      </c>
      <c r="AF8" s="55">
        <f>COUNTIFS(Tabela2[Como você avalia o seu grau de conhecimento sobre as opções de pratos quentes oferecidos pela Olga RI?],'Dados cruzados'!AF$2,Tabela2[Em qual das faixas etárias abaixo você se encontra?],'Dados cruzados'!$B8)</f>
        <v>0</v>
      </c>
      <c r="AG8" s="55">
        <f>COUNTIFS(Tabela2[Como você avalia o seu grau de conhecimento sobre as opções de pratos quentes oferecidos pela Olga RI?],'Dados cruzados'!AG$2,Tabela2[Em qual das faixas etárias abaixo você se encontra?],'Dados cruzados'!$B8)</f>
        <v>0</v>
      </c>
      <c r="AH8" s="55">
        <f>COUNTIFS(Tabela2[Como você avalia o seu grau de conhecimento sobre as opções de pratos quentes oferecidos pela Olga RI?],'Dados cruzados'!AH$2,Tabela2[Em qual das faixas etárias abaixo você se encontra?],'Dados cruzados'!$B8)</f>
        <v>0</v>
      </c>
      <c r="AI8" s="46">
        <f>SUM(AD8:AH8)</f>
        <v>0</v>
      </c>
      <c r="AK8" s="93" t="s">
        <v>400</v>
      </c>
      <c r="AL8" s="33" t="s">
        <v>363</v>
      </c>
      <c r="AM8" s="55">
        <f>COUNTIFS(Tabela2["A Olga Ri é a primeira marca que vem à mente quando penso em comprar opções quentes,"
O quanto você concorda com essa afirmação?],'Dados cruzados'!AM$2,Tabela2[Em qual das faixas etárias abaixo você se encontra?],'Dados cruzados'!$B8)</f>
        <v>0</v>
      </c>
      <c r="AN8" s="55">
        <f>COUNTIFS(Tabela2["A Olga Ri é a primeira marca que vem à mente quando penso em comprar opções quentes,"
O quanto você concorda com essa afirmação?],'Dados cruzados'!AN$2,Tabela2[Em qual das faixas etárias abaixo você se encontra?],'Dados cruzados'!$B8)</f>
        <v>0</v>
      </c>
      <c r="AO8" s="55">
        <f>COUNTIFS(Tabela2["A Olga Ri é a primeira marca que vem à mente quando penso em comprar opções quentes,"
O quanto você concorda com essa afirmação?],'Dados cruzados'!AO$2,Tabela2[Em qual das faixas etárias abaixo você se encontra?],'Dados cruzados'!$B8)</f>
        <v>0</v>
      </c>
      <c r="AP8" s="55">
        <f>COUNTIFS(Tabela2["A Olga Ri é a primeira marca que vem à mente quando penso em comprar opções quentes,"
O quanto você concorda com essa afirmação?],'Dados cruzados'!AP$2,Tabela2[Em qual das faixas etárias abaixo você se encontra?],'Dados cruzados'!$B8)</f>
        <v>0</v>
      </c>
      <c r="AQ8" s="55">
        <f>COUNTIFS(Tabela2["A Olga Ri é a primeira marca que vem à mente quando penso em comprar opções quentes,"
O quanto você concorda com essa afirmação?],'Dados cruzados'!AQ$2,Tabela2[Em qual das faixas etárias abaixo você se encontra?],'Dados cruzados'!$B8)</f>
        <v>0</v>
      </c>
      <c r="AR8" s="46">
        <f>SUM(AM8:AQ8)</f>
        <v>0</v>
      </c>
      <c r="AT8" s="93" t="s">
        <v>400</v>
      </c>
      <c r="AU8" s="33" t="s">
        <v>363</v>
      </c>
      <c r="AV8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cruzados'!AV$2,Tabela2[Em qual das faixas etárias abaixo você se encontra?],'Dados cruzados'!$B8)</f>
        <v>0</v>
      </c>
      <c r="AW8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cruzados'!AW$2,Tabela2[Em qual das faixas etárias abaixo você se encontra?],'Dados cruzados'!$B8)</f>
        <v>0</v>
      </c>
      <c r="AX8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cruzados'!AX$2,Tabela2[Em qual das faixas etárias abaixo você se encontra?],'Dados cruzados'!$B8)</f>
        <v>0</v>
      </c>
      <c r="AY8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cruzados'!AY$2,Tabela2[Em qual das faixas etárias abaixo você se encontra?],'Dados cruzados'!$B8)</f>
        <v>0</v>
      </c>
      <c r="AZ8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cruzados'!AZ$2,Tabela2[Em qual das faixas etárias abaixo você se encontra?],'Dados cruzados'!$B8)</f>
        <v>0</v>
      </c>
      <c r="BA8" s="46">
        <f>SUM(AV8:AZ8)</f>
        <v>0</v>
      </c>
      <c r="BC8" s="93" t="s">
        <v>400</v>
      </c>
      <c r="BD8" s="33" t="s">
        <v>363</v>
      </c>
      <c r="BE8" s="30">
        <f>COUNTIFS(Tabela2[Quando você considera experimentar pratos quentes na Olga Ri, quais aspectos são mais importantes para a sua decisão?],"*Ambiente e atmosfera do restaurante*",Tabela2[Em qual das faixas etárias abaixo você se encontra?],'Dados cruzados'!$B8)</f>
        <v>0</v>
      </c>
      <c r="BF8" s="30">
        <f>COUNTIFS(Tabela2[Quando você considera experimentar pratos quentes na Olga Ri, quais aspectos são mais importantes para a sua decisão?],"*Avaliação ou recomendação de influenciadores*",Tabela2[Em qual das faixas etárias abaixo você se encontra?],'Dados cruzados'!$B8)</f>
        <v>0</v>
      </c>
      <c r="BG8" s="30">
        <f>COUNTIFS(Tabela2[Quando você considera experimentar pratos quentes na Olga Ri, quais aspectos são mais importantes para a sua decisão?],"*Avaliação ou recomendação de outros clientes*",Tabela2[Em qual das faixas etárias abaixo você se encontra?],'Dados cruzados'!$B8)</f>
        <v>0</v>
      </c>
      <c r="BH8" s="30">
        <f>COUNTIFS(Tabela2[Quando você considera experimentar pratos quentes na Olga Ri, quais aspectos são mais importantes para a sua decisão?],"*Opções vegetarianas e/ou veganas de pratos quentes*",Tabela2[Em qual das faixas etárias abaixo você se encontra?],'Dados cruzados'!$B8)</f>
        <v>0</v>
      </c>
      <c r="BI8" s="30">
        <f>COUNTIFS(Tabela2[Quando você considera experimentar pratos quentes na Olga Ri, quais aspectos são mais importantes para a sua decisão?],"*Preço das opções quentes*",Tabela2[Em qual das faixas etárias abaixo você se encontra?],'Dados cruzados'!$B8)</f>
        <v>0</v>
      </c>
      <c r="BJ8" s="30">
        <f>COUNTIFS(Tabela2[Quando você considera experimentar pratos quentes na Olga Ri, quais aspectos são mais importantes para a sua decisão?],"*Tempo de espera para ser servido*",Tabela2[Em qual das faixas etárias abaixo você se encontra?],'Dados cruzados'!$B8)</f>
        <v>0</v>
      </c>
      <c r="BK8" s="30">
        <f>COUNTIFS(Tabela2[Quando você considera experimentar pratos quentes na Olga Ri, quais aspectos são mais importantes para a sua decisão?],"*Variedade de opções quentes no cardápio*",Tabela2[Em qual das faixas etárias abaixo você se encontra?],'Dados cruzados'!$B8)</f>
        <v>0</v>
      </c>
      <c r="BL8" s="30">
        <f>COUNTIFS(Tabela2[Quando você considera experimentar pratos quentes na Olga Ri, quais aspectos são mais importantes para a sua decisão?],"*Muitas opções de salada*",Tabela2[Em qual das faixas etárias abaixo você se encontra?],'Dados cruzados'!$B8)</f>
        <v>0</v>
      </c>
      <c r="BM8" s="36">
        <f>SUM(BE8:BL8)</f>
        <v>0</v>
      </c>
      <c r="BO8" s="93" t="s">
        <v>400</v>
      </c>
      <c r="BP8" s="33" t="s">
        <v>363</v>
      </c>
      <c r="BQ8" s="30">
        <f>COUNTIFS(Tabela2[Qual a probabilidade de mudanças realizadas no cardápio de opções quentes influenciarem a sua decisão de compra dos bowls quentes?],'Dados cruzados'!BQ$2,Tabela2[Em qual das faixas etárias abaixo você se encontra?],'Dados cruzados'!$B8)</f>
        <v>0</v>
      </c>
      <c r="BR8" s="30">
        <f>COUNTIFS(Tabela2[Qual a probabilidade de mudanças realizadas no cardápio de opções quentes influenciarem a sua decisão de compra dos bowls quentes?],'Dados cruzados'!BR$2,Tabela2[Em qual das faixas etárias abaixo você se encontra?],'Dados cruzados'!$B8)</f>
        <v>0</v>
      </c>
      <c r="BS8" s="30">
        <f>COUNTIFS(Tabela2[Qual a probabilidade de mudanças realizadas no cardápio de opções quentes influenciarem a sua decisão de compra dos bowls quentes?],'Dados cruzados'!BS$2,Tabela2[Em qual das faixas etárias abaixo você se encontra?],'Dados cruzados'!$B8)</f>
        <v>0</v>
      </c>
      <c r="BT8" s="30">
        <f>COUNTIFS(Tabela2[Qual a probabilidade de mudanças realizadas no cardápio de opções quentes influenciarem a sua decisão de compra dos bowls quentes?],'Dados cruzados'!BT$2,Tabela2[Em qual das faixas etárias abaixo você se encontra?],'Dados cruzados'!$B8)</f>
        <v>0</v>
      </c>
      <c r="BU8" s="30">
        <f>COUNTIFS(Tabela2[Qual a probabilidade de mudanças realizadas no cardápio de opções quentes influenciarem a sua decisão de compra dos bowls quentes?],'Dados cruzados'!BU$2,Tabela2[Em qual das faixas etárias abaixo você se encontra?],'Dados cruzados'!$B8)</f>
        <v>0</v>
      </c>
      <c r="BV8" s="46">
        <f>SUM(BQ8:BU8)</f>
        <v>0</v>
      </c>
      <c r="BX8" s="93" t="s">
        <v>400</v>
      </c>
      <c r="BY8" s="33" t="s">
        <v>363</v>
      </c>
      <c r="BZ8" s="30">
        <f>COUNTIFS(Tabela2[Que tipo de ingredientes quentes você mais gostaria de ver nos bowls quentes da Olga RI no futuro?],"*Frango Grelhado*",Tabela2[Em qual das faixas etárias abaixo você se encontra?],'Dados cruzados'!$B8)</f>
        <v>0</v>
      </c>
      <c r="CA8" s="30">
        <f>COUNTIFS(Tabela2[Que tipo de ingredientes quentes você mais gostaria de ver nos bowls quentes da Olga RI no futuro?],"*Carne seca desfiada*",Tabela2[Em qual das faixas etárias abaixo você se encontra?],'Dados cruzados'!$B8)</f>
        <v>0</v>
      </c>
      <c r="CB8" s="30">
        <f>COUNTIFS(Tabela2[Que tipo de ingredientes quentes você mais gostaria de ver nos bowls quentes da Olga RI no futuro?],"*Filé mignon*",Tabela2[Em qual das faixas etárias abaixo você se encontra?],'Dados cruzados'!$B8)</f>
        <v>0</v>
      </c>
      <c r="CC8" s="30">
        <f>COUNTIFS(Tabela2[Que tipo de ingredientes quentes você mais gostaria de ver nos bowls quentes da Olga RI no futuro?],"*Falafel*",Tabela2[Em qual das faixas etárias abaixo você se encontra?],'Dados cruzados'!$B8)</f>
        <v>0</v>
      </c>
      <c r="CD8" s="30">
        <f>COUNTIFS(Tabela2[Que tipo de ingredientes quentes você mais gostaria de ver nos bowls quentes da Olga RI no futuro?],"*Salmão grelhado com molho teriyaki*",Tabela2[Em qual das faixas etárias abaixo você se encontra?],'Dados cruzados'!$B8)</f>
        <v>0</v>
      </c>
      <c r="CE8" s="30">
        <f>COUNTIFS(Tabela2[Que tipo de ingredientes quentes você mais gostaria de ver nos bowls quentes da Olga RI no futuro?],"*Atum selado com gergelim*",Tabela2[Em qual das faixas etárias abaixo você se encontra?],'Dados cruzados'!$B8)</f>
        <v>0</v>
      </c>
      <c r="CF8" s="30">
        <f>COUNTIFS(Tabela2[Que tipo de ingredientes quentes você mais gostaria de ver nos bowls quentes da Olga RI no futuro?],"*Bacon*",Tabela2[Em qual das faixas etárias abaixo você se encontra?],'Dados cruzados'!$B8)</f>
        <v>0</v>
      </c>
      <c r="CG8" s="46">
        <f>SUM(BZ8:CF8)</f>
        <v>0</v>
      </c>
      <c r="CI8" s="93" t="s">
        <v>400</v>
      </c>
      <c r="CJ8" s="33" t="s">
        <v>363</v>
      </c>
      <c r="CK8" s="30">
        <f>COUNTIFS(Tabela2[Levando em consideração que os ingredientes escolhidos por você estivessem disponíveis na próxima virada de cardápio da Olga RI, qual é a chance de você comprar esse bowl quente? ],'Dados cruzados'!CK$2,Tabela2[Em qual das faixas etárias abaixo você se encontra?],'Dados cruzados'!$B8)</f>
        <v>0</v>
      </c>
      <c r="CL8" s="30">
        <f>COUNTIFS(Tabela2[Levando em consideração que os ingredientes escolhidos por você estivessem disponíveis na próxima virada de cardápio da Olga RI, qual é a chance de você comprar esse bowl quente? ],'Dados cruzados'!CL$2,Tabela2[Em qual das faixas etárias abaixo você se encontra?],'Dados cruzados'!$B8)</f>
        <v>0</v>
      </c>
      <c r="CM8" s="30">
        <f>COUNTIFS(Tabela2[Levando em consideração que os ingredientes escolhidos por você estivessem disponíveis na próxima virada de cardápio da Olga RI, qual é a chance de você comprar esse bowl quente? ],'Dados cruzados'!CM$2,Tabela2[Em qual das faixas etárias abaixo você se encontra?],'Dados cruzados'!$B8)</f>
        <v>0</v>
      </c>
      <c r="CN8" s="30">
        <f>COUNTIFS(Tabela2[Levando em consideração que os ingredientes escolhidos por você estivessem disponíveis na próxima virada de cardápio da Olga RI, qual é a chance de você comprar esse bowl quente? ],'Dados cruzados'!CN$2,Tabela2[Em qual das faixas etárias abaixo você se encontra?],'Dados cruzados'!$B8)</f>
        <v>0</v>
      </c>
      <c r="CO8" s="30">
        <f>COUNTIFS(Tabela2[Levando em consideração que os ingredientes escolhidos por você estivessem disponíveis na próxima virada de cardápio da Olga RI, qual é a chance de você comprar esse bowl quente? ],'Dados cruzados'!CO$2,Tabela2[Em qual das faixas etárias abaixo você se encontra?],'Dados cruzados'!$B8)</f>
        <v>0</v>
      </c>
      <c r="CP8" s="46">
        <f>SUM(CK8:CO8)</f>
        <v>0</v>
      </c>
      <c r="CR8" s="93" t="s">
        <v>400</v>
      </c>
      <c r="CS8" s="33" t="s">
        <v>363</v>
      </c>
      <c r="CT8" s="30">
        <f>COUNTIFS(Tabela2[Com a inclusão das novas opções de bowls quentes, qual é a probabilidade de você optar por essas opções da Olga RI em dias mais frios? ],'Dados cruzados'!CT$2,Tabela2[Em qual das faixas etárias abaixo você se encontra?],'Dados cruzados'!$B8)</f>
        <v>0</v>
      </c>
      <c r="CU8" s="30">
        <f>COUNTIFS(Tabela2[Com a inclusão das novas opções de bowls quentes, qual é a probabilidade de você optar por essas opções da Olga RI em dias mais frios? ],'Dados cruzados'!CU$2,Tabela2[Em qual das faixas etárias abaixo você se encontra?],'Dados cruzados'!$B8)</f>
        <v>0</v>
      </c>
      <c r="CV8" s="30">
        <f>COUNTIFS(Tabela2[Com a inclusão das novas opções de bowls quentes, qual é a probabilidade de você optar por essas opções da Olga RI em dias mais frios? ],'Dados cruzados'!CV$2,Tabela2[Em qual das faixas etárias abaixo você se encontra?],'Dados cruzados'!$B8)</f>
        <v>0</v>
      </c>
      <c r="CW8" s="30">
        <f>COUNTIFS(Tabela2[Com a inclusão das novas opções de bowls quentes, qual é a probabilidade de você optar por essas opções da Olga RI em dias mais frios? ],'Dados cruzados'!CW$2,Tabela2[Em qual das faixas etárias abaixo você se encontra?],'Dados cruzados'!$B8)</f>
        <v>0</v>
      </c>
      <c r="CX8" s="30">
        <f>COUNTIFS(Tabela2[Com a inclusão das novas opções de bowls quentes, qual é a probabilidade de você optar por essas opções da Olga RI em dias mais frios? ],'Dados cruzados'!CX$2,Tabela2[Em qual das faixas etárias abaixo você se encontra?],'Dados cruzados'!$B8)</f>
        <v>0</v>
      </c>
      <c r="CY8" s="75">
        <f>SUM(CT8:CX8)</f>
        <v>0</v>
      </c>
    </row>
    <row r="9" spans="1:103" ht="15.6">
      <c r="A9" s="87"/>
      <c r="B9" s="16" t="s">
        <v>98</v>
      </c>
      <c r="C9" s="26">
        <f>COUNTIFS(Tabela2[Com que frequência você costuma consumir saladas na Olga Ri?],'Dados cruzados'!C2,Tabela2[Em qual das faixas etárias abaixo você se encontra?],'Dados cruzados'!$B$9)</f>
        <v>14</v>
      </c>
      <c r="D9" s="26">
        <f>COUNTIFS(Tabela2[Com que frequência você costuma consumir saladas na Olga Ri?],'Dados cruzados'!D2,Tabela2[Em qual das faixas etárias abaixo você se encontra?],'Dados cruzados'!$B$9)</f>
        <v>8</v>
      </c>
      <c r="E9" s="26">
        <f>COUNTIFS(Tabela2[Com que frequência você costuma consumir saladas na Olga Ri?],'Dados cruzados'!E2,Tabela2[Em qual das faixas etárias abaixo você se encontra?],'Dados cruzados'!$B$9)</f>
        <v>4</v>
      </c>
      <c r="F9" s="26">
        <f>COUNTIFS(Tabela2[Com que frequência você costuma consumir saladas na Olga Ri?],'Dados cruzados'!F2,Tabela2[Em qual das faixas etárias abaixo você se encontra?],'Dados cruzados'!$B$9)</f>
        <v>1</v>
      </c>
      <c r="G9" s="26">
        <f>COUNTIFS(Tabela2[Com que frequência você costuma consumir saladas na Olga Ri?],'Dados cruzados'!G2,Tabela2[Em qual das faixas etárias abaixo você se encontra?],'Dados cruzados'!$B$9)</f>
        <v>1</v>
      </c>
      <c r="H9" s="37">
        <f t="shared" ref="H9:H14" si="29">SUM(C9:G9)</f>
        <v>28</v>
      </c>
      <c r="J9" s="87"/>
      <c r="K9" s="16" t="s">
        <v>98</v>
      </c>
      <c r="L9" s="26">
        <f>COUNTIFS(Tabela2[Como você avalia o seu grau de importância do clima na escolha das refeições que você costuma adquirir?],'Dados cruzados'!L$2,Tabela2[Em qual das faixas etárias abaixo você se encontra?],'Dados cruzados'!$K9)</f>
        <v>2</v>
      </c>
      <c r="M9" s="26">
        <f>COUNTIFS(Tabela2[Como você avalia o seu grau de importância do clima na escolha das refeições que você costuma adquirir?],'Dados cruzados'!M$2,Tabela2[Em qual das faixas etárias abaixo você se encontra?],'Dados cruzados'!$K9)</f>
        <v>2</v>
      </c>
      <c r="N9" s="26">
        <f>COUNTIFS(Tabela2[Como você avalia o seu grau de importância do clima na escolha das refeições que você costuma adquirir?],'Dados cruzados'!N$2,Tabela2[Em qual das faixas etárias abaixo você se encontra?],'Dados cruzados'!$K9)</f>
        <v>10</v>
      </c>
      <c r="O9" s="26">
        <f>COUNTIFS(Tabela2[Como você avalia o seu grau de importância do clima na escolha das refeições que você costuma adquirir?],'Dados cruzados'!O$2,Tabela2[Em qual das faixas etárias abaixo você se encontra?],'Dados cruzados'!$K9)</f>
        <v>10</v>
      </c>
      <c r="P9" s="26">
        <f>COUNTIFS(Tabela2[Como você avalia o seu grau de importância do clima na escolha das refeições que você costuma adquirir?],'Dados cruzados'!P$2,Tabela2[Em qual das faixas etárias abaixo você se encontra?],'Dados cruzados'!$K9)</f>
        <v>4</v>
      </c>
      <c r="Q9" s="37">
        <f t="shared" ref="Q9:Q14" si="30">SUM(L9:P9)</f>
        <v>28</v>
      </c>
      <c r="S9" s="94"/>
      <c r="T9" s="16" t="s">
        <v>98</v>
      </c>
      <c r="U9" s="53">
        <f>COUNTIFS(Tabela2[Como você avalia o seu grau interesse em comprar bowls* quentes?],'Dados cruzados'!U$2,Tabela2[Em qual das faixas etárias abaixo você se encontra?],'Dados cruzados'!$K9)</f>
        <v>6</v>
      </c>
      <c r="V9" s="53">
        <f>COUNTIFS(Tabela2[Como você avalia o seu grau interesse em comprar bowls* quentes?],'Dados cruzados'!V$2,Tabela2[Em qual das faixas etárias abaixo você se encontra?],'Dados cruzados'!$K9)</f>
        <v>14</v>
      </c>
      <c r="W9" s="53">
        <f>COUNTIFS(Tabela2[Como você avalia o seu grau interesse em comprar bowls* quentes?],'Dados cruzados'!W$2,Tabela2[Em qual das faixas etárias abaixo você se encontra?],'Dados cruzados'!$K9)</f>
        <v>0</v>
      </c>
      <c r="X9" s="53">
        <f>COUNTIFS(Tabela2[Como você avalia o seu grau interesse em comprar bowls* quentes?],'Dados cruzados'!X$2,Tabela2[Em qual das faixas etárias abaixo você se encontra?],'Dados cruzados'!$K9)</f>
        <v>3</v>
      </c>
      <c r="Y9" s="53">
        <f>COUNTIFS(Tabela2[Como você avalia o seu grau interesse em comprar bowls* quentes?],'Dados cruzados'!Y$2,Tabela2[Em qual das faixas etárias abaixo você se encontra?],'Dados cruzados'!$K9)</f>
        <v>5</v>
      </c>
      <c r="Z9" s="47">
        <f t="shared" ref="Z9:Z14" si="31">SUM(U9:Y9)</f>
        <v>28</v>
      </c>
      <c r="AB9" s="94"/>
      <c r="AC9" s="16" t="s">
        <v>98</v>
      </c>
      <c r="AD9" s="53">
        <f>COUNTIFS(Tabela2[Como você avalia o seu grau de conhecimento sobre as opções de pratos quentes oferecidos pela Olga RI?],'Dados cruzados'!AD$2,Tabela2[Em qual das faixas etárias abaixo você se encontra?],'Dados cruzados'!$B9)</f>
        <v>11</v>
      </c>
      <c r="AE9" s="53">
        <f>COUNTIFS(Tabela2[Como você avalia o seu grau de conhecimento sobre as opções de pratos quentes oferecidos pela Olga RI?],'Dados cruzados'!AE$2,Tabela2[Em qual das faixas etárias abaixo você se encontra?],'Dados cruzados'!$B9)</f>
        <v>7</v>
      </c>
      <c r="AF9" s="53">
        <f>COUNTIFS(Tabela2[Como você avalia o seu grau de conhecimento sobre as opções de pratos quentes oferecidos pela Olga RI?],'Dados cruzados'!AF$2,Tabela2[Em qual das faixas etárias abaixo você se encontra?],'Dados cruzados'!$B9)</f>
        <v>6</v>
      </c>
      <c r="AG9" s="53">
        <f>COUNTIFS(Tabela2[Como você avalia o seu grau de conhecimento sobre as opções de pratos quentes oferecidos pela Olga RI?],'Dados cruzados'!AG$2,Tabela2[Em qual das faixas etárias abaixo você se encontra?],'Dados cruzados'!$B9)</f>
        <v>1</v>
      </c>
      <c r="AH9" s="53">
        <f>COUNTIFS(Tabela2[Como você avalia o seu grau de conhecimento sobre as opções de pratos quentes oferecidos pela Olga RI?],'Dados cruzados'!AH$2,Tabela2[Em qual das faixas etárias abaixo você se encontra?],'Dados cruzados'!$B9)</f>
        <v>3</v>
      </c>
      <c r="AI9" s="47">
        <f t="shared" ref="AI9:AI14" si="32">SUM(AD9:AH9)</f>
        <v>28</v>
      </c>
      <c r="AK9" s="94"/>
      <c r="AL9" s="16" t="s">
        <v>98</v>
      </c>
      <c r="AM9" s="53">
        <f>COUNTIFS(Tabela2["A Olga Ri é a primeira marca que vem à mente quando penso em comprar opções quentes,"
O quanto você concorda com essa afirmação?],'Dados cruzados'!AM$2,Tabela2[Em qual das faixas etárias abaixo você se encontra?],'Dados cruzados'!$B9)</f>
        <v>24</v>
      </c>
      <c r="AN9" s="53">
        <f>COUNTIFS(Tabela2["A Olga Ri é a primeira marca que vem à mente quando penso em comprar opções quentes,"
O quanto você concorda com essa afirmação?],'Dados cruzados'!AN$2,Tabela2[Em qual das faixas etárias abaixo você se encontra?],'Dados cruzados'!$B9)</f>
        <v>3</v>
      </c>
      <c r="AO9" s="53">
        <f>COUNTIFS(Tabela2["A Olga Ri é a primeira marca que vem à mente quando penso em comprar opções quentes,"
O quanto você concorda com essa afirmação?],'Dados cruzados'!AO$2,Tabela2[Em qual das faixas etárias abaixo você se encontra?],'Dados cruzados'!$B9)</f>
        <v>0</v>
      </c>
      <c r="AP9" s="53">
        <f>COUNTIFS(Tabela2["A Olga Ri é a primeira marca que vem à mente quando penso em comprar opções quentes,"
O quanto você concorda com essa afirmação?],'Dados cruzados'!AP$2,Tabela2[Em qual das faixas etárias abaixo você se encontra?],'Dados cruzados'!$B9)</f>
        <v>0</v>
      </c>
      <c r="AQ9" s="53">
        <f>COUNTIFS(Tabela2["A Olga Ri é a primeira marca que vem à mente quando penso em comprar opções quentes,"
O quanto você concorda com essa afirmação?],'Dados cruzados'!AQ$2,Tabela2[Em qual das faixas etárias abaixo você se encontra?],'Dados cruzados'!$B9)</f>
        <v>1</v>
      </c>
      <c r="AR9" s="47">
        <f t="shared" ref="AR9:AR14" si="33">SUM(AM9:AQ9)</f>
        <v>28</v>
      </c>
      <c r="AT9" s="94"/>
      <c r="AU9" s="16" t="s">
        <v>98</v>
      </c>
      <c r="AV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cruzados'!AV$2,Tabela2[Em qual das faixas etárias abaixo você se encontra?],'Dados cruzados'!$B9)</f>
        <v>2</v>
      </c>
      <c r="AW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cruzados'!AW$2,Tabela2[Em qual das faixas etárias abaixo você se encontra?],'Dados cruzados'!$B9)</f>
        <v>3</v>
      </c>
      <c r="AX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cruzados'!AX$2,Tabela2[Em qual das faixas etárias abaixo você se encontra?],'Dados cruzados'!$B9)</f>
        <v>6</v>
      </c>
      <c r="AY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cruzados'!AY$2,Tabela2[Em qual das faixas etárias abaixo você se encontra?],'Dados cruzados'!$B9)</f>
        <v>11</v>
      </c>
      <c r="AZ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cruzados'!AZ$2,Tabela2[Em qual das faixas etárias abaixo você se encontra?],'Dados cruzados'!$B9)</f>
        <v>6</v>
      </c>
      <c r="BA9" s="47">
        <f t="shared" ref="BA9:BA14" si="34">SUM(AV9:AZ9)</f>
        <v>28</v>
      </c>
      <c r="BC9" s="94"/>
      <c r="BD9" s="16" t="s">
        <v>98</v>
      </c>
      <c r="BE9" s="26">
        <f>COUNTIFS(Tabela2[Quando você considera experimentar pratos quentes na Olga Ri, quais aspectos são mais importantes para a sua decisão?],"*Ambiente e atmosfera do restaurante*",Tabela2[Em qual das faixas etárias abaixo você se encontra?],'Dados cruzados'!$B9)</f>
        <v>14</v>
      </c>
      <c r="BF9" s="26">
        <f>COUNTIFS(Tabela2[Quando você considera experimentar pratos quentes na Olga Ri, quais aspectos são mais importantes para a sua decisão?],"*Avaliação ou recomendação de influenciadores*",Tabela2[Em qual das faixas etárias abaixo você se encontra?],'Dados cruzados'!$B9)</f>
        <v>2</v>
      </c>
      <c r="BG9" s="26">
        <f>COUNTIFS(Tabela2[Quando você considera experimentar pratos quentes na Olga Ri, quais aspectos são mais importantes para a sua decisão?],"*Avaliação ou recomendação de outros clientes*",Tabela2[Em qual das faixas etárias abaixo você se encontra?],'Dados cruzados'!$B9)</f>
        <v>12</v>
      </c>
      <c r="BH9" s="26">
        <f>COUNTIFS(Tabela2[Quando você considera experimentar pratos quentes na Olga Ri, quais aspectos são mais importantes para a sua decisão?],"*Opções vegetarianas e/ou veganas de pratos quentes*",Tabela2[Em qual das faixas etárias abaixo você se encontra?],'Dados cruzados'!$B9)</f>
        <v>8</v>
      </c>
      <c r="BI9" s="26">
        <f>COUNTIFS(Tabela2[Quando você considera experimentar pratos quentes na Olga Ri, quais aspectos são mais importantes para a sua decisão?],"*Preço das opções quentes*",Tabela2[Em qual das faixas etárias abaixo você se encontra?],'Dados cruzados'!$B9)</f>
        <v>11</v>
      </c>
      <c r="BJ9" s="26">
        <f>COUNTIFS(Tabela2[Quando você considera experimentar pratos quentes na Olga Ri, quais aspectos são mais importantes para a sua decisão?],"*Tempo de espera para ser servido*",Tabela2[Em qual das faixas etárias abaixo você se encontra?],'Dados cruzados'!$B9)</f>
        <v>10</v>
      </c>
      <c r="BK9" s="26">
        <f>COUNTIFS(Tabela2[Quando você considera experimentar pratos quentes na Olga Ri, quais aspectos são mais importantes para a sua decisão?],"*Variedade de opções quentes no cardápio*",Tabela2[Em qual das faixas etárias abaixo você se encontra?],'Dados cruzados'!$B9)</f>
        <v>16</v>
      </c>
      <c r="BL9" s="26">
        <f>COUNTIFS(Tabela2[Quando você considera experimentar pratos quentes na Olga Ri, quais aspectos são mais importantes para a sua decisão?],"*Muitas opções de salada*",Tabela2[Em qual das faixas etárias abaixo você se encontra?],'Dados cruzados'!$B9)</f>
        <v>0</v>
      </c>
      <c r="BM9" s="37">
        <f t="shared" ref="BM9:BM14" si="35">SUM(BE9:BL9)</f>
        <v>73</v>
      </c>
      <c r="BO9" s="94"/>
      <c r="BP9" s="16" t="s">
        <v>98</v>
      </c>
      <c r="BQ9" s="26">
        <f>COUNTIFS(Tabela2[Qual a probabilidade de mudanças realizadas no cardápio de opções quentes influenciarem a sua decisão de compra dos bowls quentes?],'Dados cruzados'!BQ$2,Tabela2[Em qual das faixas etárias abaixo você se encontra?],'Dados cruzados'!$B9)</f>
        <v>4</v>
      </c>
      <c r="BR9" s="26">
        <f>COUNTIFS(Tabela2[Qual a probabilidade de mudanças realizadas no cardápio de opções quentes influenciarem a sua decisão de compra dos bowls quentes?],'Dados cruzados'!BR$2,Tabela2[Em qual das faixas etárias abaixo você se encontra?],'Dados cruzados'!$B9)</f>
        <v>5</v>
      </c>
      <c r="BS9" s="26">
        <f>COUNTIFS(Tabela2[Qual a probabilidade de mudanças realizadas no cardápio de opções quentes influenciarem a sua decisão de compra dos bowls quentes?],'Dados cruzados'!BS$2,Tabela2[Em qual das faixas etárias abaixo você se encontra?],'Dados cruzados'!$B9)</f>
        <v>10</v>
      </c>
      <c r="BT9" s="26">
        <f>COUNTIFS(Tabela2[Qual a probabilidade de mudanças realizadas no cardápio de opções quentes influenciarem a sua decisão de compra dos bowls quentes?],'Dados cruzados'!BT$2,Tabela2[Em qual das faixas etárias abaixo você se encontra?],'Dados cruzados'!$B9)</f>
        <v>6</v>
      </c>
      <c r="BU9" s="26">
        <f>COUNTIFS(Tabela2[Qual a probabilidade de mudanças realizadas no cardápio de opções quentes influenciarem a sua decisão de compra dos bowls quentes?],'Dados cruzados'!BU$2,Tabela2[Em qual das faixas etárias abaixo você se encontra?],'Dados cruzados'!$B9)</f>
        <v>3</v>
      </c>
      <c r="BV9" s="47">
        <f t="shared" ref="BV9:BV14" si="36">SUM(BQ9:BU9)</f>
        <v>28</v>
      </c>
      <c r="BX9" s="94"/>
      <c r="BY9" s="16" t="s">
        <v>98</v>
      </c>
      <c r="BZ9" s="26">
        <f>COUNTIFS(Tabela2[Que tipo de ingredientes quentes você mais gostaria de ver nos bowls quentes da Olga RI no futuro?],"*Frango Grelhado*",Tabela2[Em qual das faixas etárias abaixo você se encontra?],'Dados cruzados'!$B9)</f>
        <v>17</v>
      </c>
      <c r="CA9" s="26">
        <f>COUNTIFS(Tabela2[Que tipo de ingredientes quentes você mais gostaria de ver nos bowls quentes da Olga RI no futuro?],"*Carne seca desfiada*",Tabela2[Em qual das faixas etárias abaixo você se encontra?],'Dados cruzados'!$B9)</f>
        <v>9</v>
      </c>
      <c r="CB9" s="26">
        <f>COUNTIFS(Tabela2[Que tipo de ingredientes quentes você mais gostaria de ver nos bowls quentes da Olga RI no futuro?],"*Filé mignon*",Tabela2[Em qual das faixas etárias abaixo você se encontra?],'Dados cruzados'!$B9)</f>
        <v>14</v>
      </c>
      <c r="CC9" s="26">
        <f>COUNTIFS(Tabela2[Que tipo de ingredientes quentes você mais gostaria de ver nos bowls quentes da Olga RI no futuro?],"*Falafel*",Tabela2[Em qual das faixas etárias abaixo você se encontra?],'Dados cruzados'!$B9)</f>
        <v>6</v>
      </c>
      <c r="CD9" s="26">
        <f>COUNTIFS(Tabela2[Que tipo de ingredientes quentes você mais gostaria de ver nos bowls quentes da Olga RI no futuro?],"*Salmão grelhado com molho teriyaki*",Tabela2[Em qual das faixas etárias abaixo você se encontra?],'Dados cruzados'!$B9)</f>
        <v>17</v>
      </c>
      <c r="CE9" s="26">
        <f>COUNTIFS(Tabela2[Que tipo de ingredientes quentes você mais gostaria de ver nos bowls quentes da Olga RI no futuro?],"*Atum selado com gergelim*",Tabela2[Em qual das faixas etárias abaixo você se encontra?],'Dados cruzados'!$B9)</f>
        <v>4</v>
      </c>
      <c r="CF9" s="26">
        <f>COUNTIFS(Tabela2[Que tipo de ingredientes quentes você mais gostaria de ver nos bowls quentes da Olga RI no futuro?],"*Beterraba*",Tabela2[Em qual das faixas etárias abaixo você se encontra?],'Dados cruzados'!$B9)</f>
        <v>1</v>
      </c>
      <c r="CG9" s="60">
        <f t="shared" ref="CG9:CG14" si="37">SUM(BZ9:CF9)</f>
        <v>68</v>
      </c>
      <c r="CI9" s="94"/>
      <c r="CJ9" s="16" t="s">
        <v>98</v>
      </c>
      <c r="CK9" s="26">
        <f>COUNTIFS(Tabela2[Levando em consideração que os ingredientes escolhidos por você estivessem disponíveis na próxima virada de cardápio da Olga RI, qual é a chance de você comprar esse bowl quente? ],'Dados cruzados'!CK$2,Tabela2[Em qual das faixas etárias abaixo você se encontra?],'Dados cruzados'!$B9)</f>
        <v>0</v>
      </c>
      <c r="CL9" s="26">
        <f>COUNTIFS(Tabela2[Levando em consideração que os ingredientes escolhidos por você estivessem disponíveis na próxima virada de cardápio da Olga RI, qual é a chance de você comprar esse bowl quente? ],'Dados cruzados'!CL$2,Tabela2[Em qual das faixas etárias abaixo você se encontra?],'Dados cruzados'!$B9)</f>
        <v>0</v>
      </c>
      <c r="CM9" s="26">
        <f>COUNTIFS(Tabela2[Levando em consideração que os ingredientes escolhidos por você estivessem disponíveis na próxima virada de cardápio da Olga RI, qual é a chance de você comprar esse bowl quente? ],'Dados cruzados'!CM$2,Tabela2[Em qual das faixas etárias abaixo você se encontra?],'Dados cruzados'!$B9)</f>
        <v>4</v>
      </c>
      <c r="CN9" s="26">
        <f>COUNTIFS(Tabela2[Levando em consideração que os ingredientes escolhidos por você estivessem disponíveis na próxima virada de cardápio da Olga RI, qual é a chance de você comprar esse bowl quente? ],'Dados cruzados'!CN$2,Tabela2[Em qual das faixas etárias abaixo você se encontra?],'Dados cruzados'!$B9)</f>
        <v>12</v>
      </c>
      <c r="CO9" s="26">
        <f>COUNTIFS(Tabela2[Levando em consideração que os ingredientes escolhidos por você estivessem disponíveis na próxima virada de cardápio da Olga RI, qual é a chance de você comprar esse bowl quente? ],'Dados cruzados'!CO$2,Tabela2[Em qual das faixas etárias abaixo você se encontra?],'Dados cruzados'!$B9)</f>
        <v>12</v>
      </c>
      <c r="CP9" s="47">
        <f t="shared" ref="CP9:CP14" si="38">SUM(CK9:CO9)</f>
        <v>28</v>
      </c>
      <c r="CR9" s="94"/>
      <c r="CS9" s="16" t="s">
        <v>98</v>
      </c>
      <c r="CT9" s="26">
        <f>COUNTIFS(Tabela2[Com a inclusão das novas opções de bowls quentes, qual é a probabilidade de você optar por essas opções da Olga RI em dias mais frios? ],'Dados cruzados'!CT$2,Tabela2[Em qual das faixas etárias abaixo você se encontra?],'Dados cruzados'!$B9)</f>
        <v>1</v>
      </c>
      <c r="CU9" s="26">
        <f>COUNTIFS(Tabela2[Com a inclusão das novas opções de bowls quentes, qual é a probabilidade de você optar por essas opções da Olga RI em dias mais frios? ],'Dados cruzados'!CU$2,Tabela2[Em qual das faixas etárias abaixo você se encontra?],'Dados cruzados'!$B9)</f>
        <v>2</v>
      </c>
      <c r="CV9" s="26">
        <f>COUNTIFS(Tabela2[Com a inclusão das novas opções de bowls quentes, qual é a probabilidade de você optar por essas opções da Olga RI em dias mais frios? ],'Dados cruzados'!CV$2,Tabela2[Em qual das faixas etárias abaixo você se encontra?],'Dados cruzados'!$B9)</f>
        <v>11</v>
      </c>
      <c r="CW9" s="26">
        <f>COUNTIFS(Tabela2[Com a inclusão das novas opções de bowls quentes, qual é a probabilidade de você optar por essas opções da Olga RI em dias mais frios? ],'Dados cruzados'!CW$2,Tabela2[Em qual das faixas etárias abaixo você se encontra?],'Dados cruzados'!$B9)</f>
        <v>6</v>
      </c>
      <c r="CX9" s="26">
        <f>COUNTIFS(Tabela2[Com a inclusão das novas opções de bowls quentes, qual é a probabilidade de você optar por essas opções da Olga RI em dias mais frios? ],'Dados cruzados'!CX$2,Tabela2[Em qual das faixas etárias abaixo você se encontra?],'Dados cruzados'!$B9)</f>
        <v>8</v>
      </c>
      <c r="CY9" s="76">
        <f t="shared" ref="CY9:CY14" si="39">SUM(CT9:CX9)</f>
        <v>28</v>
      </c>
    </row>
    <row r="10" spans="1:103" ht="15.6">
      <c r="A10" s="87"/>
      <c r="B10" s="29" t="s">
        <v>36</v>
      </c>
      <c r="C10" s="30">
        <f>COUNTIFS(Tabela2[Com que frequência você costuma consumir saladas na Olga Ri?],'Dados cruzados'!C2,Tabela2[Em qual das faixas etárias abaixo você se encontra?],'Dados cruzados'!$B$10)</f>
        <v>15</v>
      </c>
      <c r="D10" s="30">
        <f>COUNTIFS(Tabela2[Com que frequência você costuma consumir saladas na Olga Ri?],'Dados cruzados'!D2,Tabela2[Em qual das faixas etárias abaixo você se encontra?],'Dados cruzados'!$B$10)</f>
        <v>9</v>
      </c>
      <c r="E10" s="30">
        <f>COUNTIFS(Tabela2[Com que frequência você costuma consumir saladas na Olga Ri?],'Dados cruzados'!E2,Tabela2[Em qual das faixas etárias abaixo você se encontra?],'Dados cruzados'!$B$10)</f>
        <v>8</v>
      </c>
      <c r="F10" s="30">
        <f>COUNTIFS(Tabela2[Com que frequência você costuma consumir saladas na Olga Ri?],'Dados cruzados'!F2,Tabela2[Em qual das faixas etárias abaixo você se encontra?],'Dados cruzados'!$B$10)</f>
        <v>9</v>
      </c>
      <c r="G10" s="30">
        <f>COUNTIFS(Tabela2[Com que frequência você costuma consumir saladas na Olga Ri?],'Dados cruzados'!G2,Tabela2[Em qual das faixas etárias abaixo você se encontra?],'Dados cruzados'!$B$10)</f>
        <v>1</v>
      </c>
      <c r="H10" s="36">
        <f t="shared" si="29"/>
        <v>42</v>
      </c>
      <c r="J10" s="87"/>
      <c r="K10" s="29" t="s">
        <v>36</v>
      </c>
      <c r="L10" s="30">
        <f>COUNTIFS(Tabela2[Como você avalia o seu grau de importância do clima na escolha das refeições que você costuma adquirir?],'Dados cruzados'!L$2,Tabela2[Em qual das faixas etárias abaixo você se encontra?],'Dados cruzados'!$K10)</f>
        <v>4</v>
      </c>
      <c r="M10" s="30">
        <f>COUNTIFS(Tabela2[Como você avalia o seu grau de importância do clima na escolha das refeições que você costuma adquirir?],'Dados cruzados'!M$2,Tabela2[Em qual das faixas etárias abaixo você se encontra?],'Dados cruzados'!$K10)</f>
        <v>3</v>
      </c>
      <c r="N10" s="30">
        <f>COUNTIFS(Tabela2[Como você avalia o seu grau de importância do clima na escolha das refeições que você costuma adquirir?],'Dados cruzados'!N$2,Tabela2[Em qual das faixas etárias abaixo você se encontra?],'Dados cruzados'!$K10)</f>
        <v>11</v>
      </c>
      <c r="O10" s="30">
        <f>COUNTIFS(Tabela2[Como você avalia o seu grau de importância do clima na escolha das refeições que você costuma adquirir?],'Dados cruzados'!O$2,Tabela2[Em qual das faixas etárias abaixo você se encontra?],'Dados cruzados'!$K10)</f>
        <v>11</v>
      </c>
      <c r="P10" s="30">
        <f>COUNTIFS(Tabela2[Como você avalia o seu grau de importância do clima na escolha das refeições que você costuma adquirir?],'Dados cruzados'!P$2,Tabela2[Em qual das faixas etárias abaixo você se encontra?],'Dados cruzados'!$K10)</f>
        <v>13</v>
      </c>
      <c r="Q10" s="36">
        <f t="shared" si="30"/>
        <v>42</v>
      </c>
      <c r="S10" s="94"/>
      <c r="T10" s="29" t="s">
        <v>36</v>
      </c>
      <c r="U10" s="45">
        <f>COUNTIFS(Tabela2[Como você avalia o seu grau interesse em comprar bowls* quentes?],'Dados cruzados'!U$2,Tabela2[Em qual das faixas etárias abaixo você se encontra?],'Dados cruzados'!$K10)</f>
        <v>6</v>
      </c>
      <c r="V10" s="45">
        <f>COUNTIFS(Tabela2[Como você avalia o seu grau interesse em comprar bowls* quentes?],'Dados cruzados'!V$2,Tabela2[Em qual das faixas etárias abaixo você se encontra?],'Dados cruzados'!$K10)</f>
        <v>7</v>
      </c>
      <c r="W10" s="45">
        <f>COUNTIFS(Tabela2[Como você avalia o seu grau interesse em comprar bowls* quentes?],'Dados cruzados'!W$2,Tabela2[Em qual das faixas etárias abaixo você se encontra?],'Dados cruzados'!$K10)</f>
        <v>9</v>
      </c>
      <c r="X10" s="45">
        <f>COUNTIFS(Tabela2[Como você avalia o seu grau interesse em comprar bowls* quentes?],'Dados cruzados'!X$2,Tabela2[Em qual das faixas etárias abaixo você se encontra?],'Dados cruzados'!$K10)</f>
        <v>13</v>
      </c>
      <c r="Y10" s="45">
        <f>COUNTIFS(Tabela2[Como você avalia o seu grau interesse em comprar bowls* quentes?],'Dados cruzados'!Y$2,Tabela2[Em qual das faixas etárias abaixo você se encontra?],'Dados cruzados'!$K10)</f>
        <v>7</v>
      </c>
      <c r="Z10" s="48">
        <f t="shared" si="31"/>
        <v>42</v>
      </c>
      <c r="AB10" s="94"/>
      <c r="AC10" s="29" t="s">
        <v>36</v>
      </c>
      <c r="AD10" s="45">
        <f>COUNTIFS(Tabela2[Como você avalia o seu grau de conhecimento sobre as opções de pratos quentes oferecidos pela Olga RI?],'Dados cruzados'!AD$2,Tabela2[Em qual das faixas etárias abaixo você se encontra?],'Dados cruzados'!$B10)</f>
        <v>13</v>
      </c>
      <c r="AE10" s="45">
        <f>COUNTIFS(Tabela2[Como você avalia o seu grau de conhecimento sobre as opções de pratos quentes oferecidos pela Olga RI?],'Dados cruzados'!AE$2,Tabela2[Em qual das faixas etárias abaixo você se encontra?],'Dados cruzados'!$B10)</f>
        <v>12</v>
      </c>
      <c r="AF10" s="45">
        <f>COUNTIFS(Tabela2[Como você avalia o seu grau de conhecimento sobre as opções de pratos quentes oferecidos pela Olga RI?],'Dados cruzados'!AF$2,Tabela2[Em qual das faixas etárias abaixo você se encontra?],'Dados cruzados'!$B10)</f>
        <v>8</v>
      </c>
      <c r="AG10" s="45">
        <f>COUNTIFS(Tabela2[Como você avalia o seu grau de conhecimento sobre as opções de pratos quentes oferecidos pela Olga RI?],'Dados cruzados'!AG$2,Tabela2[Em qual das faixas etárias abaixo você se encontra?],'Dados cruzados'!$B10)</f>
        <v>3</v>
      </c>
      <c r="AH10" s="45">
        <f>COUNTIFS(Tabela2[Como você avalia o seu grau de conhecimento sobre as opções de pratos quentes oferecidos pela Olga RI?],'Dados cruzados'!AH$2,Tabela2[Em qual das faixas etárias abaixo você se encontra?],'Dados cruzados'!$B10)</f>
        <v>6</v>
      </c>
      <c r="AI10" s="48">
        <f t="shared" si="32"/>
        <v>42</v>
      </c>
      <c r="AK10" s="94"/>
      <c r="AL10" s="29" t="s">
        <v>36</v>
      </c>
      <c r="AM10" s="45">
        <f>COUNTIFS(Tabela2["A Olga Ri é a primeira marca que vem à mente quando penso em comprar opções quentes,"
O quanto você concorda com essa afirmação?],'Dados cruzados'!AM$2,Tabela2[Em qual das faixas etárias abaixo você se encontra?],'Dados cruzados'!$B10)</f>
        <v>37</v>
      </c>
      <c r="AN10" s="45">
        <f>COUNTIFS(Tabela2["A Olga Ri é a primeira marca que vem à mente quando penso em comprar opções quentes,"
O quanto você concorda com essa afirmação?],'Dados cruzados'!AN$2,Tabela2[Em qual das faixas etárias abaixo você se encontra?],'Dados cruzados'!$B10)</f>
        <v>2</v>
      </c>
      <c r="AO10" s="45">
        <f>COUNTIFS(Tabela2["A Olga Ri é a primeira marca que vem à mente quando penso em comprar opções quentes,"
O quanto você concorda com essa afirmação?],'Dados cruzados'!AO$2,Tabela2[Em qual das faixas etárias abaixo você se encontra?],'Dados cruzados'!$B10)</f>
        <v>2</v>
      </c>
      <c r="AP10" s="45">
        <f>COUNTIFS(Tabela2["A Olga Ri é a primeira marca que vem à mente quando penso em comprar opções quentes,"
O quanto você concorda com essa afirmação?],'Dados cruzados'!AP$2,Tabela2[Em qual das faixas etárias abaixo você se encontra?],'Dados cruzados'!$B10)</f>
        <v>0</v>
      </c>
      <c r="AQ10" s="45">
        <f>COUNTIFS(Tabela2["A Olga Ri é a primeira marca que vem à mente quando penso em comprar opções quentes,"
O quanto você concorda com essa afirmação?],'Dados cruzados'!AQ$2,Tabela2[Em qual das faixas etárias abaixo você se encontra?],'Dados cruzados'!$B10)</f>
        <v>1</v>
      </c>
      <c r="AR10" s="48">
        <f t="shared" si="33"/>
        <v>42</v>
      </c>
      <c r="AT10" s="94"/>
      <c r="AU10" s="29" t="s">
        <v>36</v>
      </c>
      <c r="AV1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cruzados'!AV$2,Tabela2[Em qual das faixas etárias abaixo você se encontra?],'Dados cruzados'!$B10)</f>
        <v>3</v>
      </c>
      <c r="AW1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cruzados'!AW$2,Tabela2[Em qual das faixas etárias abaixo você se encontra?],'Dados cruzados'!$B10)</f>
        <v>1</v>
      </c>
      <c r="AX1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cruzados'!AX$2,Tabela2[Em qual das faixas etárias abaixo você se encontra?],'Dados cruzados'!$B10)</f>
        <v>6</v>
      </c>
      <c r="AY1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cruzados'!AY$2,Tabela2[Em qual das faixas etárias abaixo você se encontra?],'Dados cruzados'!$B10)</f>
        <v>12</v>
      </c>
      <c r="AZ1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cruzados'!AZ$2,Tabela2[Em qual das faixas etárias abaixo você se encontra?],'Dados cruzados'!$B10)</f>
        <v>20</v>
      </c>
      <c r="BA10" s="48">
        <f t="shared" si="34"/>
        <v>42</v>
      </c>
      <c r="BC10" s="94"/>
      <c r="BD10" s="29" t="s">
        <v>36</v>
      </c>
      <c r="BE10" s="30">
        <f>COUNTIFS(Tabela2[Quando você considera experimentar pratos quentes na Olga Ri, quais aspectos são mais importantes para a sua decisão?],"*Ambiente e atmosfera do restaurante*",Tabela2[Em qual das faixas etárias abaixo você se encontra?],'Dados cruzados'!$B10)</f>
        <v>21</v>
      </c>
      <c r="BF10" s="30">
        <f>COUNTIFS(Tabela2[Quando você considera experimentar pratos quentes na Olga Ri, quais aspectos são mais importantes para a sua decisão?],"*Avaliação ou recomendação de influenciadores*",Tabela2[Em qual das faixas etárias abaixo você se encontra?],'Dados cruzados'!$B10)</f>
        <v>5</v>
      </c>
      <c r="BG10" s="30">
        <f>COUNTIFS(Tabela2[Quando você considera experimentar pratos quentes na Olga Ri, quais aspectos são mais importantes para a sua decisão?],"*Avaliação ou recomendação de outros clientes*",Tabela2[Em qual das faixas etárias abaixo você se encontra?],'Dados cruzados'!$B10)</f>
        <v>6</v>
      </c>
      <c r="BH10" s="30">
        <f>COUNTIFS(Tabela2[Quando você considera experimentar pratos quentes na Olga Ri, quais aspectos são mais importantes para a sua decisão?],"*Opções vegetarianas e/ou veganas de pratos quentes*",Tabela2[Em qual das faixas etárias abaixo você se encontra?],'Dados cruzados'!$B10)</f>
        <v>10</v>
      </c>
      <c r="BI10" s="30">
        <f>COUNTIFS(Tabela2[Quando você considera experimentar pratos quentes na Olga Ri, quais aspectos são mais importantes para a sua decisão?],"*Preço das opções quentes*",Tabela2[Em qual das faixas etárias abaixo você se encontra?],'Dados cruzados'!$B10)</f>
        <v>17</v>
      </c>
      <c r="BJ10" s="30">
        <f>COUNTIFS(Tabela2[Quando você considera experimentar pratos quentes na Olga Ri, quais aspectos são mais importantes para a sua decisão?],"*Tempo de espera para ser servido*",Tabela2[Em qual das faixas etárias abaixo você se encontra?],'Dados cruzados'!$B10)</f>
        <v>17</v>
      </c>
      <c r="BK10" s="30">
        <f>COUNTIFS(Tabela2[Quando você considera experimentar pratos quentes na Olga Ri, quais aspectos são mais importantes para a sua decisão?],"*Variedade de opções quentes no cardápio*",Tabela2[Em qual das faixas etárias abaixo você se encontra?],'Dados cruzados'!$B10)</f>
        <v>28</v>
      </c>
      <c r="BL10" s="30">
        <f>COUNTIFS(Tabela2[Quando você considera experimentar pratos quentes na Olga Ri, quais aspectos são mais importantes para a sua decisão?],"*Pet Friendly*",Tabela2[Em qual das faixas etárias abaixo você se encontra?],'Dados cruzados'!$B10)</f>
        <v>1</v>
      </c>
      <c r="BM10" s="36">
        <f t="shared" si="35"/>
        <v>105</v>
      </c>
      <c r="BO10" s="94"/>
      <c r="BP10" s="29" t="s">
        <v>36</v>
      </c>
      <c r="BQ10" s="30">
        <f>COUNTIFS(Tabela2[Qual a probabilidade de mudanças realizadas no cardápio de opções quentes influenciarem a sua decisão de compra dos bowls quentes?],'Dados cruzados'!BQ$2,Tabela2[Em qual das faixas etárias abaixo você se encontra?],'Dados cruzados'!$B10)</f>
        <v>6</v>
      </c>
      <c r="BR10" s="30">
        <f>COUNTIFS(Tabela2[Qual a probabilidade de mudanças realizadas no cardápio de opções quentes influenciarem a sua decisão de compra dos bowls quentes?],'Dados cruzados'!BR$2,Tabela2[Em qual das faixas etárias abaixo você se encontra?],'Dados cruzados'!$B10)</f>
        <v>9</v>
      </c>
      <c r="BS10" s="30">
        <f>COUNTIFS(Tabela2[Qual a probabilidade de mudanças realizadas no cardápio de opções quentes influenciarem a sua decisão de compra dos bowls quentes?],'Dados cruzados'!BS$2,Tabela2[Em qual das faixas etárias abaixo você se encontra?],'Dados cruzados'!$B10)</f>
        <v>11</v>
      </c>
      <c r="BT10" s="30">
        <f>COUNTIFS(Tabela2[Qual a probabilidade de mudanças realizadas no cardápio de opções quentes influenciarem a sua decisão de compra dos bowls quentes?],'Dados cruzados'!BT$2,Tabela2[Em qual das faixas etárias abaixo você se encontra?],'Dados cruzados'!$B10)</f>
        <v>12</v>
      </c>
      <c r="BU10" s="30">
        <f>COUNTIFS(Tabela2[Qual a probabilidade de mudanças realizadas no cardápio de opções quentes influenciarem a sua decisão de compra dos bowls quentes?],'Dados cruzados'!BU$2,Tabela2[Em qual das faixas etárias abaixo você se encontra?],'Dados cruzados'!$B10)</f>
        <v>4</v>
      </c>
      <c r="BV10" s="48">
        <f t="shared" si="36"/>
        <v>42</v>
      </c>
      <c r="BX10" s="94"/>
      <c r="BY10" s="29" t="s">
        <v>36</v>
      </c>
      <c r="BZ10" s="30">
        <f>COUNTIFS(Tabela2[Que tipo de ingredientes quentes você mais gostaria de ver nos bowls quentes da Olga RI no futuro?],"*Frango Grelhado*",Tabela2[Em qual das faixas etárias abaixo você se encontra?],'Dados cruzados'!$B10)</f>
        <v>12</v>
      </c>
      <c r="CA10" s="30">
        <f>COUNTIFS(Tabela2[Que tipo de ingredientes quentes você mais gostaria de ver nos bowls quentes da Olga RI no futuro?],"*Carne seca desfiada*",Tabela2[Em qual das faixas etárias abaixo você se encontra?],'Dados cruzados'!$B10)</f>
        <v>15</v>
      </c>
      <c r="CB10" s="30">
        <f>COUNTIFS(Tabela2[Que tipo de ingredientes quentes você mais gostaria de ver nos bowls quentes da Olga RI no futuro?],"*Filé mignon*",Tabela2[Em qual das faixas etárias abaixo você se encontra?],'Dados cruzados'!$B10)</f>
        <v>21</v>
      </c>
      <c r="CC10" s="30">
        <f>COUNTIFS(Tabela2[Que tipo de ingredientes quentes você mais gostaria de ver nos bowls quentes da Olga RI no futuro?],"*Falafel*",Tabela2[Em qual das faixas etárias abaixo você se encontra?],'Dados cruzados'!$B10)</f>
        <v>15</v>
      </c>
      <c r="CD10" s="30">
        <f>COUNTIFS(Tabela2[Que tipo de ingredientes quentes você mais gostaria de ver nos bowls quentes da Olga RI no futuro?],"*Salmão grelhado com molho teriyaki*",Tabela2[Em qual das faixas etárias abaixo você se encontra?],'Dados cruzados'!$B10)</f>
        <v>22</v>
      </c>
      <c r="CE10" s="30">
        <f>COUNTIFS(Tabela2[Que tipo de ingredientes quentes você mais gostaria de ver nos bowls quentes da Olga RI no futuro?],"*Atum selado com gergelim*",Tabela2[Em qual das faixas etárias abaixo você se encontra?],'Dados cruzados'!$B10)</f>
        <v>19</v>
      </c>
      <c r="CF10" s="30">
        <f>COUNTIFS(Tabela2[Que tipo de ingredientes quentes você mais gostaria de ver nos bowls quentes da Olga RI no futuro?],"*Bacon*",Tabela2[Em qual das faixas etárias abaixo você se encontra?],'Dados cruzados'!$B10)</f>
        <v>0</v>
      </c>
      <c r="CG10" s="46">
        <f t="shared" si="37"/>
        <v>104</v>
      </c>
      <c r="CI10" s="94"/>
      <c r="CJ10" s="29" t="s">
        <v>36</v>
      </c>
      <c r="CK10" s="30">
        <f>COUNTIFS(Tabela2[Levando em consideração que os ingredientes escolhidos por você estivessem disponíveis na próxima virada de cardápio da Olga RI, qual é a chance de você comprar esse bowl quente? ],'Dados cruzados'!CK$2,Tabela2[Em qual das faixas etárias abaixo você se encontra?],'Dados cruzados'!$B10)</f>
        <v>2</v>
      </c>
      <c r="CL10" s="30">
        <f>COUNTIFS(Tabela2[Levando em consideração que os ingredientes escolhidos por você estivessem disponíveis na próxima virada de cardápio da Olga RI, qual é a chance de você comprar esse bowl quente? ],'Dados cruzados'!CL$2,Tabela2[Em qual das faixas etárias abaixo você se encontra?],'Dados cruzados'!$B10)</f>
        <v>0</v>
      </c>
      <c r="CM10" s="30">
        <f>COUNTIFS(Tabela2[Levando em consideração que os ingredientes escolhidos por você estivessem disponíveis na próxima virada de cardápio da Olga RI, qual é a chance de você comprar esse bowl quente? ],'Dados cruzados'!CM$2,Tabela2[Em qual das faixas etárias abaixo você se encontra?],'Dados cruzados'!$B10)</f>
        <v>7</v>
      </c>
      <c r="CN10" s="30">
        <f>COUNTIFS(Tabela2[Levando em consideração que os ingredientes escolhidos por você estivessem disponíveis na próxima virada de cardápio da Olga RI, qual é a chance de você comprar esse bowl quente? ],'Dados cruzados'!CN$2,Tabela2[Em qual das faixas etárias abaixo você se encontra?],'Dados cruzados'!$B10)</f>
        <v>13</v>
      </c>
      <c r="CO10" s="30">
        <f>COUNTIFS(Tabela2[Levando em consideração que os ingredientes escolhidos por você estivessem disponíveis na próxima virada de cardápio da Olga RI, qual é a chance de você comprar esse bowl quente? ],'Dados cruzados'!CO$2,Tabela2[Em qual das faixas etárias abaixo você se encontra?],'Dados cruzados'!$B10)</f>
        <v>20</v>
      </c>
      <c r="CP10" s="48">
        <f t="shared" si="38"/>
        <v>42</v>
      </c>
      <c r="CR10" s="94"/>
      <c r="CS10" s="29" t="s">
        <v>36</v>
      </c>
      <c r="CT10" s="30">
        <f>COUNTIFS(Tabela2[Com a inclusão das novas opções de bowls quentes, qual é a probabilidade de você optar por essas opções da Olga RI em dias mais frios? ],'Dados cruzados'!CT$2,Tabela2[Em qual das faixas etárias abaixo você se encontra?],'Dados cruzados'!$B10)</f>
        <v>2</v>
      </c>
      <c r="CU10" s="30">
        <f>COUNTIFS(Tabela2[Com a inclusão das novas opções de bowls quentes, qual é a probabilidade de você optar por essas opções da Olga RI em dias mais frios? ],'Dados cruzados'!CU$2,Tabela2[Em qual das faixas etárias abaixo você se encontra?],'Dados cruzados'!$B10)</f>
        <v>2</v>
      </c>
      <c r="CV10" s="30">
        <f>COUNTIFS(Tabela2[Com a inclusão das novas opções de bowls quentes, qual é a probabilidade de você optar por essas opções da Olga RI em dias mais frios? ],'Dados cruzados'!CV$2,Tabela2[Em qual das faixas etárias abaixo você se encontra?],'Dados cruzados'!$B10)</f>
        <v>12</v>
      </c>
      <c r="CW10" s="30">
        <f>COUNTIFS(Tabela2[Com a inclusão das novas opções de bowls quentes, qual é a probabilidade de você optar por essas opções da Olga RI em dias mais frios? ],'Dados cruzados'!CW$2,Tabela2[Em qual das faixas etárias abaixo você se encontra?],'Dados cruzados'!$B10)</f>
        <v>13</v>
      </c>
      <c r="CX10" s="30">
        <f>COUNTIFS(Tabela2[Com a inclusão das novas opções de bowls quentes, qual é a probabilidade de você optar por essas opções da Olga RI em dias mais frios? ],'Dados cruzados'!CX$2,Tabela2[Em qual das faixas etárias abaixo você se encontra?],'Dados cruzados'!$B10)</f>
        <v>13</v>
      </c>
      <c r="CY10" s="75">
        <f t="shared" si="39"/>
        <v>42</v>
      </c>
    </row>
    <row r="11" spans="1:103" ht="15.6">
      <c r="A11" s="87"/>
      <c r="B11" s="16" t="s">
        <v>63</v>
      </c>
      <c r="C11" s="26">
        <f>COUNTIFS(Tabela2[Com que frequência você costuma consumir saladas na Olga Ri?],'Dados cruzados'!C2,Tabela2[Em qual das faixas etárias abaixo você se encontra?],'Dados cruzados'!$B$11)</f>
        <v>7</v>
      </c>
      <c r="D11" s="26">
        <f>COUNTIFS(Tabela2[Com que frequência você costuma consumir saladas na Olga Ri?],'Dados cruzados'!D2,Tabela2[Em qual das faixas etárias abaixo você se encontra?],'Dados cruzados'!$B$11)</f>
        <v>6</v>
      </c>
      <c r="E11" s="26">
        <f>COUNTIFS(Tabela2[Com que frequência você costuma consumir saladas na Olga Ri?],'Dados cruzados'!E2,Tabela2[Em qual das faixas etárias abaixo você se encontra?],'Dados cruzados'!$B$11)</f>
        <v>3</v>
      </c>
      <c r="F11" s="26">
        <f>COUNTIFS(Tabela2[Com que frequência você costuma consumir saladas na Olga Ri?],'Dados cruzados'!F2,Tabela2[Em qual das faixas etárias abaixo você se encontra?],'Dados cruzados'!$B$11)</f>
        <v>5</v>
      </c>
      <c r="G11" s="26">
        <f>COUNTIFS(Tabela2[Com que frequência você costuma consumir saladas na Olga Ri?],'Dados cruzados'!G2,Tabela2[Em qual das faixas etárias abaixo você se encontra?],'Dados cruzados'!$B$11)</f>
        <v>1</v>
      </c>
      <c r="H11" s="37">
        <f t="shared" si="29"/>
        <v>22</v>
      </c>
      <c r="J11" s="87"/>
      <c r="K11" s="16" t="s">
        <v>63</v>
      </c>
      <c r="L11" s="26">
        <f>COUNTIFS(Tabela2[Como você avalia o seu grau de importância do clima na escolha das refeições que você costuma adquirir?],'Dados cruzados'!L$2,Tabela2[Em qual das faixas etárias abaixo você se encontra?],'Dados cruzados'!$K11)</f>
        <v>3</v>
      </c>
      <c r="M11" s="26">
        <f>COUNTIFS(Tabela2[Como você avalia o seu grau de importância do clima na escolha das refeições que você costuma adquirir?],'Dados cruzados'!M$2,Tabela2[Em qual das faixas etárias abaixo você se encontra?],'Dados cruzados'!$K11)</f>
        <v>1</v>
      </c>
      <c r="N11" s="26">
        <f>COUNTIFS(Tabela2[Como você avalia o seu grau de importância do clima na escolha das refeições que você costuma adquirir?],'Dados cruzados'!N$2,Tabela2[Em qual das faixas etárias abaixo você se encontra?],'Dados cruzados'!$K11)</f>
        <v>4</v>
      </c>
      <c r="O11" s="26">
        <f>COUNTIFS(Tabela2[Como você avalia o seu grau de importância do clima na escolha das refeições que você costuma adquirir?],'Dados cruzados'!O$2,Tabela2[Em qual das faixas etárias abaixo você se encontra?],'Dados cruzados'!$K11)</f>
        <v>8</v>
      </c>
      <c r="P11" s="26">
        <f>COUNTIFS(Tabela2[Como você avalia o seu grau de importância do clima na escolha das refeições que você costuma adquirir?],'Dados cruzados'!P$2,Tabela2[Em qual das faixas etárias abaixo você se encontra?],'Dados cruzados'!$K11)</f>
        <v>6</v>
      </c>
      <c r="Q11" s="37">
        <f t="shared" si="30"/>
        <v>22</v>
      </c>
      <c r="S11" s="94"/>
      <c r="T11" s="16" t="s">
        <v>63</v>
      </c>
      <c r="U11" s="53">
        <f>COUNTIFS(Tabela2[Como você avalia o seu grau interesse em comprar bowls* quentes?],'Dados cruzados'!U$2,Tabela2[Em qual das faixas etárias abaixo você se encontra?],'Dados cruzados'!$K11)</f>
        <v>2</v>
      </c>
      <c r="V11" s="53">
        <f>COUNTIFS(Tabela2[Como você avalia o seu grau interesse em comprar bowls* quentes?],'Dados cruzados'!V$2,Tabela2[Em qual das faixas etárias abaixo você se encontra?],'Dados cruzados'!$K11)</f>
        <v>3</v>
      </c>
      <c r="W11" s="53">
        <f>COUNTIFS(Tabela2[Como você avalia o seu grau interesse em comprar bowls* quentes?],'Dados cruzados'!W$2,Tabela2[Em qual das faixas etárias abaixo você se encontra?],'Dados cruzados'!$K11)</f>
        <v>5</v>
      </c>
      <c r="X11" s="53">
        <f>COUNTIFS(Tabela2[Como você avalia o seu grau interesse em comprar bowls* quentes?],'Dados cruzados'!X$2,Tabela2[Em qual das faixas etárias abaixo você se encontra?],'Dados cruzados'!$K11)</f>
        <v>4</v>
      </c>
      <c r="Y11" s="53">
        <f>COUNTIFS(Tabela2[Como você avalia o seu grau interesse em comprar bowls* quentes?],'Dados cruzados'!Y$2,Tabela2[Em qual das faixas etárias abaixo você se encontra?],'Dados cruzados'!$K11)</f>
        <v>8</v>
      </c>
      <c r="Z11" s="47">
        <f t="shared" si="31"/>
        <v>22</v>
      </c>
      <c r="AB11" s="94"/>
      <c r="AC11" s="16" t="s">
        <v>63</v>
      </c>
      <c r="AD11" s="53">
        <f>COUNTIFS(Tabela2[Como você avalia o seu grau de conhecimento sobre as opções de pratos quentes oferecidos pela Olga RI?],'Dados cruzados'!AD$2,Tabela2[Em qual das faixas etárias abaixo você se encontra?],'Dados cruzados'!$B11)</f>
        <v>8</v>
      </c>
      <c r="AE11" s="53">
        <f>COUNTIFS(Tabela2[Como você avalia o seu grau de conhecimento sobre as opções de pratos quentes oferecidos pela Olga RI?],'Dados cruzados'!AE$2,Tabela2[Em qual das faixas etárias abaixo você se encontra?],'Dados cruzados'!$B11)</f>
        <v>4</v>
      </c>
      <c r="AF11" s="53">
        <f>COUNTIFS(Tabela2[Como você avalia o seu grau de conhecimento sobre as opções de pratos quentes oferecidos pela Olga RI?],'Dados cruzados'!AF$2,Tabela2[Em qual das faixas etárias abaixo você se encontra?],'Dados cruzados'!$B11)</f>
        <v>3</v>
      </c>
      <c r="AG11" s="53">
        <f>COUNTIFS(Tabela2[Como você avalia o seu grau de conhecimento sobre as opções de pratos quentes oferecidos pela Olga RI?],'Dados cruzados'!AG$2,Tabela2[Em qual das faixas etárias abaixo você se encontra?],'Dados cruzados'!$B11)</f>
        <v>1</v>
      </c>
      <c r="AH11" s="53">
        <f>COUNTIFS(Tabela2[Como você avalia o seu grau de conhecimento sobre as opções de pratos quentes oferecidos pela Olga RI?],'Dados cruzados'!AH$2,Tabela2[Em qual das faixas etárias abaixo você se encontra?],'Dados cruzados'!$B11)</f>
        <v>6</v>
      </c>
      <c r="AI11" s="47">
        <f t="shared" si="32"/>
        <v>22</v>
      </c>
      <c r="AK11" s="94"/>
      <c r="AL11" s="16" t="s">
        <v>63</v>
      </c>
      <c r="AM11" s="53">
        <f>COUNTIFS(Tabela2["A Olga Ri é a primeira marca que vem à mente quando penso em comprar opções quentes,"
O quanto você concorda com essa afirmação?],'Dados cruzados'!AM$2,Tabela2[Em qual das faixas etárias abaixo você se encontra?],'Dados cruzados'!$B11)</f>
        <v>16</v>
      </c>
      <c r="AN11" s="53">
        <f>COUNTIFS(Tabela2["A Olga Ri é a primeira marca que vem à mente quando penso em comprar opções quentes,"
O quanto você concorda com essa afirmação?],'Dados cruzados'!AN$2,Tabela2[Em qual das faixas etárias abaixo você se encontra?],'Dados cruzados'!$B11)</f>
        <v>2</v>
      </c>
      <c r="AO11" s="53">
        <f>COUNTIFS(Tabela2["A Olga Ri é a primeira marca que vem à mente quando penso em comprar opções quentes,"
O quanto você concorda com essa afirmação?],'Dados cruzados'!AO$2,Tabela2[Em qual das faixas etárias abaixo você se encontra?],'Dados cruzados'!$B11)</f>
        <v>2</v>
      </c>
      <c r="AP11" s="53">
        <f>COUNTIFS(Tabela2["A Olga Ri é a primeira marca que vem à mente quando penso em comprar opções quentes,"
O quanto você concorda com essa afirmação?],'Dados cruzados'!AP$2,Tabela2[Em qual das faixas etárias abaixo você se encontra?],'Dados cruzados'!$B11)</f>
        <v>1</v>
      </c>
      <c r="AQ11" s="53">
        <f>COUNTIFS(Tabela2["A Olga Ri é a primeira marca que vem à mente quando penso em comprar opções quentes,"
O quanto você concorda com essa afirmação?],'Dados cruzados'!AQ$2,Tabela2[Em qual das faixas etárias abaixo você se encontra?],'Dados cruzados'!$B11)</f>
        <v>1</v>
      </c>
      <c r="AR11" s="47">
        <f t="shared" si="33"/>
        <v>22</v>
      </c>
      <c r="AT11" s="94"/>
      <c r="AU11" s="16" t="s">
        <v>63</v>
      </c>
      <c r="AV11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cruzados'!AV$2,Tabela2[Em qual das faixas etárias abaixo você se encontra?],'Dados cruzados'!$B11)</f>
        <v>2</v>
      </c>
      <c r="AW11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cruzados'!AW$2,Tabela2[Em qual das faixas etárias abaixo você se encontra?],'Dados cruzados'!$B11)</f>
        <v>2</v>
      </c>
      <c r="AX11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cruzados'!AX$2,Tabela2[Em qual das faixas etárias abaixo você se encontra?],'Dados cruzados'!$B11)</f>
        <v>0</v>
      </c>
      <c r="AY11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cruzados'!AY$2,Tabela2[Em qual das faixas etárias abaixo você se encontra?],'Dados cruzados'!$B11)</f>
        <v>6</v>
      </c>
      <c r="AZ11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cruzados'!AZ$2,Tabela2[Em qual das faixas etárias abaixo você se encontra?],'Dados cruzados'!$B11)</f>
        <v>12</v>
      </c>
      <c r="BA11" s="47">
        <f t="shared" si="34"/>
        <v>22</v>
      </c>
      <c r="BC11" s="94"/>
      <c r="BD11" s="16" t="s">
        <v>63</v>
      </c>
      <c r="BE11" s="26">
        <f>COUNTIFS(Tabela2[Quando você considera experimentar pratos quentes na Olga Ri, quais aspectos são mais importantes para a sua decisão?],"*Ambiente e atmosfera do restaurante*",Tabela2[Em qual das faixas etárias abaixo você se encontra?],'Dados cruzados'!$B11)</f>
        <v>14</v>
      </c>
      <c r="BF11" s="26">
        <f>COUNTIFS(Tabela2[Quando você considera experimentar pratos quentes na Olga Ri, quais aspectos são mais importantes para a sua decisão?],"*Avaliação ou recomendação de influenciadores*",Tabela2[Em qual das faixas etárias abaixo você se encontra?],'Dados cruzados'!$B11)</f>
        <v>2</v>
      </c>
      <c r="BG11" s="26">
        <f>COUNTIFS(Tabela2[Quando você considera experimentar pratos quentes na Olga Ri, quais aspectos são mais importantes para a sua decisão?],"*Avaliação ou recomendação de outros clientes*",Tabela2[Em qual das faixas etárias abaixo você se encontra?],'Dados cruzados'!$B11)</f>
        <v>4</v>
      </c>
      <c r="BH11" s="26">
        <f>COUNTIFS(Tabela2[Quando você considera experimentar pratos quentes na Olga Ri, quais aspectos são mais importantes para a sua decisão?],"*Opções vegetarianas e/ou veganas de pratos quentes*",Tabela2[Em qual das faixas etárias abaixo você se encontra?],'Dados cruzados'!$B11)</f>
        <v>2</v>
      </c>
      <c r="BI11" s="26">
        <f>COUNTIFS(Tabela2[Quando você considera experimentar pratos quentes na Olga Ri, quais aspectos são mais importantes para a sua decisão?],"*Preço das opções quentes*",Tabela2[Em qual das faixas etárias abaixo você se encontra?],'Dados cruzados'!$B11)</f>
        <v>6</v>
      </c>
      <c r="BJ11" s="26">
        <f>COUNTIFS(Tabela2[Quando você considera experimentar pratos quentes na Olga Ri, quais aspectos são mais importantes para a sua decisão?],"*Tempo de espera para ser servido*",Tabela2[Em qual das faixas etárias abaixo você se encontra?],'Dados cruzados'!$B11)</f>
        <v>10</v>
      </c>
      <c r="BK11" s="26">
        <f>COUNTIFS(Tabela2[Quando você considera experimentar pratos quentes na Olga Ri, quais aspectos são mais importantes para a sua decisão?],"*Variedade de opções quentes no cardápio*",Tabela2[Em qual das faixas etárias abaixo você se encontra?],'Dados cruzados'!$B11)</f>
        <v>12</v>
      </c>
      <c r="BL11" s="26">
        <f>COUNTIFS(Tabela2[Quando você considera experimentar pratos quentes na Olga Ri, quais aspectos são mais importantes para a sua decisão?],"*Muitas opções de salada*",Tabela2[Em qual das faixas etárias abaixo você se encontra?],'Dados cruzados'!$B11)</f>
        <v>1</v>
      </c>
      <c r="BM11" s="37">
        <f t="shared" si="35"/>
        <v>51</v>
      </c>
      <c r="BO11" s="94"/>
      <c r="BP11" s="16" t="s">
        <v>63</v>
      </c>
      <c r="BQ11" s="26">
        <f>COUNTIFS(Tabela2[Qual a probabilidade de mudanças realizadas no cardápio de opções quentes influenciarem a sua decisão de compra dos bowls quentes?],'Dados cruzados'!BQ$2,Tabela2[Em qual das faixas etárias abaixo você se encontra?],'Dados cruzados'!$B11)</f>
        <v>3</v>
      </c>
      <c r="BR11" s="26">
        <f>COUNTIFS(Tabela2[Qual a probabilidade de mudanças realizadas no cardápio de opções quentes influenciarem a sua decisão de compra dos bowls quentes?],'Dados cruzados'!BR$2,Tabela2[Em qual das faixas etárias abaixo você se encontra?],'Dados cruzados'!$B11)</f>
        <v>1</v>
      </c>
      <c r="BS11" s="26">
        <f>COUNTIFS(Tabela2[Qual a probabilidade de mudanças realizadas no cardápio de opções quentes influenciarem a sua decisão de compra dos bowls quentes?],'Dados cruzados'!BS$2,Tabela2[Em qual das faixas etárias abaixo você se encontra?],'Dados cruzados'!$B11)</f>
        <v>8</v>
      </c>
      <c r="BT11" s="26">
        <f>COUNTIFS(Tabela2[Qual a probabilidade de mudanças realizadas no cardápio de opções quentes influenciarem a sua decisão de compra dos bowls quentes?],'Dados cruzados'!BT$2,Tabela2[Em qual das faixas etárias abaixo você se encontra?],'Dados cruzados'!$B11)</f>
        <v>8</v>
      </c>
      <c r="BU11" s="26">
        <f>COUNTIFS(Tabela2[Qual a probabilidade de mudanças realizadas no cardápio de opções quentes influenciarem a sua decisão de compra dos bowls quentes?],'Dados cruzados'!BU$2,Tabela2[Em qual das faixas etárias abaixo você se encontra?],'Dados cruzados'!$B11)</f>
        <v>2</v>
      </c>
      <c r="BV11" s="47">
        <f t="shared" si="36"/>
        <v>22</v>
      </c>
      <c r="BX11" s="94"/>
      <c r="BY11" s="16" t="s">
        <v>63</v>
      </c>
      <c r="BZ11" s="26">
        <f>COUNTIFS(Tabela2[Que tipo de ingredientes quentes você mais gostaria de ver nos bowls quentes da Olga RI no futuro?],"*Frango Grelhado*",Tabela2[Em qual das faixas etárias abaixo você se encontra?],'Dados cruzados'!$B11)</f>
        <v>5</v>
      </c>
      <c r="CA11" s="26">
        <f>COUNTIFS(Tabela2[Que tipo de ingredientes quentes você mais gostaria de ver nos bowls quentes da Olga RI no futuro?],"*Carne seca desfiada*",Tabela2[Em qual das faixas etárias abaixo você se encontra?],'Dados cruzados'!$B11)</f>
        <v>8</v>
      </c>
      <c r="CB11" s="26">
        <f>COUNTIFS(Tabela2[Que tipo de ingredientes quentes você mais gostaria de ver nos bowls quentes da Olga RI no futuro?],"*Filé mignon*",Tabela2[Em qual das faixas etárias abaixo você se encontra?],'Dados cruzados'!$B11)</f>
        <v>8</v>
      </c>
      <c r="CC11" s="26">
        <f>COUNTIFS(Tabela2[Que tipo de ingredientes quentes você mais gostaria de ver nos bowls quentes da Olga RI no futuro?],"*Falafel*",Tabela2[Em qual das faixas etárias abaixo você se encontra?],'Dados cruzados'!$B11)</f>
        <v>11</v>
      </c>
      <c r="CD11" s="26">
        <f>COUNTIFS(Tabela2[Que tipo de ingredientes quentes você mais gostaria de ver nos bowls quentes da Olga RI no futuro?],"*Salmão grelhado com molho teriyaki*",Tabela2[Em qual das faixas etárias abaixo você se encontra?],'Dados cruzados'!$B11)</f>
        <v>10</v>
      </c>
      <c r="CE11" s="26">
        <f>COUNTIFS(Tabela2[Que tipo de ingredientes quentes você mais gostaria de ver nos bowls quentes da Olga RI no futuro?],"*Atum selado com gergelim*",Tabela2[Em qual das faixas etárias abaixo você se encontra?],'Dados cruzados'!$B11)</f>
        <v>11</v>
      </c>
      <c r="CF11" s="26">
        <f>COUNTIFS(Tabela2[Que tipo de ingredientes quentes você mais gostaria de ver nos bowls quentes da Olga RI no futuro?],"*Bacon*",Tabela2[Em qual das faixas etárias abaixo você se encontra?],'Dados cruzados'!$B11)</f>
        <v>1</v>
      </c>
      <c r="CG11" s="60">
        <f t="shared" si="37"/>
        <v>54</v>
      </c>
      <c r="CI11" s="94"/>
      <c r="CJ11" s="16" t="s">
        <v>63</v>
      </c>
      <c r="CK11" s="26">
        <f>COUNTIFS(Tabela2[Levando em consideração que os ingredientes escolhidos por você estivessem disponíveis na próxima virada de cardápio da Olga RI, qual é a chance de você comprar esse bowl quente? ],'Dados cruzados'!CK$2,Tabela2[Em qual das faixas etárias abaixo você se encontra?],'Dados cruzados'!$B11)</f>
        <v>0</v>
      </c>
      <c r="CL11" s="26">
        <f>COUNTIFS(Tabela2[Levando em consideração que os ingredientes escolhidos por você estivessem disponíveis na próxima virada de cardápio da Olga RI, qual é a chance de você comprar esse bowl quente? ],'Dados cruzados'!CL$2,Tabela2[Em qual das faixas etárias abaixo você se encontra?],'Dados cruzados'!$B11)</f>
        <v>0</v>
      </c>
      <c r="CM11" s="26">
        <f>COUNTIFS(Tabela2[Levando em consideração que os ingredientes escolhidos por você estivessem disponíveis na próxima virada de cardápio da Olga RI, qual é a chance de você comprar esse bowl quente? ],'Dados cruzados'!CM$2,Tabela2[Em qual das faixas etárias abaixo você se encontra?],'Dados cruzados'!$B11)</f>
        <v>2</v>
      </c>
      <c r="CN11" s="26">
        <f>COUNTIFS(Tabela2[Levando em consideração que os ingredientes escolhidos por você estivessem disponíveis na próxima virada de cardápio da Olga RI, qual é a chance de você comprar esse bowl quente? ],'Dados cruzados'!CN$2,Tabela2[Em qual das faixas etárias abaixo você se encontra?],'Dados cruzados'!$B11)</f>
        <v>4</v>
      </c>
      <c r="CO11" s="26">
        <f>COUNTIFS(Tabela2[Levando em consideração que os ingredientes escolhidos por você estivessem disponíveis na próxima virada de cardápio da Olga RI, qual é a chance de você comprar esse bowl quente? ],'Dados cruzados'!CO$2,Tabela2[Em qual das faixas etárias abaixo você se encontra?],'Dados cruzados'!$B11)</f>
        <v>16</v>
      </c>
      <c r="CP11" s="47">
        <f t="shared" si="38"/>
        <v>22</v>
      </c>
      <c r="CR11" s="94"/>
      <c r="CS11" s="16" t="s">
        <v>63</v>
      </c>
      <c r="CT11" s="26">
        <f>COUNTIFS(Tabela2[Com a inclusão das novas opções de bowls quentes, qual é a probabilidade de você optar por essas opções da Olga RI em dias mais frios? ],'Dados cruzados'!CT$2,Tabela2[Em qual das faixas etárias abaixo você se encontra?],'Dados cruzados'!$B11)</f>
        <v>1</v>
      </c>
      <c r="CU11" s="26">
        <f>COUNTIFS(Tabela2[Com a inclusão das novas opções de bowls quentes, qual é a probabilidade de você optar por essas opções da Olga RI em dias mais frios? ],'Dados cruzados'!CU$2,Tabela2[Em qual das faixas etárias abaixo você se encontra?],'Dados cruzados'!$B11)</f>
        <v>1</v>
      </c>
      <c r="CV11" s="26">
        <f>COUNTIFS(Tabela2[Com a inclusão das novas opções de bowls quentes, qual é a probabilidade de você optar por essas opções da Olga RI em dias mais frios? ],'Dados cruzados'!CV$2,Tabela2[Em qual das faixas etárias abaixo você se encontra?],'Dados cruzados'!$B11)</f>
        <v>3</v>
      </c>
      <c r="CW11" s="26">
        <f>COUNTIFS(Tabela2[Com a inclusão das novas opções de bowls quentes, qual é a probabilidade de você optar por essas opções da Olga RI em dias mais frios? ],'Dados cruzados'!CW$2,Tabela2[Em qual das faixas etárias abaixo você se encontra?],'Dados cruzados'!$B11)</f>
        <v>4</v>
      </c>
      <c r="CX11" s="26">
        <f>COUNTIFS(Tabela2[Com a inclusão das novas opções de bowls quentes, qual é a probabilidade de você optar por essas opções da Olga RI em dias mais frios? ],'Dados cruzados'!CX$2,Tabela2[Em qual das faixas etárias abaixo você se encontra?],'Dados cruzados'!$B11)</f>
        <v>13</v>
      </c>
      <c r="CY11" s="76">
        <f t="shared" si="39"/>
        <v>22</v>
      </c>
    </row>
    <row r="12" spans="1:103" ht="15.6">
      <c r="A12" s="87"/>
      <c r="B12" s="29" t="s">
        <v>169</v>
      </c>
      <c r="C12" s="30">
        <f>COUNTIFS(Tabela2[Com que frequência você costuma consumir saladas na Olga Ri?],'Dados cruzados'!C2,Tabela2[Em qual das faixas etárias abaixo você se encontra?],'Dados cruzados'!$B$12)</f>
        <v>5</v>
      </c>
      <c r="D12" s="30">
        <f>COUNTIFS(Tabela2[Com que frequência você costuma consumir saladas na Olga Ri?],'Dados cruzados'!D2,Tabela2[Em qual das faixas etárias abaixo você se encontra?],'Dados cruzados'!$B$12)</f>
        <v>1</v>
      </c>
      <c r="E12" s="30">
        <f>COUNTIFS(Tabela2[Com que frequência você costuma consumir saladas na Olga Ri?],'Dados cruzados'!E2,Tabela2[Em qual das faixas etárias abaixo você se encontra?],'Dados cruzados'!$B$12)</f>
        <v>1</v>
      </c>
      <c r="F12" s="30">
        <f>COUNTIFS(Tabela2[Com que frequência você costuma consumir saladas na Olga Ri?],'Dados cruzados'!F2,Tabela2[Em qual das faixas etárias abaixo você se encontra?],'Dados cruzados'!$B$12)</f>
        <v>1</v>
      </c>
      <c r="G12" s="30">
        <f>COUNTIFS(Tabela2[Com que frequência você costuma consumir saladas na Olga Ri?],'Dados cruzados'!G2,Tabela2[Em qual das faixas etárias abaixo você se encontra?],'Dados cruzados'!$B$12)</f>
        <v>0</v>
      </c>
      <c r="H12" s="36">
        <f t="shared" si="29"/>
        <v>8</v>
      </c>
      <c r="J12" s="87"/>
      <c r="K12" s="29" t="s">
        <v>169</v>
      </c>
      <c r="L12" s="30">
        <f>COUNTIFS(Tabela2[Como você avalia o seu grau de importância do clima na escolha das refeições que você costuma adquirir?],'Dados cruzados'!L$2,Tabela2[Em qual das faixas etárias abaixo você se encontra?],'Dados cruzados'!$K12)</f>
        <v>2</v>
      </c>
      <c r="M12" s="30">
        <f>COUNTIFS(Tabela2[Como você avalia o seu grau de importância do clima na escolha das refeições que você costuma adquirir?],'Dados cruzados'!M$2,Tabela2[Em qual das faixas etárias abaixo você se encontra?],'Dados cruzados'!$K12)</f>
        <v>0</v>
      </c>
      <c r="N12" s="30">
        <f>COUNTIFS(Tabela2[Como você avalia o seu grau de importância do clima na escolha das refeições que você costuma adquirir?],'Dados cruzados'!N$2,Tabela2[Em qual das faixas etárias abaixo você se encontra?],'Dados cruzados'!$K12)</f>
        <v>1</v>
      </c>
      <c r="O12" s="30">
        <f>COUNTIFS(Tabela2[Como você avalia o seu grau de importância do clima na escolha das refeições que você costuma adquirir?],'Dados cruzados'!O$2,Tabela2[Em qual das faixas etárias abaixo você se encontra?],'Dados cruzados'!$K12)</f>
        <v>2</v>
      </c>
      <c r="P12" s="30">
        <f>COUNTIFS(Tabela2[Como você avalia o seu grau de importância do clima na escolha das refeições que você costuma adquirir?],'Dados cruzados'!P$2,Tabela2[Em qual das faixas etárias abaixo você se encontra?],'Dados cruzados'!$K12)</f>
        <v>3</v>
      </c>
      <c r="Q12" s="36">
        <f t="shared" si="30"/>
        <v>8</v>
      </c>
      <c r="S12" s="94"/>
      <c r="T12" s="29" t="s">
        <v>169</v>
      </c>
      <c r="U12" s="45">
        <f>COUNTIFS(Tabela2[Como você avalia o seu grau interesse em comprar bowls* quentes?],'Dados cruzados'!U$2,Tabela2[Em qual das faixas etárias abaixo você se encontra?],'Dados cruzados'!$K12)</f>
        <v>0</v>
      </c>
      <c r="V12" s="45">
        <f>COUNTIFS(Tabela2[Como você avalia o seu grau interesse em comprar bowls* quentes?],'Dados cruzados'!V$2,Tabela2[Em qual das faixas etárias abaixo você se encontra?],'Dados cruzados'!$K12)</f>
        <v>2</v>
      </c>
      <c r="W12" s="45">
        <f>COUNTIFS(Tabela2[Como você avalia o seu grau interesse em comprar bowls* quentes?],'Dados cruzados'!W$2,Tabela2[Em qual das faixas etárias abaixo você se encontra?],'Dados cruzados'!$K12)</f>
        <v>2</v>
      </c>
      <c r="X12" s="45">
        <f>COUNTIFS(Tabela2[Como você avalia o seu grau interesse em comprar bowls* quentes?],'Dados cruzados'!X$2,Tabela2[Em qual das faixas etárias abaixo você se encontra?],'Dados cruzados'!$K12)</f>
        <v>1</v>
      </c>
      <c r="Y12" s="45">
        <f>COUNTIFS(Tabela2[Como você avalia o seu grau interesse em comprar bowls* quentes?],'Dados cruzados'!Y$2,Tabela2[Em qual das faixas etárias abaixo você se encontra?],'Dados cruzados'!$K12)</f>
        <v>3</v>
      </c>
      <c r="Z12" s="48">
        <f t="shared" si="31"/>
        <v>8</v>
      </c>
      <c r="AB12" s="94"/>
      <c r="AC12" s="29" t="s">
        <v>169</v>
      </c>
      <c r="AD12" s="45">
        <f>COUNTIFS(Tabela2[Como você avalia o seu grau de conhecimento sobre as opções de pratos quentes oferecidos pela Olga RI?],'Dados cruzados'!AD$2,Tabela2[Em qual das faixas etárias abaixo você se encontra?],'Dados cruzados'!$B12)</f>
        <v>2</v>
      </c>
      <c r="AE12" s="45">
        <f>COUNTIFS(Tabela2[Como você avalia o seu grau de conhecimento sobre as opções de pratos quentes oferecidos pela Olga RI?],'Dados cruzados'!AE$2,Tabela2[Em qual das faixas etárias abaixo você se encontra?],'Dados cruzados'!$B12)</f>
        <v>0</v>
      </c>
      <c r="AF12" s="45">
        <f>COUNTIFS(Tabela2[Como você avalia o seu grau de conhecimento sobre as opções de pratos quentes oferecidos pela Olga RI?],'Dados cruzados'!AF$2,Tabela2[Em qual das faixas etárias abaixo você se encontra?],'Dados cruzados'!$B12)</f>
        <v>1</v>
      </c>
      <c r="AG12" s="45">
        <f>COUNTIFS(Tabela2[Como você avalia o seu grau de conhecimento sobre as opções de pratos quentes oferecidos pela Olga RI?],'Dados cruzados'!AG$2,Tabela2[Em qual das faixas etárias abaixo você se encontra?],'Dados cruzados'!$B12)</f>
        <v>1</v>
      </c>
      <c r="AH12" s="45">
        <f>COUNTIFS(Tabela2[Como você avalia o seu grau de conhecimento sobre as opções de pratos quentes oferecidos pela Olga RI?],'Dados cruzados'!AH$2,Tabela2[Em qual das faixas etárias abaixo você se encontra?],'Dados cruzados'!$B12)</f>
        <v>4</v>
      </c>
      <c r="AI12" s="48">
        <f t="shared" si="32"/>
        <v>8</v>
      </c>
      <c r="AK12" s="94"/>
      <c r="AL12" s="29" t="s">
        <v>169</v>
      </c>
      <c r="AM12" s="45">
        <f>COUNTIFS(Tabela2["A Olga Ri é a primeira marca que vem à mente quando penso em comprar opções quentes,"
O quanto você concorda com essa afirmação?],'Dados cruzados'!AM$2,Tabela2[Em qual das faixas etárias abaixo você se encontra?],'Dados cruzados'!$B12)</f>
        <v>6</v>
      </c>
      <c r="AN12" s="45">
        <f>COUNTIFS(Tabela2["A Olga Ri é a primeira marca que vem à mente quando penso em comprar opções quentes,"
O quanto você concorda com essa afirmação?],'Dados cruzados'!AN$2,Tabela2[Em qual das faixas etárias abaixo você se encontra?],'Dados cruzados'!$B12)</f>
        <v>1</v>
      </c>
      <c r="AO12" s="45">
        <f>COUNTIFS(Tabela2["A Olga Ri é a primeira marca que vem à mente quando penso em comprar opções quentes,"
O quanto você concorda com essa afirmação?],'Dados cruzados'!AO$2,Tabela2[Em qual das faixas etárias abaixo você se encontra?],'Dados cruzados'!$B12)</f>
        <v>0</v>
      </c>
      <c r="AP12" s="45">
        <f>COUNTIFS(Tabela2["A Olga Ri é a primeira marca que vem à mente quando penso em comprar opções quentes,"
O quanto você concorda com essa afirmação?],'Dados cruzados'!AP$2,Tabela2[Em qual das faixas etárias abaixo você se encontra?],'Dados cruzados'!$B12)</f>
        <v>0</v>
      </c>
      <c r="AQ12" s="45">
        <f>COUNTIFS(Tabela2["A Olga Ri é a primeira marca que vem à mente quando penso em comprar opções quentes,"
O quanto você concorda com essa afirmação?],'Dados cruzados'!AQ$2,Tabela2[Em qual das faixas etárias abaixo você se encontra?],'Dados cruzados'!$B12)</f>
        <v>1</v>
      </c>
      <c r="AR12" s="48">
        <f t="shared" si="33"/>
        <v>8</v>
      </c>
      <c r="AT12" s="94"/>
      <c r="AU12" s="29" t="s">
        <v>169</v>
      </c>
      <c r="AV12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cruzados'!AV$2,Tabela2[Em qual das faixas etárias abaixo você se encontra?],'Dados cruzados'!$B12)</f>
        <v>0</v>
      </c>
      <c r="AW12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cruzados'!AW$2,Tabela2[Em qual das faixas etárias abaixo você se encontra?],'Dados cruzados'!$B12)</f>
        <v>0</v>
      </c>
      <c r="AX12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cruzados'!AX$2,Tabela2[Em qual das faixas etárias abaixo você se encontra?],'Dados cruzados'!$B12)</f>
        <v>2</v>
      </c>
      <c r="AY12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cruzados'!AY$2,Tabela2[Em qual das faixas etárias abaixo você se encontra?],'Dados cruzados'!$B12)</f>
        <v>2</v>
      </c>
      <c r="AZ12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cruzados'!AZ$2,Tabela2[Em qual das faixas etárias abaixo você se encontra?],'Dados cruzados'!$B12)</f>
        <v>4</v>
      </c>
      <c r="BA12" s="48">
        <f t="shared" si="34"/>
        <v>8</v>
      </c>
      <c r="BC12" s="94"/>
      <c r="BD12" s="29" t="s">
        <v>169</v>
      </c>
      <c r="BE12" s="30">
        <f>COUNTIFS(Tabela2[Quando você considera experimentar pratos quentes na Olga Ri, quais aspectos são mais importantes para a sua decisão?],"*Ambiente e atmosfera do restaurante*",Tabela2[Em qual das faixas etárias abaixo você se encontra?],'Dados cruzados'!$B12)</f>
        <v>4</v>
      </c>
      <c r="BF12" s="30">
        <f>COUNTIFS(Tabela2[Quando você considera experimentar pratos quentes na Olga Ri, quais aspectos são mais importantes para a sua decisão?],"*Avaliação ou recomendação de influenciadores*",Tabela2[Em qual das faixas etárias abaixo você se encontra?],'Dados cruzados'!$B12)</f>
        <v>0</v>
      </c>
      <c r="BG12" s="30">
        <f>COUNTIFS(Tabela2[Quando você considera experimentar pratos quentes na Olga Ri, quais aspectos são mais importantes para a sua decisão?],"*Avaliação ou recomendação de outros clientes*",Tabela2[Em qual das faixas etárias abaixo você se encontra?],'Dados cruzados'!$B12)</f>
        <v>2</v>
      </c>
      <c r="BH12" s="30">
        <f>COUNTIFS(Tabela2[Quando você considera experimentar pratos quentes na Olga Ri, quais aspectos são mais importantes para a sua decisão?],"*Opções vegetarianas e/ou veganas de pratos quentes*",Tabela2[Em qual das faixas etárias abaixo você se encontra?],'Dados cruzados'!$B12)</f>
        <v>1</v>
      </c>
      <c r="BI12" s="30">
        <f>COUNTIFS(Tabela2[Quando você considera experimentar pratos quentes na Olga Ri, quais aspectos são mais importantes para a sua decisão?],"*Preço das opções quentes*",Tabela2[Em qual das faixas etárias abaixo você se encontra?],'Dados cruzados'!$B12)</f>
        <v>2</v>
      </c>
      <c r="BJ12" s="30">
        <f>COUNTIFS(Tabela2[Quando você considera experimentar pratos quentes na Olga Ri, quais aspectos são mais importantes para a sua decisão?],"*Tempo de espera para ser servido*",Tabela2[Em qual das faixas etárias abaixo você se encontra?],'Dados cruzados'!$B12)</f>
        <v>2</v>
      </c>
      <c r="BK12" s="30">
        <f>COUNTIFS(Tabela2[Quando você considera experimentar pratos quentes na Olga Ri, quais aspectos são mais importantes para a sua decisão?],"*Variedade de opções quentes no cardápio*",Tabela2[Em qual das faixas etárias abaixo você se encontra?],'Dados cruzados'!$B12)</f>
        <v>6</v>
      </c>
      <c r="BL12" s="30">
        <f>COUNTIFS(Tabela2[Quando você considera experimentar pratos quentes na Olga Ri, quais aspectos são mais importantes para a sua decisão?],"*Muitas opções de salada*",Tabela2[Em qual das faixas etárias abaixo você se encontra?],'Dados cruzados'!$B12)</f>
        <v>0</v>
      </c>
      <c r="BM12" s="36">
        <f t="shared" si="35"/>
        <v>17</v>
      </c>
      <c r="BO12" s="94"/>
      <c r="BP12" s="29" t="s">
        <v>169</v>
      </c>
      <c r="BQ12" s="30">
        <f>COUNTIFS(Tabela2[Qual a probabilidade de mudanças realizadas no cardápio de opções quentes influenciarem a sua decisão de compra dos bowls quentes?],'Dados cruzados'!BQ$2,Tabela2[Em qual das faixas etárias abaixo você se encontra?],'Dados cruzados'!$B12)</f>
        <v>1</v>
      </c>
      <c r="BR12" s="30">
        <f>COUNTIFS(Tabela2[Qual a probabilidade de mudanças realizadas no cardápio de opções quentes influenciarem a sua decisão de compra dos bowls quentes?],'Dados cruzados'!BR$2,Tabela2[Em qual das faixas etárias abaixo você se encontra?],'Dados cruzados'!$B12)</f>
        <v>1</v>
      </c>
      <c r="BS12" s="30">
        <f>COUNTIFS(Tabela2[Qual a probabilidade de mudanças realizadas no cardápio de opções quentes influenciarem a sua decisão de compra dos bowls quentes?],'Dados cruzados'!BS$2,Tabela2[Em qual das faixas etárias abaixo você se encontra?],'Dados cruzados'!$B12)</f>
        <v>1</v>
      </c>
      <c r="BT12" s="30">
        <f>COUNTIFS(Tabela2[Qual a probabilidade de mudanças realizadas no cardápio de opções quentes influenciarem a sua decisão de compra dos bowls quentes?],'Dados cruzados'!BT$2,Tabela2[Em qual das faixas etárias abaixo você se encontra?],'Dados cruzados'!$B12)</f>
        <v>1</v>
      </c>
      <c r="BU12" s="30">
        <f>COUNTIFS(Tabela2[Qual a probabilidade de mudanças realizadas no cardápio de opções quentes influenciarem a sua decisão de compra dos bowls quentes?],'Dados cruzados'!BU$2,Tabela2[Em qual das faixas etárias abaixo você se encontra?],'Dados cruzados'!$B12)</f>
        <v>4</v>
      </c>
      <c r="BV12" s="48">
        <f t="shared" si="36"/>
        <v>8</v>
      </c>
      <c r="BX12" s="94"/>
      <c r="BY12" s="29" t="s">
        <v>169</v>
      </c>
      <c r="BZ12" s="30">
        <f>COUNTIFS(Tabela2[Que tipo de ingredientes quentes você mais gostaria de ver nos bowls quentes da Olga RI no futuro?],"*Frango Grelhado*",Tabela2[Em qual das faixas etárias abaixo você se encontra?],'Dados cruzados'!$B12)</f>
        <v>1</v>
      </c>
      <c r="CA12" s="30">
        <f>COUNTIFS(Tabela2[Que tipo de ingredientes quentes você mais gostaria de ver nos bowls quentes da Olga RI no futuro?],"*Carne seca desfiada*",Tabela2[Em qual das faixas etárias abaixo você se encontra?],'Dados cruzados'!$B12)</f>
        <v>1</v>
      </c>
      <c r="CB12" s="30">
        <f>COUNTIFS(Tabela2[Que tipo de ingredientes quentes você mais gostaria de ver nos bowls quentes da Olga RI no futuro?],"*Filé mignon*",Tabela2[Em qual das faixas etárias abaixo você se encontra?],'Dados cruzados'!$B12)</f>
        <v>4</v>
      </c>
      <c r="CC12" s="30">
        <f>COUNTIFS(Tabela2[Que tipo de ingredientes quentes você mais gostaria de ver nos bowls quentes da Olga RI no futuro?],"*Falafel*",Tabela2[Em qual das faixas etárias abaixo você se encontra?],'Dados cruzados'!$B12)</f>
        <v>2</v>
      </c>
      <c r="CD12" s="30">
        <f>COUNTIFS(Tabela2[Que tipo de ingredientes quentes você mais gostaria de ver nos bowls quentes da Olga RI no futuro?],"*Salmão grelhado com molho teriyaki*",Tabela2[Em qual das faixas etárias abaixo você se encontra?],'Dados cruzados'!$B12)</f>
        <v>5</v>
      </c>
      <c r="CE12" s="30">
        <f>COUNTIFS(Tabela2[Que tipo de ingredientes quentes você mais gostaria de ver nos bowls quentes da Olga RI no futuro?],"*Atum selado com gergelim*",Tabela2[Em qual das faixas etárias abaixo você se encontra?],'Dados cruzados'!$B12)</f>
        <v>6</v>
      </c>
      <c r="CF12" s="30">
        <f>COUNTIFS(Tabela2[Que tipo de ingredientes quentes você mais gostaria de ver nos bowls quentes da Olga RI no futuro?],"*Tilápia*",Tabela2[Em qual das faixas etárias abaixo você se encontra?],'Dados cruzados'!$B12)</f>
        <v>1</v>
      </c>
      <c r="CG12" s="46">
        <f t="shared" si="37"/>
        <v>20</v>
      </c>
      <c r="CI12" s="94"/>
      <c r="CJ12" s="29" t="s">
        <v>169</v>
      </c>
      <c r="CK12" s="30">
        <f>COUNTIFS(Tabela2[Levando em consideração que os ingredientes escolhidos por você estivessem disponíveis na próxima virada de cardápio da Olga RI, qual é a chance de você comprar esse bowl quente? ],'Dados cruzados'!CK$2,Tabela2[Em qual das faixas etárias abaixo você se encontra?],'Dados cruzados'!$B12)</f>
        <v>1</v>
      </c>
      <c r="CL12" s="30">
        <f>COUNTIFS(Tabela2[Levando em consideração que os ingredientes escolhidos por você estivessem disponíveis na próxima virada de cardápio da Olga RI, qual é a chance de você comprar esse bowl quente? ],'Dados cruzados'!CL$2,Tabela2[Em qual das faixas etárias abaixo você se encontra?],'Dados cruzados'!$B12)</f>
        <v>0</v>
      </c>
      <c r="CM12" s="30">
        <f>COUNTIFS(Tabela2[Levando em consideração que os ingredientes escolhidos por você estivessem disponíveis na próxima virada de cardápio da Olga RI, qual é a chance de você comprar esse bowl quente? ],'Dados cruzados'!CM$2,Tabela2[Em qual das faixas etárias abaixo você se encontra?],'Dados cruzados'!$B12)</f>
        <v>0</v>
      </c>
      <c r="CN12" s="30">
        <f>COUNTIFS(Tabela2[Levando em consideração que os ingredientes escolhidos por você estivessem disponíveis na próxima virada de cardápio da Olga RI, qual é a chance de você comprar esse bowl quente? ],'Dados cruzados'!CN$2,Tabela2[Em qual das faixas etárias abaixo você se encontra?],'Dados cruzados'!$B12)</f>
        <v>3</v>
      </c>
      <c r="CO12" s="30">
        <f>COUNTIFS(Tabela2[Levando em consideração que os ingredientes escolhidos por você estivessem disponíveis na próxima virada de cardápio da Olga RI, qual é a chance de você comprar esse bowl quente? ],'Dados cruzados'!CO$2,Tabela2[Em qual das faixas etárias abaixo você se encontra?],'Dados cruzados'!$B12)</f>
        <v>4</v>
      </c>
      <c r="CP12" s="48">
        <f t="shared" si="38"/>
        <v>8</v>
      </c>
      <c r="CR12" s="94"/>
      <c r="CS12" s="29" t="s">
        <v>169</v>
      </c>
      <c r="CT12" s="30">
        <f>COUNTIFS(Tabela2[Com a inclusão das novas opções de bowls quentes, qual é a probabilidade de você optar por essas opções da Olga RI em dias mais frios? ],'Dados cruzados'!CT$2,Tabela2[Em qual das faixas etárias abaixo você se encontra?],'Dados cruzados'!$B12)</f>
        <v>0</v>
      </c>
      <c r="CU12" s="30">
        <f>COUNTIFS(Tabela2[Com a inclusão das novas opções de bowls quentes, qual é a probabilidade de você optar por essas opções da Olga RI em dias mais frios? ],'Dados cruzados'!CU$2,Tabela2[Em qual das faixas etárias abaixo você se encontra?],'Dados cruzados'!$B12)</f>
        <v>0</v>
      </c>
      <c r="CV12" s="30">
        <f>COUNTIFS(Tabela2[Com a inclusão das novas opções de bowls quentes, qual é a probabilidade de você optar por essas opções da Olga RI em dias mais frios? ],'Dados cruzados'!CV$2,Tabela2[Em qual das faixas etárias abaixo você se encontra?],'Dados cruzados'!$B12)</f>
        <v>1</v>
      </c>
      <c r="CW12" s="30">
        <f>COUNTIFS(Tabela2[Com a inclusão das novas opções de bowls quentes, qual é a probabilidade de você optar por essas opções da Olga RI em dias mais frios? ],'Dados cruzados'!CW$2,Tabela2[Em qual das faixas etárias abaixo você se encontra?],'Dados cruzados'!$B12)</f>
        <v>2</v>
      </c>
      <c r="CX12" s="30">
        <f>COUNTIFS(Tabela2[Com a inclusão das novas opções de bowls quentes, qual é a probabilidade de você optar por essas opções da Olga RI em dias mais frios? ],'Dados cruzados'!CX$2,Tabela2[Em qual das faixas etárias abaixo você se encontra?],'Dados cruzados'!$B12)</f>
        <v>5</v>
      </c>
      <c r="CY12" s="75">
        <f t="shared" si="39"/>
        <v>8</v>
      </c>
    </row>
    <row r="13" spans="1:103" ht="15.6">
      <c r="A13" s="87"/>
      <c r="B13" s="16" t="s">
        <v>364</v>
      </c>
      <c r="C13" s="26">
        <f>COUNTIFS(Tabela2[Com que frequência você costuma consumir saladas na Olga Ri?],'Dados cruzados'!C2,Tabela2[Em qual das faixas etárias abaixo você se encontra?],'Dados cruzados'!$B$13)</f>
        <v>0</v>
      </c>
      <c r="D13" s="26">
        <f>COUNTIFS(Tabela2[Com que frequência você costuma consumir saladas na Olga Ri?],'Dados cruzados'!D2,Tabela2[Em qual das faixas etárias abaixo você se encontra?],'Dados cruzados'!$B$13)</f>
        <v>0</v>
      </c>
      <c r="E13" s="26">
        <f>COUNTIFS(Tabela2[Com que frequência você costuma consumir saladas na Olga Ri?],'Dados cruzados'!E2,Tabela2[Em qual das faixas etárias abaixo você se encontra?],'Dados cruzados'!$B$13)</f>
        <v>0</v>
      </c>
      <c r="F13" s="26">
        <f>COUNTIFS(Tabela2[Com que frequência você costuma consumir saladas na Olga Ri?],'Dados cruzados'!F2,Tabela2[Em qual das faixas etárias abaixo você se encontra?],'Dados cruzados'!$B$13)</f>
        <v>0</v>
      </c>
      <c r="G13" s="26">
        <f>COUNTIFS(Tabela2[Com que frequência você costuma consumir saladas na Olga Ri?],'Dados cruzados'!G2,Tabela2[Em qual das faixas etárias abaixo você se encontra?],'Dados cruzados'!$B$13)</f>
        <v>0</v>
      </c>
      <c r="H13" s="37">
        <f t="shared" si="29"/>
        <v>0</v>
      </c>
      <c r="J13" s="87"/>
      <c r="K13" s="16" t="s">
        <v>364</v>
      </c>
      <c r="L13" s="26">
        <f>COUNTIFS(Tabela2[Como você avalia o seu grau de importância do clima na escolha das refeições que você costuma adquirir?],'Dados cruzados'!L$2,Tabela2[Em qual das faixas etárias abaixo você se encontra?],'Dados cruzados'!$K13)</f>
        <v>0</v>
      </c>
      <c r="M13" s="26">
        <f>COUNTIFS(Tabela2[Como você avalia o seu grau de importância do clima na escolha das refeições que você costuma adquirir?],'Dados cruzados'!M$2,Tabela2[Em qual das faixas etárias abaixo você se encontra?],'Dados cruzados'!$K13)</f>
        <v>0</v>
      </c>
      <c r="N13" s="26">
        <f>COUNTIFS(Tabela2[Como você avalia o seu grau de importância do clima na escolha das refeições que você costuma adquirir?],'Dados cruzados'!N$2,Tabela2[Em qual das faixas etárias abaixo você se encontra?],'Dados cruzados'!$K13)</f>
        <v>0</v>
      </c>
      <c r="O13" s="26">
        <f>COUNTIFS(Tabela2[Como você avalia o seu grau de importância do clima na escolha das refeições que você costuma adquirir?],'Dados cruzados'!O$2,Tabela2[Em qual das faixas etárias abaixo você se encontra?],'Dados cruzados'!$K13)</f>
        <v>0</v>
      </c>
      <c r="P13" s="26">
        <f>COUNTIFS(Tabela2[Como você avalia o seu grau de importância do clima na escolha das refeições que você costuma adquirir?],'Dados cruzados'!P$2,Tabela2[Em qual das faixas etárias abaixo você se encontra?],'Dados cruzados'!$K13)</f>
        <v>0</v>
      </c>
      <c r="Q13" s="37">
        <f t="shared" si="30"/>
        <v>0</v>
      </c>
      <c r="S13" s="94"/>
      <c r="T13" s="16" t="s">
        <v>364</v>
      </c>
      <c r="U13" s="53">
        <f>COUNTIFS(Tabela2[Como você avalia o seu grau interesse em comprar bowls* quentes?],'Dados cruzados'!U$2,Tabela2[Em qual das faixas etárias abaixo você se encontra?],'Dados cruzados'!$K13)</f>
        <v>0</v>
      </c>
      <c r="V13" s="53">
        <f>COUNTIFS(Tabela2[Como você avalia o seu grau interesse em comprar bowls* quentes?],'Dados cruzados'!V$2,Tabela2[Em qual das faixas etárias abaixo você se encontra?],'Dados cruzados'!$K13)</f>
        <v>0</v>
      </c>
      <c r="W13" s="53">
        <f>COUNTIFS(Tabela2[Como você avalia o seu grau interesse em comprar bowls* quentes?],'Dados cruzados'!W$2,Tabela2[Em qual das faixas etárias abaixo você se encontra?],'Dados cruzados'!$K13)</f>
        <v>0</v>
      </c>
      <c r="X13" s="53">
        <f>COUNTIFS(Tabela2[Como você avalia o seu grau interesse em comprar bowls* quentes?],'Dados cruzados'!X$2,Tabela2[Em qual das faixas etárias abaixo você se encontra?],'Dados cruzados'!$K13)</f>
        <v>0</v>
      </c>
      <c r="Y13" s="53">
        <f>COUNTIFS(Tabela2[Como você avalia o seu grau interesse em comprar bowls* quentes?],'Dados cruzados'!Y$2,Tabela2[Em qual das faixas etárias abaixo você se encontra?],'Dados cruzados'!$K13)</f>
        <v>0</v>
      </c>
      <c r="Z13" s="47">
        <f t="shared" si="31"/>
        <v>0</v>
      </c>
      <c r="AB13" s="94"/>
      <c r="AC13" s="16" t="s">
        <v>364</v>
      </c>
      <c r="AD13" s="53">
        <f>COUNTIFS(Tabela2[Como você avalia o seu grau de conhecimento sobre as opções de pratos quentes oferecidos pela Olga RI?],'Dados cruzados'!AD$2,Tabela2[Em qual das faixas etárias abaixo você se encontra?],'Dados cruzados'!$B13)</f>
        <v>0</v>
      </c>
      <c r="AE13" s="53">
        <f>COUNTIFS(Tabela2[Como você avalia o seu grau de conhecimento sobre as opções de pratos quentes oferecidos pela Olga RI?],'Dados cruzados'!AE$2,Tabela2[Em qual das faixas etárias abaixo você se encontra?],'Dados cruzados'!$B13)</f>
        <v>0</v>
      </c>
      <c r="AF13" s="53">
        <f>COUNTIFS(Tabela2[Como você avalia o seu grau de conhecimento sobre as opções de pratos quentes oferecidos pela Olga RI?],'Dados cruzados'!AF$2,Tabela2[Em qual das faixas etárias abaixo você se encontra?],'Dados cruzados'!$B13)</f>
        <v>0</v>
      </c>
      <c r="AG13" s="53">
        <f>COUNTIFS(Tabela2[Como você avalia o seu grau de conhecimento sobre as opções de pratos quentes oferecidos pela Olga RI?],'Dados cruzados'!AG$2,Tabela2[Em qual das faixas etárias abaixo você se encontra?],'Dados cruzados'!$B13)</f>
        <v>0</v>
      </c>
      <c r="AH13" s="53">
        <f>COUNTIFS(Tabela2[Como você avalia o seu grau de conhecimento sobre as opções de pratos quentes oferecidos pela Olga RI?],'Dados cruzados'!AH$2,Tabela2[Em qual das faixas etárias abaixo você se encontra?],'Dados cruzados'!$B13)</f>
        <v>0</v>
      </c>
      <c r="AI13" s="47">
        <f t="shared" si="32"/>
        <v>0</v>
      </c>
      <c r="AK13" s="94"/>
      <c r="AL13" s="16" t="s">
        <v>364</v>
      </c>
      <c r="AM13" s="53">
        <f>COUNTIFS(Tabela2["A Olga Ri é a primeira marca que vem à mente quando penso em comprar opções quentes,"
O quanto você concorda com essa afirmação?],'Dados cruzados'!AM$2,Tabela2[Em qual das faixas etárias abaixo você se encontra?],'Dados cruzados'!$B13)</f>
        <v>0</v>
      </c>
      <c r="AN13" s="53">
        <f>COUNTIFS(Tabela2["A Olga Ri é a primeira marca que vem à mente quando penso em comprar opções quentes,"
O quanto você concorda com essa afirmação?],'Dados cruzados'!AN$2,Tabela2[Em qual das faixas etárias abaixo você se encontra?],'Dados cruzados'!$B13)</f>
        <v>0</v>
      </c>
      <c r="AO13" s="53">
        <f>COUNTIFS(Tabela2["A Olga Ri é a primeira marca que vem à mente quando penso em comprar opções quentes,"
O quanto você concorda com essa afirmação?],'Dados cruzados'!AO$2,Tabela2[Em qual das faixas etárias abaixo você se encontra?],'Dados cruzados'!$B13)</f>
        <v>0</v>
      </c>
      <c r="AP13" s="53">
        <f>COUNTIFS(Tabela2["A Olga Ri é a primeira marca que vem à mente quando penso em comprar opções quentes,"
O quanto você concorda com essa afirmação?],'Dados cruzados'!AP$2,Tabela2[Em qual das faixas etárias abaixo você se encontra?],'Dados cruzados'!$B13)</f>
        <v>0</v>
      </c>
      <c r="AQ13" s="53">
        <f>COUNTIFS(Tabela2["A Olga Ri é a primeira marca que vem à mente quando penso em comprar opções quentes,"
O quanto você concorda com essa afirmação?],'Dados cruzados'!AQ$2,Tabela2[Em qual das faixas etárias abaixo você se encontra?],'Dados cruzados'!$B13)</f>
        <v>0</v>
      </c>
      <c r="AR13" s="47">
        <f t="shared" si="33"/>
        <v>0</v>
      </c>
      <c r="AT13" s="94"/>
      <c r="AU13" s="16" t="s">
        <v>364</v>
      </c>
      <c r="AV13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cruzados'!AV$2,Tabela2[Em qual das faixas etárias abaixo você se encontra?],'Dados cruzados'!$B13)</f>
        <v>0</v>
      </c>
      <c r="AW13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cruzados'!AW$2,Tabela2[Em qual das faixas etárias abaixo você se encontra?],'Dados cruzados'!$B13)</f>
        <v>0</v>
      </c>
      <c r="AX13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cruzados'!AX$2,Tabela2[Em qual das faixas etárias abaixo você se encontra?],'Dados cruzados'!$B13)</f>
        <v>0</v>
      </c>
      <c r="AY13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cruzados'!AY$2,Tabela2[Em qual das faixas etárias abaixo você se encontra?],'Dados cruzados'!$B13)</f>
        <v>0</v>
      </c>
      <c r="AZ13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cruzados'!AZ$2,Tabela2[Em qual das faixas etárias abaixo você se encontra?],'Dados cruzados'!$B13)</f>
        <v>0</v>
      </c>
      <c r="BA13" s="47">
        <f t="shared" si="34"/>
        <v>0</v>
      </c>
      <c r="BC13" s="94"/>
      <c r="BD13" s="16" t="s">
        <v>364</v>
      </c>
      <c r="BE13" s="26">
        <f>COUNTIFS(Tabela2[Quando você considera experimentar pratos quentes na Olga Ri, quais aspectos são mais importantes para a sua decisão?],"*Ambiente e atmosfera do restaurante*",Tabela2[Em qual das faixas etárias abaixo você se encontra?],'Dados cruzados'!$B13)</f>
        <v>0</v>
      </c>
      <c r="BF13" s="26">
        <f>COUNTIFS(Tabela2[Quando você considera experimentar pratos quentes na Olga Ri, quais aspectos são mais importantes para a sua decisão?],"*Avaliação ou recomendação de influenciadores*",Tabela2[Em qual das faixas etárias abaixo você se encontra?],'Dados cruzados'!$B13)</f>
        <v>0</v>
      </c>
      <c r="BG13" s="26">
        <f>COUNTIFS(Tabela2[Quando você considera experimentar pratos quentes na Olga Ri, quais aspectos são mais importantes para a sua decisão?],"*Avaliação ou recomendação de outros clientes*",Tabela2[Em qual das faixas etárias abaixo você se encontra?],'Dados cruzados'!$B13)</f>
        <v>0</v>
      </c>
      <c r="BH13" s="26">
        <f>COUNTIFS(Tabela2[Quando você considera experimentar pratos quentes na Olga Ri, quais aspectos são mais importantes para a sua decisão?],"*Opções vegetarianas e/ou veganas de pratos quentes*",Tabela2[Em qual das faixas etárias abaixo você se encontra?],'Dados cruzados'!$B13)</f>
        <v>0</v>
      </c>
      <c r="BI13" s="26">
        <f>COUNTIFS(Tabela2[Quando você considera experimentar pratos quentes na Olga Ri, quais aspectos são mais importantes para a sua decisão?],"*Preço das opções quentes*",Tabela2[Em qual das faixas etárias abaixo você se encontra?],'Dados cruzados'!$B13)</f>
        <v>0</v>
      </c>
      <c r="BJ13" s="26">
        <f>COUNTIFS(Tabela2[Quando você considera experimentar pratos quentes na Olga Ri, quais aspectos são mais importantes para a sua decisão?],"*Tempo de espera para ser servido*",Tabela2[Em qual das faixas etárias abaixo você se encontra?],'Dados cruzados'!$B13)</f>
        <v>0</v>
      </c>
      <c r="BK13" s="26">
        <f>COUNTIFS(Tabela2[Quando você considera experimentar pratos quentes na Olga Ri, quais aspectos são mais importantes para a sua decisão?],"*Variedade de opções quentes no cardápio*",Tabela2[Em qual das faixas etárias abaixo você se encontra?],'Dados cruzados'!$B13)</f>
        <v>0</v>
      </c>
      <c r="BL13" s="26">
        <f>COUNTIFS(Tabela2[Quando você considera experimentar pratos quentes na Olga Ri, quais aspectos são mais importantes para a sua decisão?],"*Muitas opções de salada*",Tabela2[Em qual das faixas etárias abaixo você se encontra?],'Dados cruzados'!$B13)</f>
        <v>0</v>
      </c>
      <c r="BM13" s="37">
        <f t="shared" si="35"/>
        <v>0</v>
      </c>
      <c r="BO13" s="94"/>
      <c r="BP13" s="16" t="s">
        <v>364</v>
      </c>
      <c r="BQ13" s="26">
        <f>COUNTIFS(Tabela2[Qual a probabilidade de mudanças realizadas no cardápio de opções quentes influenciarem a sua decisão de compra dos bowls quentes?],'Dados cruzados'!BQ$2,Tabela2[Em qual das faixas etárias abaixo você se encontra?],'Dados cruzados'!$B13)</f>
        <v>0</v>
      </c>
      <c r="BR13" s="26">
        <f>COUNTIFS(Tabela2[Qual a probabilidade de mudanças realizadas no cardápio de opções quentes influenciarem a sua decisão de compra dos bowls quentes?],'Dados cruzados'!BR$2,Tabela2[Em qual das faixas etárias abaixo você se encontra?],'Dados cruzados'!$B13)</f>
        <v>0</v>
      </c>
      <c r="BS13" s="26">
        <f>COUNTIFS(Tabela2[Qual a probabilidade de mudanças realizadas no cardápio de opções quentes influenciarem a sua decisão de compra dos bowls quentes?],'Dados cruzados'!BS$2,Tabela2[Em qual das faixas etárias abaixo você se encontra?],'Dados cruzados'!$B13)</f>
        <v>0</v>
      </c>
      <c r="BT13" s="26">
        <f>COUNTIFS(Tabela2[Qual a probabilidade de mudanças realizadas no cardápio de opções quentes influenciarem a sua decisão de compra dos bowls quentes?],'Dados cruzados'!BT$2,Tabela2[Em qual das faixas etárias abaixo você se encontra?],'Dados cruzados'!$B13)</f>
        <v>0</v>
      </c>
      <c r="BU13" s="26">
        <f>COUNTIFS(Tabela2[Qual a probabilidade de mudanças realizadas no cardápio de opções quentes influenciarem a sua decisão de compra dos bowls quentes?],'Dados cruzados'!BU$2,Tabela2[Em qual das faixas etárias abaixo você se encontra?],'Dados cruzados'!$B13)</f>
        <v>0</v>
      </c>
      <c r="BV13" s="47">
        <f t="shared" si="36"/>
        <v>0</v>
      </c>
      <c r="BX13" s="94"/>
      <c r="BY13" s="16" t="s">
        <v>364</v>
      </c>
      <c r="BZ13" s="26">
        <f>COUNTIFS(Tabela2[Que tipo de ingredientes quentes você mais gostaria de ver nos bowls quentes da Olga RI no futuro?],"*Frango Grelhado*",Tabela2[Em qual das faixas etárias abaixo você se encontra?],'Dados cruzados'!$B13)</f>
        <v>0</v>
      </c>
      <c r="CA13" s="26">
        <f>COUNTIFS(Tabela2[Que tipo de ingredientes quentes você mais gostaria de ver nos bowls quentes da Olga RI no futuro?],"*Carne seca desfiada*",Tabela2[Em qual das faixas etárias abaixo você se encontra?],'Dados cruzados'!$B13)</f>
        <v>0</v>
      </c>
      <c r="CB13" s="26">
        <f>COUNTIFS(Tabela2[Que tipo de ingredientes quentes você mais gostaria de ver nos bowls quentes da Olga RI no futuro?],"*Filé mignon*",Tabela2[Em qual das faixas etárias abaixo você se encontra?],'Dados cruzados'!$B13)</f>
        <v>0</v>
      </c>
      <c r="CC13" s="26">
        <f>COUNTIFS(Tabela2[Que tipo de ingredientes quentes você mais gostaria de ver nos bowls quentes da Olga RI no futuro?],"*Falafel*",Tabela2[Em qual das faixas etárias abaixo você se encontra?],'Dados cruzados'!$B13)</f>
        <v>0</v>
      </c>
      <c r="CD13" s="26">
        <f>COUNTIFS(Tabela2[Que tipo de ingredientes quentes você mais gostaria de ver nos bowls quentes da Olga RI no futuro?],"*Salmão grelhado com molho teriyaki*",Tabela2[Em qual das faixas etárias abaixo você se encontra?],'Dados cruzados'!$B13)</f>
        <v>0</v>
      </c>
      <c r="CE13" s="26">
        <f>COUNTIFS(Tabela2[Que tipo de ingredientes quentes você mais gostaria de ver nos bowls quentes da Olga RI no futuro?],"*Atum selado com gergelim*",Tabela2[Em qual das faixas etárias abaixo você se encontra?],'Dados cruzados'!$B13)</f>
        <v>0</v>
      </c>
      <c r="CF13" s="26">
        <f>COUNTIFS(Tabela2[Que tipo de ingredientes quentes você mais gostaria de ver nos bowls quentes da Olga RI no futuro?],"*Massas*",Tabela2[Em qual das faixas etárias abaixo você se encontra?],'Dados cruzados'!$B13)</f>
        <v>0</v>
      </c>
      <c r="CG13" s="60">
        <f t="shared" si="37"/>
        <v>0</v>
      </c>
      <c r="CI13" s="94"/>
      <c r="CJ13" s="16" t="s">
        <v>364</v>
      </c>
      <c r="CK13" s="26">
        <f>COUNTIFS(Tabela2[Levando em consideração que os ingredientes escolhidos por você estivessem disponíveis na próxima virada de cardápio da Olga RI, qual é a chance de você comprar esse bowl quente? ],'Dados cruzados'!CK$2,Tabela2[Em qual das faixas etárias abaixo você se encontra?],'Dados cruzados'!$B13)</f>
        <v>0</v>
      </c>
      <c r="CL13" s="26">
        <f>COUNTIFS(Tabela2[Levando em consideração que os ingredientes escolhidos por você estivessem disponíveis na próxima virada de cardápio da Olga RI, qual é a chance de você comprar esse bowl quente? ],'Dados cruzados'!CL$2,Tabela2[Em qual das faixas etárias abaixo você se encontra?],'Dados cruzados'!$B13)</f>
        <v>0</v>
      </c>
      <c r="CM13" s="26">
        <f>COUNTIFS(Tabela2[Levando em consideração que os ingredientes escolhidos por você estivessem disponíveis na próxima virada de cardápio da Olga RI, qual é a chance de você comprar esse bowl quente? ],'Dados cruzados'!CM$2,Tabela2[Em qual das faixas etárias abaixo você se encontra?],'Dados cruzados'!$B13)</f>
        <v>0</v>
      </c>
      <c r="CN13" s="26">
        <f>COUNTIFS(Tabela2[Levando em consideração que os ingredientes escolhidos por você estivessem disponíveis na próxima virada de cardápio da Olga RI, qual é a chance de você comprar esse bowl quente? ],'Dados cruzados'!CN$2,Tabela2[Em qual das faixas etárias abaixo você se encontra?],'Dados cruzados'!$B13)</f>
        <v>0</v>
      </c>
      <c r="CO13" s="26">
        <f>COUNTIFS(Tabela2[Levando em consideração que os ingredientes escolhidos por você estivessem disponíveis na próxima virada de cardápio da Olga RI, qual é a chance de você comprar esse bowl quente? ],'Dados cruzados'!CO$2,Tabela2[Em qual das faixas etárias abaixo você se encontra?],'Dados cruzados'!$B13)</f>
        <v>0</v>
      </c>
      <c r="CP13" s="47">
        <f t="shared" si="38"/>
        <v>0</v>
      </c>
      <c r="CR13" s="94"/>
      <c r="CS13" s="16" t="s">
        <v>364</v>
      </c>
      <c r="CT13" s="26">
        <f>COUNTIFS(Tabela2[Com a inclusão das novas opções de bowls quentes, qual é a probabilidade de você optar por essas opções da Olga RI em dias mais frios? ],'Dados cruzados'!CT$2,Tabela2[Em qual das faixas etárias abaixo você se encontra?],'Dados cruzados'!$B13)</f>
        <v>0</v>
      </c>
      <c r="CU13" s="26">
        <f>COUNTIFS(Tabela2[Com a inclusão das novas opções de bowls quentes, qual é a probabilidade de você optar por essas opções da Olga RI em dias mais frios? ],'Dados cruzados'!CU$2,Tabela2[Em qual das faixas etárias abaixo você se encontra?],'Dados cruzados'!$B13)</f>
        <v>0</v>
      </c>
      <c r="CV13" s="26">
        <f>COUNTIFS(Tabela2[Com a inclusão das novas opções de bowls quentes, qual é a probabilidade de você optar por essas opções da Olga RI em dias mais frios? ],'Dados cruzados'!CV$2,Tabela2[Em qual das faixas etárias abaixo você se encontra?],'Dados cruzados'!$B13)</f>
        <v>0</v>
      </c>
      <c r="CW13" s="26">
        <f>COUNTIFS(Tabela2[Com a inclusão das novas opções de bowls quentes, qual é a probabilidade de você optar por essas opções da Olga RI em dias mais frios? ],'Dados cruzados'!CW$2,Tabela2[Em qual das faixas etárias abaixo você se encontra?],'Dados cruzados'!$B13)</f>
        <v>0</v>
      </c>
      <c r="CX13" s="26">
        <f>COUNTIFS(Tabela2[Com a inclusão das novas opções de bowls quentes, qual é a probabilidade de você optar por essas opções da Olga RI em dias mais frios? ],'Dados cruzados'!CX$2,Tabela2[Em qual das faixas etárias abaixo você se encontra?],'Dados cruzados'!$B13)</f>
        <v>0</v>
      </c>
      <c r="CY13" s="76">
        <f t="shared" si="39"/>
        <v>0</v>
      </c>
    </row>
    <row r="14" spans="1:103" ht="15.6">
      <c r="A14" s="88"/>
      <c r="B14" s="31" t="s">
        <v>365</v>
      </c>
      <c r="C14" s="32">
        <f>SUM(C8:C13)</f>
        <v>41</v>
      </c>
      <c r="D14" s="32">
        <f t="shared" ref="D14:G14" si="40">SUM(D8:D13)</f>
        <v>24</v>
      </c>
      <c r="E14" s="32">
        <f t="shared" si="40"/>
        <v>16</v>
      </c>
      <c r="F14" s="32">
        <f t="shared" si="40"/>
        <v>16</v>
      </c>
      <c r="G14" s="32">
        <f t="shared" si="40"/>
        <v>3</v>
      </c>
      <c r="H14" s="40">
        <f t="shared" si="29"/>
        <v>100</v>
      </c>
      <c r="J14" s="88"/>
      <c r="K14" s="31" t="s">
        <v>365</v>
      </c>
      <c r="L14" s="32">
        <f>SUM(L8:L13)</f>
        <v>11</v>
      </c>
      <c r="M14" s="32">
        <f t="shared" ref="M14" si="41">SUM(M8:M13)</f>
        <v>6</v>
      </c>
      <c r="N14" s="32">
        <f t="shared" ref="N14" si="42">SUM(N8:N13)</f>
        <v>26</v>
      </c>
      <c r="O14" s="32">
        <f t="shared" ref="O14" si="43">SUM(O8:O13)</f>
        <v>31</v>
      </c>
      <c r="P14" s="32">
        <f t="shared" ref="P14" si="44">SUM(P8:P13)</f>
        <v>26</v>
      </c>
      <c r="Q14" s="40">
        <f t="shared" si="30"/>
        <v>100</v>
      </c>
      <c r="S14" s="95"/>
      <c r="T14" s="31" t="s">
        <v>365</v>
      </c>
      <c r="U14" s="49">
        <f>SUM(U8:U13)</f>
        <v>14</v>
      </c>
      <c r="V14" s="49">
        <f t="shared" ref="V14" si="45">SUM(V8:V13)</f>
        <v>26</v>
      </c>
      <c r="W14" s="49">
        <f t="shared" ref="W14" si="46">SUM(W8:W13)</f>
        <v>16</v>
      </c>
      <c r="X14" s="49">
        <f t="shared" ref="X14" si="47">SUM(X8:X13)</f>
        <v>21</v>
      </c>
      <c r="Y14" s="49">
        <f t="shared" ref="Y14" si="48">SUM(Y8:Y13)</f>
        <v>23</v>
      </c>
      <c r="Z14" s="50">
        <f t="shared" si="31"/>
        <v>100</v>
      </c>
      <c r="AB14" s="95"/>
      <c r="AC14" s="31" t="s">
        <v>365</v>
      </c>
      <c r="AD14" s="49">
        <f>SUM(AD8:AD13)</f>
        <v>34</v>
      </c>
      <c r="AE14" s="49">
        <f t="shared" ref="AE14:AH14" si="49">SUM(AE8:AE13)</f>
        <v>23</v>
      </c>
      <c r="AF14" s="49">
        <f t="shared" si="49"/>
        <v>18</v>
      </c>
      <c r="AG14" s="49">
        <f t="shared" si="49"/>
        <v>6</v>
      </c>
      <c r="AH14" s="49">
        <f t="shared" si="49"/>
        <v>19</v>
      </c>
      <c r="AI14" s="50">
        <f t="shared" si="32"/>
        <v>100</v>
      </c>
      <c r="AK14" s="95"/>
      <c r="AL14" s="31" t="s">
        <v>365</v>
      </c>
      <c r="AM14" s="49">
        <f>SUM(AM8:AM13)</f>
        <v>83</v>
      </c>
      <c r="AN14" s="49">
        <f t="shared" ref="AN14:AQ14" si="50">SUM(AN8:AN13)</f>
        <v>8</v>
      </c>
      <c r="AO14" s="49">
        <f t="shared" si="50"/>
        <v>4</v>
      </c>
      <c r="AP14" s="49">
        <f t="shared" si="50"/>
        <v>1</v>
      </c>
      <c r="AQ14" s="49">
        <f t="shared" si="50"/>
        <v>4</v>
      </c>
      <c r="AR14" s="50">
        <f t="shared" si="33"/>
        <v>100</v>
      </c>
      <c r="AT14" s="95"/>
      <c r="AU14" s="31" t="s">
        <v>365</v>
      </c>
      <c r="AV14" s="49">
        <f>SUM(AV8:AV13)</f>
        <v>7</v>
      </c>
      <c r="AW14" s="49">
        <f t="shared" ref="AW14:AZ14" si="51">SUM(AW8:AW13)</f>
        <v>6</v>
      </c>
      <c r="AX14" s="49">
        <f t="shared" si="51"/>
        <v>14</v>
      </c>
      <c r="AY14" s="49">
        <f t="shared" si="51"/>
        <v>31</v>
      </c>
      <c r="AZ14" s="49">
        <f t="shared" si="51"/>
        <v>42</v>
      </c>
      <c r="BA14" s="50">
        <f t="shared" si="34"/>
        <v>100</v>
      </c>
      <c r="BC14" s="95"/>
      <c r="BD14" s="31" t="s">
        <v>365</v>
      </c>
      <c r="BE14" s="49">
        <f>SUM(BE8:BE13)</f>
        <v>53</v>
      </c>
      <c r="BF14" s="49">
        <f t="shared" ref="BF14:BL14" si="52">SUM(BF8:BF13)</f>
        <v>9</v>
      </c>
      <c r="BG14" s="49">
        <f t="shared" si="52"/>
        <v>24</v>
      </c>
      <c r="BH14" s="49">
        <f t="shared" si="52"/>
        <v>21</v>
      </c>
      <c r="BI14" s="49">
        <f t="shared" si="52"/>
        <v>36</v>
      </c>
      <c r="BJ14" s="49">
        <f t="shared" si="52"/>
        <v>39</v>
      </c>
      <c r="BK14" s="49">
        <f t="shared" si="52"/>
        <v>62</v>
      </c>
      <c r="BL14" s="49">
        <f t="shared" si="52"/>
        <v>2</v>
      </c>
      <c r="BM14" s="36">
        <f t="shared" si="35"/>
        <v>246</v>
      </c>
      <c r="BO14" s="95"/>
      <c r="BP14" s="31" t="s">
        <v>365</v>
      </c>
      <c r="BQ14" s="49">
        <f>SUM(BQ8:BQ13)</f>
        <v>14</v>
      </c>
      <c r="BR14" s="49">
        <f t="shared" ref="BR14:BU14" si="53">SUM(BR8:BR13)</f>
        <v>16</v>
      </c>
      <c r="BS14" s="49">
        <f t="shared" si="53"/>
        <v>30</v>
      </c>
      <c r="BT14" s="49">
        <f t="shared" si="53"/>
        <v>27</v>
      </c>
      <c r="BU14" s="49">
        <f t="shared" si="53"/>
        <v>13</v>
      </c>
      <c r="BV14" s="50">
        <f t="shared" si="36"/>
        <v>100</v>
      </c>
      <c r="BX14" s="95"/>
      <c r="BY14" s="31" t="s">
        <v>365</v>
      </c>
      <c r="BZ14" s="49">
        <f>SUM(BZ8:BZ13)</f>
        <v>35</v>
      </c>
      <c r="CA14" s="49">
        <f t="shared" ref="CA14:CD14" si="54">SUM(CA8:CA13)</f>
        <v>33</v>
      </c>
      <c r="CB14" s="49">
        <f t="shared" si="54"/>
        <v>47</v>
      </c>
      <c r="CC14" s="49">
        <f t="shared" si="54"/>
        <v>34</v>
      </c>
      <c r="CD14" s="49">
        <f t="shared" si="54"/>
        <v>54</v>
      </c>
      <c r="CE14" s="49">
        <f t="shared" ref="CE14:CF14" si="55">SUM(CE8:CE13)</f>
        <v>40</v>
      </c>
      <c r="CF14" s="49">
        <f t="shared" si="55"/>
        <v>3</v>
      </c>
      <c r="CG14" s="46">
        <f t="shared" si="37"/>
        <v>246</v>
      </c>
      <c r="CI14" s="95"/>
      <c r="CJ14" s="31" t="s">
        <v>365</v>
      </c>
      <c r="CK14" s="49">
        <f>SUM(CK8:CK13)</f>
        <v>3</v>
      </c>
      <c r="CL14" s="49">
        <f t="shared" ref="CL14:CO14" si="56">SUM(CL8:CL13)</f>
        <v>0</v>
      </c>
      <c r="CM14" s="49">
        <f t="shared" si="56"/>
        <v>13</v>
      </c>
      <c r="CN14" s="49">
        <f t="shared" si="56"/>
        <v>32</v>
      </c>
      <c r="CO14" s="49">
        <f t="shared" si="56"/>
        <v>52</v>
      </c>
      <c r="CP14" s="50">
        <f t="shared" si="38"/>
        <v>100</v>
      </c>
      <c r="CR14" s="95"/>
      <c r="CS14" s="31" t="s">
        <v>365</v>
      </c>
      <c r="CT14" s="49">
        <f>SUM(CT8:CT13)</f>
        <v>4</v>
      </c>
      <c r="CU14" s="49">
        <f t="shared" ref="CU14:CX14" si="57">SUM(CU8:CU13)</f>
        <v>5</v>
      </c>
      <c r="CV14" s="49">
        <f t="shared" si="57"/>
        <v>27</v>
      </c>
      <c r="CW14" s="49">
        <f t="shared" si="57"/>
        <v>25</v>
      </c>
      <c r="CX14" s="49">
        <f t="shared" si="57"/>
        <v>39</v>
      </c>
      <c r="CY14" s="75">
        <f t="shared" si="39"/>
        <v>100</v>
      </c>
    </row>
    <row r="15" spans="1:103">
      <c r="A15" s="18"/>
      <c r="B15" s="19"/>
      <c r="C15" s="28"/>
      <c r="D15" s="28"/>
      <c r="E15" s="28"/>
      <c r="F15" s="28"/>
      <c r="G15" s="28"/>
      <c r="H15" s="19"/>
      <c r="I15" s="56"/>
      <c r="J15" s="18"/>
      <c r="K15" s="19"/>
      <c r="L15" s="28"/>
      <c r="M15" s="28"/>
      <c r="N15" s="28"/>
      <c r="O15" s="28"/>
      <c r="P15" s="28"/>
      <c r="Q15" s="19"/>
      <c r="R15" s="56"/>
      <c r="S15" s="19"/>
      <c r="T15" s="51"/>
      <c r="U15" s="52"/>
      <c r="V15" s="52"/>
      <c r="W15" s="52"/>
      <c r="X15" s="52"/>
      <c r="Y15" s="52"/>
      <c r="Z15" s="51"/>
      <c r="AA15" s="56"/>
      <c r="AB15" s="19"/>
      <c r="AC15" s="51"/>
      <c r="AD15" s="52"/>
      <c r="AE15" s="52"/>
      <c r="AF15" s="52"/>
      <c r="AG15" s="52"/>
      <c r="AH15" s="52"/>
      <c r="AI15" s="51"/>
      <c r="AJ15" s="56"/>
      <c r="AK15" s="19"/>
      <c r="AL15" s="51"/>
      <c r="AM15" s="52"/>
      <c r="AN15" s="52"/>
      <c r="AO15" s="52"/>
      <c r="AP15" s="52"/>
      <c r="AQ15" s="52"/>
      <c r="AR15" s="51"/>
      <c r="AT15" s="19"/>
      <c r="AU15" s="51"/>
      <c r="AV15" s="52"/>
      <c r="AW15" s="52"/>
      <c r="AX15" s="52"/>
      <c r="AY15" s="52"/>
      <c r="AZ15" s="52"/>
      <c r="BA15" s="51"/>
      <c r="BC15" s="19"/>
      <c r="BD15" s="51"/>
      <c r="BE15" s="52"/>
      <c r="BF15" s="52"/>
      <c r="BG15" s="52"/>
      <c r="BH15" s="52"/>
      <c r="BI15" s="52"/>
      <c r="BJ15" s="51"/>
      <c r="BK15" s="19"/>
      <c r="BL15" s="19"/>
      <c r="BM15" s="19"/>
      <c r="BO15" s="19"/>
      <c r="BP15" s="51"/>
      <c r="BQ15" s="52"/>
      <c r="BR15" s="52"/>
      <c r="BS15" s="52"/>
      <c r="BT15" s="52"/>
      <c r="BU15" s="52"/>
      <c r="BV15" s="51"/>
      <c r="BX15" s="19"/>
      <c r="BY15" s="51"/>
      <c r="BZ15" s="52"/>
      <c r="CA15" s="52"/>
      <c r="CB15" s="52"/>
      <c r="CC15" s="52"/>
      <c r="CD15" s="52"/>
      <c r="CE15" s="52"/>
      <c r="CF15" s="52"/>
      <c r="CG15" s="51"/>
      <c r="CI15" s="19"/>
      <c r="CJ15" s="51"/>
      <c r="CK15" s="52"/>
      <c r="CL15" s="52"/>
      <c r="CM15" s="52"/>
      <c r="CN15" s="52"/>
      <c r="CO15" s="52"/>
      <c r="CP15" s="51"/>
      <c r="CR15" s="18"/>
      <c r="CS15" s="51"/>
      <c r="CT15" s="52"/>
      <c r="CU15" s="52"/>
      <c r="CV15" s="52"/>
      <c r="CW15" s="52"/>
      <c r="CX15" s="52"/>
      <c r="CY15" s="77"/>
    </row>
    <row r="16" spans="1:103" ht="15.6">
      <c r="A16" s="86" t="s">
        <v>401</v>
      </c>
      <c r="B16" s="33" t="s">
        <v>56</v>
      </c>
      <c r="C16" s="34">
        <f>COUNTIFS(Tabela2[Com que frequência você costuma consumir saladas na Olga Ri?],'Dados cruzados'!C2,Tabela2[Classe Social],'Dados cruzados'!B$16)</f>
        <v>16</v>
      </c>
      <c r="D16" s="34">
        <f>COUNTIFS(Tabela2[Com que frequência você costuma consumir saladas na Olga Ri?],'Dados cruzados'!D2,Tabela2[Classe Social],'Dados cruzados'!$B$16)</f>
        <v>4</v>
      </c>
      <c r="E16" s="34">
        <f>COUNTIFS(Tabela2[Com que frequência você costuma consumir saladas na Olga Ri?],'Dados cruzados'!E2,Tabela2[Classe Social],'Dados cruzados'!$B$16)</f>
        <v>8</v>
      </c>
      <c r="F16" s="34">
        <f>COUNTIFS(Tabela2[Com que frequência você costuma consumir saladas na Olga Ri?],'Dados cruzados'!F2,Tabela2[Classe Social],'Dados cruzados'!$B$16)</f>
        <v>9</v>
      </c>
      <c r="G16" s="34">
        <f>COUNTIFS(Tabela2[Com que frequência você costuma consumir saladas na Olga Ri?],'Dados cruzados'!G2,Tabela2[Classe Social],'Dados cruzados'!$B$16)</f>
        <v>0</v>
      </c>
      <c r="H16" s="39">
        <f>SUM(C16:G16)</f>
        <v>37</v>
      </c>
      <c r="J16" s="86" t="s">
        <v>401</v>
      </c>
      <c r="K16" s="33" t="s">
        <v>56</v>
      </c>
      <c r="L16" s="34">
        <f>COUNTIFS(Tabela2[Como você avalia o seu grau de importância do clima na escolha das refeições que você costuma adquirir?],'Dados cruzados'!L$2,Tabela2[Classe Social],'Dados cruzados'!$K16)</f>
        <v>3</v>
      </c>
      <c r="M16" s="34">
        <f>COUNTIFS(Tabela2[Como você avalia o seu grau de importância do clima na escolha das refeições que você costuma adquirir?],'Dados cruzados'!M$2,Tabela2[Classe Social],'Dados cruzados'!$K16)</f>
        <v>4</v>
      </c>
      <c r="N16" s="34">
        <f>COUNTIFS(Tabela2[Como você avalia o seu grau de importância do clima na escolha das refeições que você costuma adquirir?],'Dados cruzados'!N$2,Tabela2[Classe Social],'Dados cruzados'!$K16)</f>
        <v>12</v>
      </c>
      <c r="O16" s="34">
        <f>COUNTIFS(Tabela2[Como você avalia o seu grau de importância do clima na escolha das refeições que você costuma adquirir?],'Dados cruzados'!O$2,Tabela2[Classe Social],'Dados cruzados'!$K16)</f>
        <v>11</v>
      </c>
      <c r="P16" s="34">
        <f>COUNTIFS(Tabela2[Como você avalia o seu grau de importância do clima na escolha das refeições que você costuma adquirir?],'Dados cruzados'!P$2,Tabela2[Classe Social],'Dados cruzados'!$K16)</f>
        <v>7</v>
      </c>
      <c r="Q16" s="39">
        <f>SUM(L16:P16)</f>
        <v>37</v>
      </c>
      <c r="S16" s="93" t="s">
        <v>401</v>
      </c>
      <c r="T16" s="33" t="s">
        <v>56</v>
      </c>
      <c r="U16" s="55">
        <f>COUNTIFS(Tabela2[Como você avalia o seu grau interesse em comprar bowls* quentes?],'Dados cruzados'!U$2,Tabela2[Classe Social],'Dados cruzados'!$K16)</f>
        <v>5</v>
      </c>
      <c r="V16" s="55">
        <f>COUNTIFS(Tabela2[Como você avalia o seu grau interesse em comprar bowls* quentes?],'Dados cruzados'!V$2,Tabela2[Classe Social],'Dados cruzados'!$K16)</f>
        <v>12</v>
      </c>
      <c r="W16" s="55">
        <f>COUNTIFS(Tabela2[Como você avalia o seu grau interesse em comprar bowls* quentes?],'Dados cruzados'!W$2,Tabela2[Classe Social],'Dados cruzados'!$K16)</f>
        <v>1</v>
      </c>
      <c r="X16" s="55">
        <f>COUNTIFS(Tabela2[Como você avalia o seu grau interesse em comprar bowls* quentes?],'Dados cruzados'!X$2,Tabela2[Classe Social],'Dados cruzados'!$K16)</f>
        <v>8</v>
      </c>
      <c r="Y16" s="55">
        <f>COUNTIFS(Tabela2[Como você avalia o seu grau interesse em comprar bowls* quentes?],'Dados cruzados'!Y$2,Tabela2[Classe Social],'Dados cruzados'!$K16)</f>
        <v>11</v>
      </c>
      <c r="Z16" s="46">
        <f>SUM(U16:Y16)</f>
        <v>37</v>
      </c>
      <c r="AB16" s="93" t="s">
        <v>401</v>
      </c>
      <c r="AC16" s="33" t="s">
        <v>56</v>
      </c>
      <c r="AD16" s="55">
        <f>COUNTIFS(Tabela2[Como você avalia o seu grau de conhecimento sobre as opções de pratos quentes oferecidos pela Olga RI?],'Dados cruzados'!AD$2,Tabela2[Classe Social],'Dados cruzados'!$B16)</f>
        <v>12</v>
      </c>
      <c r="AE16" s="55">
        <f>COUNTIFS(Tabela2[Como você avalia o seu grau de conhecimento sobre as opções de pratos quentes oferecidos pela Olga RI?],'Dados cruzados'!AE$2,Tabela2[Classe Social],'Dados cruzados'!$B16)</f>
        <v>8</v>
      </c>
      <c r="AF16" s="55">
        <f>COUNTIFS(Tabela2[Como você avalia o seu grau de conhecimento sobre as opções de pratos quentes oferecidos pela Olga RI?],'Dados cruzados'!AF$2,Tabela2[Classe Social],'Dados cruzados'!$B16)</f>
        <v>9</v>
      </c>
      <c r="AG16" s="55">
        <f>COUNTIFS(Tabela2[Como você avalia o seu grau de conhecimento sobre as opções de pratos quentes oferecidos pela Olga RI?],'Dados cruzados'!AG$2,Tabela2[Classe Social],'Dados cruzados'!$B16)</f>
        <v>2</v>
      </c>
      <c r="AH16" s="55">
        <f>COUNTIFS(Tabela2[Como você avalia o seu grau de conhecimento sobre as opções de pratos quentes oferecidos pela Olga RI?],'Dados cruzados'!AH$2,Tabela2[Classe Social],'Dados cruzados'!$B16)</f>
        <v>6</v>
      </c>
      <c r="AI16" s="46">
        <f>SUM(AD16:AH16)</f>
        <v>37</v>
      </c>
      <c r="AK16" s="93" t="s">
        <v>401</v>
      </c>
      <c r="AL16" s="33" t="s">
        <v>56</v>
      </c>
      <c r="AM16" s="55">
        <f>COUNTIFS(Tabela2["A Olga Ri é a primeira marca que vem à mente quando penso em comprar opções quentes,"
O quanto você concorda com essa afirmação?],'Dados cruzados'!AM$2,Tabela2[Classe Social],'Dados cruzados'!$B16)</f>
        <v>31</v>
      </c>
      <c r="AN16" s="55">
        <f>COUNTIFS(Tabela2["A Olga Ri é a primeira marca que vem à mente quando penso em comprar opções quentes,"
O quanto você concorda com essa afirmação?],'Dados cruzados'!AN$2,Tabela2[Classe Social],'Dados cruzados'!$B16)</f>
        <v>3</v>
      </c>
      <c r="AO16" s="55">
        <f>COUNTIFS(Tabela2["A Olga Ri é a primeira marca que vem à mente quando penso em comprar opções quentes,"
O quanto você concorda com essa afirmação?],'Dados cruzados'!AO$2,Tabela2[Classe Social],'Dados cruzados'!$B16)</f>
        <v>0</v>
      </c>
      <c r="AP16" s="55">
        <f>COUNTIFS(Tabela2["A Olga Ri é a primeira marca que vem à mente quando penso em comprar opções quentes,"
O quanto você concorda com essa afirmação?],'Dados cruzados'!AP$2,Tabela2[Classe Social],'Dados cruzados'!$B16)</f>
        <v>0</v>
      </c>
      <c r="AQ16" s="55">
        <f>COUNTIFS(Tabela2["A Olga Ri é a primeira marca que vem à mente quando penso em comprar opções quentes,"
O quanto você concorda com essa afirmação?],'Dados cruzados'!AQ$2,Tabela2[Classe Social],'Dados cruzados'!$B16)</f>
        <v>3</v>
      </c>
      <c r="AR16" s="46">
        <f>SUM(AM16:AQ16)</f>
        <v>37</v>
      </c>
      <c r="AT16" s="93" t="s">
        <v>401</v>
      </c>
      <c r="AU16" s="33" t="s">
        <v>56</v>
      </c>
      <c r="AV16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cruzados'!AV$2,Tabela2[Classe Social],'Dados cruzados'!$B16)</f>
        <v>4</v>
      </c>
      <c r="AW16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cruzados'!AW$2,Tabela2[Classe Social],'Dados cruzados'!$B16)</f>
        <v>1</v>
      </c>
      <c r="AX16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cruzados'!AX$2,Tabela2[Classe Social],'Dados cruzados'!$B16)</f>
        <v>6</v>
      </c>
      <c r="AY16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cruzados'!AY$2,Tabela2[Classe Social],'Dados cruzados'!$B16)</f>
        <v>14</v>
      </c>
      <c r="AZ16" s="5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cruzados'!AZ$2,Tabela2[Classe Social],'Dados cruzados'!$B16)</f>
        <v>12</v>
      </c>
      <c r="BA16" s="46">
        <f>SUM(AV16:AZ16)</f>
        <v>37</v>
      </c>
      <c r="BC16" s="93" t="s">
        <v>401</v>
      </c>
      <c r="BD16" s="33" t="s">
        <v>56</v>
      </c>
      <c r="BE16" s="30">
        <f>COUNTIFS(Tabela2[Quando você considera experimentar pratos quentes na Olga Ri, quais aspectos são mais importantes para a sua decisão?],"*Ambiente e atmosfera do restaurante*",Tabela2[Classe Social],'Dados cruzados'!$B16)</f>
        <v>19</v>
      </c>
      <c r="BF16" s="30">
        <f>COUNTIFS(Tabela2[Quando você considera experimentar pratos quentes na Olga Ri, quais aspectos são mais importantes para a sua decisão?],"*Avaliação ou recomendação de influenciadores*",Tabela2[Classe Social],'Dados cruzados'!$B16)</f>
        <v>5</v>
      </c>
      <c r="BG16" s="30">
        <f>COUNTIFS(Tabela2[Quando você considera experimentar pratos quentes na Olga Ri, quais aspectos são mais importantes para a sua decisão?],"*Avaliação ou recomendação de outros clientes*",Tabela2[Classe Social],'Dados cruzados'!$B16)</f>
        <v>9</v>
      </c>
      <c r="BH16" s="30">
        <f>COUNTIFS(Tabela2[Quando você considera experimentar pratos quentes na Olga Ri, quais aspectos são mais importantes para a sua decisão?],"*Opções vegetarianas e/ou veganas de pratos quentes*",Tabela2[Classe Social],'Dados cruzados'!$B16)</f>
        <v>6</v>
      </c>
      <c r="BI16" s="30">
        <f>COUNTIFS(Tabela2[Quando você considera experimentar pratos quentes na Olga Ri, quais aspectos são mais importantes para a sua decisão?],"*Preço das opções quentes*",Tabela2[Classe Social],'Dados cruzados'!$B16)</f>
        <v>11</v>
      </c>
      <c r="BJ16" s="30">
        <f>COUNTIFS(Tabela2[Quando você considera experimentar pratos quentes na Olga Ri, quais aspectos são mais importantes para a sua decisão?],"*Tempo de espera para ser servido*",Tabela2[Classe Social],'Dados cruzados'!$B16)</f>
        <v>16</v>
      </c>
      <c r="BK16" s="30">
        <f>COUNTIFS(Tabela2[Quando você considera experimentar pratos quentes na Olga Ri, quais aspectos são mais importantes para a sua decisão?],"*Variedade de opções quentes no cardápio*",Tabela2[Classe Social],'Dados cruzados'!$B16)</f>
        <v>21</v>
      </c>
      <c r="BL16" s="30">
        <f>COUNTIFS(Tabela2[Quando você considera experimentar pratos quentes na Olga Ri, quais aspectos são mais importantes para a sua decisão?],"*Muitas opções de salada*",Tabela2[Classe Social],'Dados cruzados'!$B16)</f>
        <v>0</v>
      </c>
      <c r="BM16" s="36">
        <f>SUM(BE16:BL16)</f>
        <v>87</v>
      </c>
      <c r="BO16" s="93" t="s">
        <v>401</v>
      </c>
      <c r="BP16" s="33" t="s">
        <v>56</v>
      </c>
      <c r="BQ16" s="30">
        <f>COUNTIFS(Tabela2[Qual a probabilidade de mudanças realizadas no cardápio de opções quentes influenciarem a sua decisão de compra dos bowls quentes?],'Dados cruzados'!BQ$2,Tabela2[Classe Social],'Dados cruzados'!$B16)</f>
        <v>7</v>
      </c>
      <c r="BR16" s="30">
        <f>COUNTIFS(Tabela2[Qual a probabilidade de mudanças realizadas no cardápio de opções quentes influenciarem a sua decisão de compra dos bowls quentes?],'Dados cruzados'!BR$2,Tabela2[Classe Social],'Dados cruzados'!$B16)</f>
        <v>8</v>
      </c>
      <c r="BS16" s="30">
        <f>COUNTIFS(Tabela2[Qual a probabilidade de mudanças realizadas no cardápio de opções quentes influenciarem a sua decisão de compra dos bowls quentes?],'Dados cruzados'!BS$2,Tabela2[Classe Social],'Dados cruzados'!$B16)</f>
        <v>9</v>
      </c>
      <c r="BT16" s="30">
        <f>COUNTIFS(Tabela2[Qual a probabilidade de mudanças realizadas no cardápio de opções quentes influenciarem a sua decisão de compra dos bowls quentes?],'Dados cruzados'!BT$2,Tabela2[Classe Social],'Dados cruzados'!$B16)</f>
        <v>7</v>
      </c>
      <c r="BU16" s="30">
        <f>COUNTIFS(Tabela2[Qual a probabilidade de mudanças realizadas no cardápio de opções quentes influenciarem a sua decisão de compra dos bowls quentes?],'Dados cruzados'!BU$2,Tabela2[Classe Social],'Dados cruzados'!$B16)</f>
        <v>6</v>
      </c>
      <c r="BV16" s="46">
        <f>SUM(BQ16:BU16)</f>
        <v>37</v>
      </c>
      <c r="BX16" s="93" t="s">
        <v>401</v>
      </c>
      <c r="BY16" s="33" t="s">
        <v>56</v>
      </c>
      <c r="BZ16" s="30">
        <f>COUNTIFS(Tabela2[Que tipo de ingredientes quentes você mais gostaria de ver nos bowls quentes da Olga RI no futuro?],"*Frango Grelhado*",Tabela2[Classe Social],'Dados cruzados'!$B16)</f>
        <v>17</v>
      </c>
      <c r="CA16" s="30">
        <f>COUNTIFS(Tabela2[Que tipo de ingredientes quentes você mais gostaria de ver nos bowls quentes da Olga RI no futuro?],"*Carne seca desfiada*",Tabela2[Classe Social],'Dados cruzados'!$B16)</f>
        <v>10</v>
      </c>
      <c r="CB16" s="30">
        <f>COUNTIFS(Tabela2[Que tipo de ingredientes quentes você mais gostaria de ver nos bowls quentes da Olga RI no futuro?],"*Filé mignon*",Tabela2[Classe Social],'Dados cruzados'!$B16)</f>
        <v>21</v>
      </c>
      <c r="CC16" s="30">
        <f>COUNTIFS(Tabela2[Que tipo de ingredientes quentes você mais gostaria de ver nos bowls quentes da Olga RI no futuro?],"*Falafel*",Tabela2[Classe Social],'Dados cruzados'!$B16)</f>
        <v>9</v>
      </c>
      <c r="CD16" s="30">
        <f>COUNTIFS(Tabela2[Que tipo de ingredientes quentes você mais gostaria de ver nos bowls quentes da Olga RI no futuro?],"*Salmão grelhado com molho teriyaki*",Tabela2[Classe Social],'Dados cruzados'!$B16)</f>
        <v>19</v>
      </c>
      <c r="CE16" s="30">
        <f>COUNTIFS(Tabela2[Que tipo de ingredientes quentes você mais gostaria de ver nos bowls quentes da Olga RI no futuro?],"*Atum selado com gergelim*",Tabela2[Classe Social],'Dados cruzados'!$B16)</f>
        <v>15</v>
      </c>
      <c r="CF16" s="30">
        <v>3</v>
      </c>
      <c r="CG16" s="46">
        <f>SUM(BZ16:CF16)</f>
        <v>94</v>
      </c>
      <c r="CI16" s="93" t="s">
        <v>401</v>
      </c>
      <c r="CJ16" s="33" t="s">
        <v>56</v>
      </c>
      <c r="CK16" s="30">
        <f>COUNTIFS(Tabela2[Levando em consideração que os ingredientes escolhidos por você estivessem disponíveis na próxima virada de cardápio da Olga RI, qual é a chance de você comprar esse bowl quente? ],'Dados cruzados'!CK$2,Tabela2[Classe Social],'Dados cruzados'!$B16)</f>
        <v>1</v>
      </c>
      <c r="CL16" s="30">
        <f>COUNTIFS(Tabela2[Levando em consideração que os ingredientes escolhidos por você estivessem disponíveis na próxima virada de cardápio da Olga RI, qual é a chance de você comprar esse bowl quente? ],'Dados cruzados'!CL$2,Tabela2[Classe Social],'Dados cruzados'!$B16)</f>
        <v>0</v>
      </c>
      <c r="CM16" s="30">
        <f>COUNTIFS(Tabela2[Levando em consideração que os ingredientes escolhidos por você estivessem disponíveis na próxima virada de cardápio da Olga RI, qual é a chance de você comprar esse bowl quente? ],'Dados cruzados'!CM$2,Tabela2[Classe Social],'Dados cruzados'!$B16)</f>
        <v>4</v>
      </c>
      <c r="CN16" s="30">
        <f>COUNTIFS(Tabela2[Levando em consideração que os ingredientes escolhidos por você estivessem disponíveis na próxima virada de cardápio da Olga RI, qual é a chance de você comprar esse bowl quente? ],'Dados cruzados'!CN$2,Tabela2[Classe Social],'Dados cruzados'!$B16)</f>
        <v>13</v>
      </c>
      <c r="CO16" s="30">
        <f>COUNTIFS(Tabela2[Levando em consideração que os ingredientes escolhidos por você estivessem disponíveis na próxima virada de cardápio da Olga RI, qual é a chance de você comprar esse bowl quente? ],'Dados cruzados'!CO$2,Tabela2[Classe Social],'Dados cruzados'!$B16)</f>
        <v>19</v>
      </c>
      <c r="CP16" s="46">
        <f>SUM(CK16:CO16)</f>
        <v>37</v>
      </c>
      <c r="CR16" s="93" t="s">
        <v>401</v>
      </c>
      <c r="CS16" s="33" t="s">
        <v>56</v>
      </c>
      <c r="CT16" s="30">
        <f>COUNTIFS(Tabela2[Com a inclusão das novas opções de bowls quentes, qual é a probabilidade de você optar por essas opções da Olga RI em dias mais frios? ],'Dados cruzados'!CT$2,Tabela2[Classe Social],'Dados cruzados'!$B16)</f>
        <v>0</v>
      </c>
      <c r="CU16" s="30">
        <f>COUNTIFS(Tabela2[Com a inclusão das novas opções de bowls quentes, qual é a probabilidade de você optar por essas opções da Olga RI em dias mais frios? ],'Dados cruzados'!CU$2,Tabela2[Classe Social],'Dados cruzados'!$B16)</f>
        <v>2</v>
      </c>
      <c r="CV16" s="30">
        <f>COUNTIFS(Tabela2[Com a inclusão das novas opções de bowls quentes, qual é a probabilidade de você optar por essas opções da Olga RI em dias mais frios? ],'Dados cruzados'!CV$2,Tabela2[Classe Social],'Dados cruzados'!$B16)</f>
        <v>9</v>
      </c>
      <c r="CW16" s="30">
        <f>COUNTIFS(Tabela2[Com a inclusão das novas opções de bowls quentes, qual é a probabilidade de você optar por essas opções da Olga RI em dias mais frios? ],'Dados cruzados'!CW$2,Tabela2[Classe Social],'Dados cruzados'!$B16)</f>
        <v>11</v>
      </c>
      <c r="CX16" s="30">
        <f>COUNTIFS(Tabela2[Com a inclusão das novas opções de bowls quentes, qual é a probabilidade de você optar por essas opções da Olga RI em dias mais frios? ],'Dados cruzados'!CX$2,Tabela2[Classe Social],'Dados cruzados'!$B16)</f>
        <v>15</v>
      </c>
      <c r="CY16" s="75">
        <f>SUM(CT16:CX16)</f>
        <v>37</v>
      </c>
    </row>
    <row r="17" spans="1:103" ht="15.6">
      <c r="A17" s="87"/>
      <c r="B17" s="16" t="s">
        <v>48</v>
      </c>
      <c r="C17" s="26">
        <f>COUNTIFS(Tabela2[Com que frequência você costuma consumir saladas na Olga Ri?],'Dados cruzados'!C2,Tabela2[Classe Social],'Dados cruzados'!$B$17)</f>
        <v>11</v>
      </c>
      <c r="D17" s="26">
        <f>COUNTIFS(Tabela2[Com que frequência você costuma consumir saladas na Olga Ri?],'Dados cruzados'!D2,Tabela2[Classe Social],'Dados cruzados'!$B$17)</f>
        <v>5</v>
      </c>
      <c r="E17" s="26">
        <f>COUNTIFS(Tabela2[Com que frequência você costuma consumir saladas na Olga Ri?],'Dados cruzados'!E2,Tabela2[Classe Social],'Dados cruzados'!$B$17)</f>
        <v>3</v>
      </c>
      <c r="F17" s="26">
        <f>COUNTIFS(Tabela2[Com que frequência você costuma consumir saladas na Olga Ri?],'Dados cruzados'!F2,Tabela2[Classe Social],'Dados cruzados'!$B$17)</f>
        <v>5</v>
      </c>
      <c r="G17" s="26">
        <f>COUNTIFS(Tabela2[Com que frequência você costuma consumir saladas na Olga Ri?],'Dados cruzados'!G2,Tabela2[Classe Social],'Dados cruzados'!$B$17)</f>
        <v>1</v>
      </c>
      <c r="H17" s="37">
        <f t="shared" ref="H17:H20" si="58">SUM(C17:G17)</f>
        <v>25</v>
      </c>
      <c r="J17" s="87"/>
      <c r="K17" s="16" t="s">
        <v>48</v>
      </c>
      <c r="L17" s="26">
        <f>COUNTIFS(Tabela2[Como você avalia o seu grau de importância do clima na escolha das refeições que você costuma adquirir?],'Dados cruzados'!L$2,Tabela2[Classe Social],'Dados cruzados'!$K17)</f>
        <v>3</v>
      </c>
      <c r="M17" s="26">
        <f>COUNTIFS(Tabela2[Como você avalia o seu grau de importância do clima na escolha das refeições que você costuma adquirir?],'Dados cruzados'!M$2,Tabela2[Classe Social],'Dados cruzados'!$K17)</f>
        <v>1</v>
      </c>
      <c r="N17" s="26">
        <f>COUNTIFS(Tabela2[Como você avalia o seu grau de importância do clima na escolha das refeições que você costuma adquirir?],'Dados cruzados'!N$2,Tabela2[Classe Social],'Dados cruzados'!$K17)</f>
        <v>7</v>
      </c>
      <c r="O17" s="26">
        <f>COUNTIFS(Tabela2[Como você avalia o seu grau de importância do clima na escolha das refeições que você costuma adquirir?],'Dados cruzados'!O$2,Tabela2[Classe Social],'Dados cruzados'!$K17)</f>
        <v>7</v>
      </c>
      <c r="P17" s="26">
        <f>COUNTIFS(Tabela2[Como você avalia o seu grau de importância do clima na escolha das refeições que você costuma adquirir?],'Dados cruzados'!P$2,Tabela2[Classe Social],'Dados cruzados'!$K17)</f>
        <v>7</v>
      </c>
      <c r="Q17" s="37">
        <f t="shared" ref="Q17:Q20" si="59">SUM(L17:P17)</f>
        <v>25</v>
      </c>
      <c r="S17" s="94"/>
      <c r="T17" s="16" t="s">
        <v>48</v>
      </c>
      <c r="U17" s="53">
        <f>COUNTIFS(Tabela2[Como você avalia o seu grau interesse em comprar bowls* quentes?],'Dados cruzados'!U$2,Tabela2[Classe Social],'Dados cruzados'!$K17)</f>
        <v>3</v>
      </c>
      <c r="V17" s="53">
        <f>COUNTIFS(Tabela2[Como você avalia o seu grau interesse em comprar bowls* quentes?],'Dados cruzados'!V$2,Tabela2[Classe Social],'Dados cruzados'!$K17)</f>
        <v>5</v>
      </c>
      <c r="W17" s="53">
        <f>COUNTIFS(Tabela2[Como você avalia o seu grau interesse em comprar bowls* quentes?],'Dados cruzados'!W$2,Tabela2[Classe Social],'Dados cruzados'!$K17)</f>
        <v>6</v>
      </c>
      <c r="X17" s="53">
        <f>COUNTIFS(Tabela2[Como você avalia o seu grau interesse em comprar bowls* quentes?],'Dados cruzados'!X$2,Tabela2[Classe Social],'Dados cruzados'!$K17)</f>
        <v>7</v>
      </c>
      <c r="Y17" s="53">
        <f>COUNTIFS(Tabela2[Como você avalia o seu grau interesse em comprar bowls* quentes?],'Dados cruzados'!Y$2,Tabela2[Classe Social],'Dados cruzados'!$K17)</f>
        <v>4</v>
      </c>
      <c r="Z17" s="47">
        <f t="shared" ref="Z17:Z20" si="60">SUM(U17:Y17)</f>
        <v>25</v>
      </c>
      <c r="AB17" s="94"/>
      <c r="AC17" s="16" t="s">
        <v>48</v>
      </c>
      <c r="AD17" s="53">
        <f>COUNTIFS(Tabela2[Como você avalia o seu grau de conhecimento sobre as opções de pratos quentes oferecidos pela Olga RI?],'Dados cruzados'!AD$2,Tabela2[Classe Social],'Dados cruzados'!$B17)</f>
        <v>9</v>
      </c>
      <c r="AE17" s="53">
        <f>COUNTIFS(Tabela2[Como você avalia o seu grau de conhecimento sobre as opções de pratos quentes oferecidos pela Olga RI?],'Dados cruzados'!AE$2,Tabela2[Classe Social],'Dados cruzados'!$B17)</f>
        <v>6</v>
      </c>
      <c r="AF17" s="53">
        <f>COUNTIFS(Tabela2[Como você avalia o seu grau de conhecimento sobre as opções de pratos quentes oferecidos pela Olga RI?],'Dados cruzados'!AF$2,Tabela2[Classe Social],'Dados cruzados'!$B17)</f>
        <v>1</v>
      </c>
      <c r="AG17" s="53">
        <f>COUNTIFS(Tabela2[Como você avalia o seu grau de conhecimento sobre as opções de pratos quentes oferecidos pela Olga RI?],'Dados cruzados'!AG$2,Tabela2[Classe Social],'Dados cruzados'!$B17)</f>
        <v>0</v>
      </c>
      <c r="AH17" s="53">
        <f>COUNTIFS(Tabela2[Como você avalia o seu grau de conhecimento sobre as opções de pratos quentes oferecidos pela Olga RI?],'Dados cruzados'!AH$2,Tabela2[Classe Social],'Dados cruzados'!$B17)</f>
        <v>9</v>
      </c>
      <c r="AI17" s="47">
        <f t="shared" ref="AI17:AI20" si="61">SUM(AD17:AH17)</f>
        <v>25</v>
      </c>
      <c r="AK17" s="94"/>
      <c r="AL17" s="16" t="s">
        <v>48</v>
      </c>
      <c r="AM17" s="53">
        <f>COUNTIFS(Tabela2["A Olga Ri é a primeira marca que vem à mente quando penso em comprar opções quentes,"
O quanto você concorda com essa afirmação?],'Dados cruzados'!AM$2,Tabela2[Classe Social],'Dados cruzados'!$B17)</f>
        <v>19</v>
      </c>
      <c r="AN17" s="53">
        <f>COUNTIFS(Tabela2["A Olga Ri é a primeira marca que vem à mente quando penso em comprar opções quentes,"
O quanto você concorda com essa afirmação?],'Dados cruzados'!AN$2,Tabela2[Classe Social],'Dados cruzados'!$B17)</f>
        <v>3</v>
      </c>
      <c r="AO17" s="53">
        <f>COUNTIFS(Tabela2["A Olga Ri é a primeira marca que vem à mente quando penso em comprar opções quentes,"
O quanto você concorda com essa afirmação?],'Dados cruzados'!AO$2,Tabela2[Classe Social],'Dados cruzados'!$B17)</f>
        <v>2</v>
      </c>
      <c r="AP17" s="53">
        <f>COUNTIFS(Tabela2["A Olga Ri é a primeira marca que vem à mente quando penso em comprar opções quentes,"
O quanto você concorda com essa afirmação?],'Dados cruzados'!AP$2,Tabela2[Classe Social],'Dados cruzados'!$B17)</f>
        <v>1</v>
      </c>
      <c r="AQ17" s="53">
        <f>COUNTIFS(Tabela2["A Olga Ri é a primeira marca que vem à mente quando penso em comprar opções quentes,"
O quanto você concorda com essa afirmação?],'Dados cruzados'!AQ$2,Tabela2[Classe Social],'Dados cruzados'!$B17)</f>
        <v>0</v>
      </c>
      <c r="AR17" s="47">
        <f t="shared" ref="AR17:AR20" si="62">SUM(AM17:AQ17)</f>
        <v>25</v>
      </c>
      <c r="AT17" s="94"/>
      <c r="AU17" s="16" t="s">
        <v>48</v>
      </c>
      <c r="AV17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cruzados'!AV$2,Tabela2[Classe Social],'Dados cruzados'!$B17)</f>
        <v>1</v>
      </c>
      <c r="AW17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cruzados'!AW$2,Tabela2[Classe Social],'Dados cruzados'!$B17)</f>
        <v>1</v>
      </c>
      <c r="AX17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cruzados'!AX$2,Tabela2[Classe Social],'Dados cruzados'!$B17)</f>
        <v>6</v>
      </c>
      <c r="AY17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cruzados'!AY$2,Tabela2[Classe Social],'Dados cruzados'!$B17)</f>
        <v>7</v>
      </c>
      <c r="AZ17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cruzados'!AZ$2,Tabela2[Classe Social],'Dados cruzados'!$B17)</f>
        <v>10</v>
      </c>
      <c r="BA17" s="47">
        <f t="shared" ref="BA17:BA20" si="63">SUM(AV17:AZ17)</f>
        <v>25</v>
      </c>
      <c r="BC17" s="94"/>
      <c r="BD17" s="16" t="s">
        <v>48</v>
      </c>
      <c r="BE17" s="26">
        <f>COUNTIFS(Tabela2[Quando você considera experimentar pratos quentes na Olga Ri, quais aspectos são mais importantes para a sua decisão?],"*Ambiente e atmosfera do restaurante*",Tabela2[Classe Social],'Dados cruzados'!$B17)</f>
        <v>15</v>
      </c>
      <c r="BF17" s="26">
        <f>COUNTIFS(Tabela2[Quando você considera experimentar pratos quentes na Olga Ri, quais aspectos são mais importantes para a sua decisão?],"*Avaliação ou recomendação de influenciadores*",Tabela2[Classe Social],'Dados cruzados'!$B17)</f>
        <v>2</v>
      </c>
      <c r="BG17" s="26">
        <f>COUNTIFS(Tabela2[Quando você considera experimentar pratos quentes na Olga Ri, quais aspectos são mais importantes para a sua decisão?],"*Avaliação ou recomendação de outros clientes*",Tabela2[Classe Social],'Dados cruzados'!$B17)</f>
        <v>7</v>
      </c>
      <c r="BH17" s="26">
        <f>COUNTIFS(Tabela2[Quando você considera experimentar pratos quentes na Olga Ri, quais aspectos são mais importantes para a sua decisão?],"*Opções vegetarianas e/ou veganas de pratos quentes*",Tabela2[Classe Social],'Dados cruzados'!$B17)</f>
        <v>4</v>
      </c>
      <c r="BI17" s="26">
        <f>COUNTIFS(Tabela2[Quando você considera experimentar pratos quentes na Olga Ri, quais aspectos são mais importantes para a sua decisão?],"*Preço das opções quentes*",Tabela2[Classe Social],'Dados cruzados'!$B17)</f>
        <v>7</v>
      </c>
      <c r="BJ17" s="26">
        <f>COUNTIFS(Tabela2[Quando você considera experimentar pratos quentes na Olga Ri, quais aspectos são mais importantes para a sua decisão?],"*Tempo de espera para ser servido*",Tabela2[Classe Social],'Dados cruzados'!$B17)</f>
        <v>12</v>
      </c>
      <c r="BK17" s="26">
        <f>COUNTIFS(Tabela2[Quando você considera experimentar pratos quentes na Olga Ri, quais aspectos são mais importantes para a sua decisão?],"*Variedade de opções quentes no cardápio*",Tabela2[Classe Social],'Dados cruzados'!$B17)</f>
        <v>17</v>
      </c>
      <c r="BL17" s="26">
        <v>2</v>
      </c>
      <c r="BM17" s="37">
        <f t="shared" ref="BM17:BM21" si="64">SUM(BE17:BL17)</f>
        <v>66</v>
      </c>
      <c r="BO17" s="94"/>
      <c r="BP17" s="16" t="s">
        <v>48</v>
      </c>
      <c r="BQ17" s="26">
        <f>COUNTIFS(Tabela2[Qual a probabilidade de mudanças realizadas no cardápio de opções quentes influenciarem a sua decisão de compra dos bowls quentes?],'Dados cruzados'!BQ$2,Tabela2[Classe Social],'Dados cruzados'!$B17)</f>
        <v>4</v>
      </c>
      <c r="BR17" s="26">
        <f>COUNTIFS(Tabela2[Qual a probabilidade de mudanças realizadas no cardápio de opções quentes influenciarem a sua decisão de compra dos bowls quentes?],'Dados cruzados'!BR$2,Tabela2[Classe Social],'Dados cruzados'!$B17)</f>
        <v>2</v>
      </c>
      <c r="BS17" s="26">
        <f>COUNTIFS(Tabela2[Qual a probabilidade de mudanças realizadas no cardápio de opções quentes influenciarem a sua decisão de compra dos bowls quentes?],'Dados cruzados'!BS$2,Tabela2[Classe Social],'Dados cruzados'!$B17)</f>
        <v>9</v>
      </c>
      <c r="BT17" s="26">
        <f>COUNTIFS(Tabela2[Qual a probabilidade de mudanças realizadas no cardápio de opções quentes influenciarem a sua decisão de compra dos bowls quentes?],'Dados cruzados'!BT$2,Tabela2[Classe Social],'Dados cruzados'!$B17)</f>
        <v>7</v>
      </c>
      <c r="BU17" s="26">
        <f>COUNTIFS(Tabela2[Qual a probabilidade de mudanças realizadas no cardápio de opções quentes influenciarem a sua decisão de compra dos bowls quentes?],'Dados cruzados'!BU$2,Tabela2[Classe Social],'Dados cruzados'!$B17)</f>
        <v>3</v>
      </c>
      <c r="BV17" s="47">
        <f t="shared" ref="BV17:BV20" si="65">SUM(BQ17:BU17)</f>
        <v>25</v>
      </c>
      <c r="BX17" s="94"/>
      <c r="BY17" s="16" t="s">
        <v>48</v>
      </c>
      <c r="BZ17" s="26">
        <f>COUNTIFS(Tabela2[Que tipo de ingredientes quentes você mais gostaria de ver nos bowls quentes da Olga RI no futuro?],"*Frango Grelhado*",Tabela2[Classe Social],'Dados cruzados'!$B17)</f>
        <v>7</v>
      </c>
      <c r="CA17" s="26">
        <f>COUNTIFS(Tabela2[Que tipo de ingredientes quentes você mais gostaria de ver nos bowls quentes da Olga RI no futuro?],"*Carne seca desfiada*",Tabela2[Classe Social],'Dados cruzados'!$B17)</f>
        <v>9</v>
      </c>
      <c r="CB17" s="26">
        <f>COUNTIFS(Tabela2[Que tipo de ingredientes quentes você mais gostaria de ver nos bowls quentes da Olga RI no futuro?],"*Filé mignon*",Tabela2[Classe Social],'Dados cruzados'!$B17)</f>
        <v>13</v>
      </c>
      <c r="CC17" s="26">
        <f>COUNTIFS(Tabela2[Que tipo de ingredientes quentes você mais gostaria de ver nos bowls quentes da Olga RI no futuro?],"*Falafel*",Tabela2[Classe Social],'Dados cruzados'!$B17)</f>
        <v>9</v>
      </c>
      <c r="CD17" s="26">
        <f>COUNTIFS(Tabela2[Que tipo de ingredientes quentes você mais gostaria de ver nos bowls quentes da Olga RI no futuro?],"*Salmão grelhado com molho teriyaki*",Tabela2[Classe Social],'Dados cruzados'!$B17)</f>
        <v>15</v>
      </c>
      <c r="CE17" s="26">
        <f>COUNTIFS(Tabela2[Que tipo de ingredientes quentes você mais gostaria de ver nos bowls quentes da Olga RI no futuro?],"*Atum selado com gergelim*",Tabela2[Classe Social],'Dados cruzados'!$B17)</f>
        <v>10</v>
      </c>
      <c r="CF17" s="26">
        <f>COUNTIFS(Tabela2[Que tipo de ingredientes quentes você mais gostaria de ver nos bowls quentes da Olga RI no futuro?],"*Beterraba*",Tabela2[Classe Social],'Dados cruzados'!$B17)</f>
        <v>1</v>
      </c>
      <c r="CG17" s="60">
        <f t="shared" ref="CG17:CG21" si="66">SUM(BZ17:CF17)</f>
        <v>64</v>
      </c>
      <c r="CI17" s="94"/>
      <c r="CJ17" s="16" t="s">
        <v>48</v>
      </c>
      <c r="CK17" s="26">
        <f>COUNTIFS(Tabela2[Levando em consideração que os ingredientes escolhidos por você estivessem disponíveis na próxima virada de cardápio da Olga RI, qual é a chance de você comprar esse bowl quente? ],'Dados cruzados'!CK$2,Tabela2[Classe Social],'Dados cruzados'!$B17)</f>
        <v>0</v>
      </c>
      <c r="CL17" s="26">
        <f>COUNTIFS(Tabela2[Levando em consideração que os ingredientes escolhidos por você estivessem disponíveis na próxima virada de cardápio da Olga RI, qual é a chance de você comprar esse bowl quente? ],'Dados cruzados'!CL$2,Tabela2[Classe Social],'Dados cruzados'!$B17)</f>
        <v>0</v>
      </c>
      <c r="CM17" s="26">
        <f>COUNTIFS(Tabela2[Levando em consideração que os ingredientes escolhidos por você estivessem disponíveis na próxima virada de cardápio da Olga RI, qual é a chance de você comprar esse bowl quente? ],'Dados cruzados'!CM$2,Tabela2[Classe Social],'Dados cruzados'!$B17)</f>
        <v>4</v>
      </c>
      <c r="CN17" s="26">
        <f>COUNTIFS(Tabela2[Levando em consideração que os ingredientes escolhidos por você estivessem disponíveis na próxima virada de cardápio da Olga RI, qual é a chance de você comprar esse bowl quente? ],'Dados cruzados'!CN$2,Tabela2[Classe Social],'Dados cruzados'!$B17)</f>
        <v>9</v>
      </c>
      <c r="CO17" s="26">
        <f>COUNTIFS(Tabela2[Levando em consideração que os ingredientes escolhidos por você estivessem disponíveis na próxima virada de cardápio da Olga RI, qual é a chance de você comprar esse bowl quente? ],'Dados cruzados'!CO$2,Tabela2[Classe Social],'Dados cruzados'!$B17)</f>
        <v>12</v>
      </c>
      <c r="CP17" s="47">
        <f t="shared" ref="CP17:CP20" si="67">SUM(CK17:CO17)</f>
        <v>25</v>
      </c>
      <c r="CR17" s="94"/>
      <c r="CS17" s="16" t="s">
        <v>48</v>
      </c>
      <c r="CT17" s="26">
        <f>COUNTIFS(Tabela2[Com a inclusão das novas opções de bowls quentes, qual é a probabilidade de você optar por essas opções da Olga RI em dias mais frios? ],'Dados cruzados'!CT$2,Tabela2[Classe Social],'Dados cruzados'!$B17)</f>
        <v>0</v>
      </c>
      <c r="CU17" s="26">
        <f>COUNTIFS(Tabela2[Com a inclusão das novas opções de bowls quentes, qual é a probabilidade de você optar por essas opções da Olga RI em dias mais frios? ],'Dados cruzados'!CU$2,Tabela2[Classe Social],'Dados cruzados'!$B17)</f>
        <v>1</v>
      </c>
      <c r="CV17" s="26">
        <f>COUNTIFS(Tabela2[Com a inclusão das novas opções de bowls quentes, qual é a probabilidade de você optar por essas opções da Olga RI em dias mais frios? ],'Dados cruzados'!CV$2,Tabela2[Classe Social],'Dados cruzados'!$B17)</f>
        <v>8</v>
      </c>
      <c r="CW17" s="26">
        <f>COUNTIFS(Tabela2[Com a inclusão das novas opções de bowls quentes, qual é a probabilidade de você optar por essas opções da Olga RI em dias mais frios? ],'Dados cruzados'!CW$2,Tabela2[Classe Social],'Dados cruzados'!$B17)</f>
        <v>5</v>
      </c>
      <c r="CX17" s="26">
        <f>COUNTIFS(Tabela2[Com a inclusão das novas opções de bowls quentes, qual é a probabilidade de você optar por essas opções da Olga RI em dias mais frios? ],'Dados cruzados'!CX$2,Tabela2[Classe Social],'Dados cruzados'!$B17)</f>
        <v>11</v>
      </c>
      <c r="CY17" s="76">
        <f t="shared" ref="CY17:CY20" si="68">SUM(CT17:CX17)</f>
        <v>25</v>
      </c>
    </row>
    <row r="18" spans="1:103" ht="15.6">
      <c r="A18" s="87"/>
      <c r="B18" s="29" t="s">
        <v>62</v>
      </c>
      <c r="C18" s="30">
        <f>COUNTIFS(Tabela2[Com que frequência você costuma consumir saladas na Olga Ri?],'Dados cruzados'!C2,Tabela2[Classe Social],'Dados cruzados'!$B$18)</f>
        <v>8</v>
      </c>
      <c r="D18" s="30">
        <f>COUNTIFS(Tabela2[Com que frequência você costuma consumir saladas na Olga Ri?],'Dados cruzados'!D2,Tabela2[Classe Social],'Dados cruzados'!$B$18)</f>
        <v>11</v>
      </c>
      <c r="E18" s="30">
        <f>COUNTIFS(Tabela2[Com que frequência você costuma consumir saladas na Olga Ri?],'Dados cruzados'!E2,Tabela2[Classe Social],'Dados cruzados'!$B$18)</f>
        <v>5</v>
      </c>
      <c r="F18" s="30">
        <f>COUNTIFS(Tabela2[Com que frequência você costuma consumir saladas na Olga Ri?],'Dados cruzados'!F2,Tabela2[Classe Social],'Dados cruzados'!$B$18)</f>
        <v>1</v>
      </c>
      <c r="G18" s="30">
        <f>COUNTIFS(Tabela2[Com que frequência você costuma consumir saladas na Olga Ri?],'Dados cruzados'!G2,Tabela2[Classe Social],'Dados cruzados'!$B$18)</f>
        <v>2</v>
      </c>
      <c r="H18" s="36">
        <f t="shared" si="58"/>
        <v>27</v>
      </c>
      <c r="J18" s="87"/>
      <c r="K18" s="29" t="s">
        <v>62</v>
      </c>
      <c r="L18" s="30">
        <f>COUNTIFS(Tabela2[Como você avalia o seu grau de importância do clima na escolha das refeições que você costuma adquirir?],'Dados cruzados'!L$2,Tabela2[Classe Social],'Dados cruzados'!$K18)</f>
        <v>4</v>
      </c>
      <c r="M18" s="30">
        <f>COUNTIFS(Tabela2[Como você avalia o seu grau de importância do clima na escolha das refeições que você costuma adquirir?],'Dados cruzados'!M$2,Tabela2[Classe Social],'Dados cruzados'!$K18)</f>
        <v>1</v>
      </c>
      <c r="N18" s="30">
        <f>COUNTIFS(Tabela2[Como você avalia o seu grau de importância do clima na escolha das refeições que você costuma adquirir?],'Dados cruzados'!N$2,Tabela2[Classe Social],'Dados cruzados'!$K18)</f>
        <v>4</v>
      </c>
      <c r="O18" s="30">
        <f>COUNTIFS(Tabela2[Como você avalia o seu grau de importância do clima na escolha das refeições que você costuma adquirir?],'Dados cruzados'!O$2,Tabela2[Classe Social],'Dados cruzados'!$K18)</f>
        <v>10</v>
      </c>
      <c r="P18" s="30">
        <f>COUNTIFS(Tabela2[Como você avalia o seu grau de importância do clima na escolha das refeições que você costuma adquirir?],'Dados cruzados'!P$2,Tabela2[Classe Social],'Dados cruzados'!$K18)</f>
        <v>8</v>
      </c>
      <c r="Q18" s="36">
        <f t="shared" si="59"/>
        <v>27</v>
      </c>
      <c r="S18" s="94"/>
      <c r="T18" s="29" t="s">
        <v>62</v>
      </c>
      <c r="U18" s="45">
        <f>COUNTIFS(Tabela2[Como você avalia o seu grau interesse em comprar bowls* quentes?],'Dados cruzados'!U$2,Tabela2[Classe Social],'Dados cruzados'!$K18)</f>
        <v>3</v>
      </c>
      <c r="V18" s="45">
        <f>COUNTIFS(Tabela2[Como você avalia o seu grau interesse em comprar bowls* quentes?],'Dados cruzados'!V$2,Tabela2[Classe Social],'Dados cruzados'!$K18)</f>
        <v>5</v>
      </c>
      <c r="W18" s="45">
        <f>COUNTIFS(Tabela2[Como você avalia o seu grau interesse em comprar bowls* quentes?],'Dados cruzados'!W$2,Tabela2[Classe Social],'Dados cruzados'!$K18)</f>
        <v>9</v>
      </c>
      <c r="X18" s="45">
        <f>COUNTIFS(Tabela2[Como você avalia o seu grau interesse em comprar bowls* quentes?],'Dados cruzados'!X$2,Tabela2[Classe Social],'Dados cruzados'!$K18)</f>
        <v>4</v>
      </c>
      <c r="Y18" s="45">
        <f>COUNTIFS(Tabela2[Como você avalia o seu grau interesse em comprar bowls* quentes?],'Dados cruzados'!Y$2,Tabela2[Classe Social],'Dados cruzados'!$K18)</f>
        <v>6</v>
      </c>
      <c r="Z18" s="48">
        <f t="shared" si="60"/>
        <v>27</v>
      </c>
      <c r="AB18" s="94"/>
      <c r="AC18" s="29" t="s">
        <v>62</v>
      </c>
      <c r="AD18" s="45">
        <f>COUNTIFS(Tabela2[Como você avalia o seu grau de conhecimento sobre as opções de pratos quentes oferecidos pela Olga RI?],'Dados cruzados'!AD$2,Tabela2[Classe Social],'Dados cruzados'!$B18)</f>
        <v>9</v>
      </c>
      <c r="AE18" s="45">
        <f>COUNTIFS(Tabela2[Como você avalia o seu grau de conhecimento sobre as opções de pratos quentes oferecidos pela Olga RI?],'Dados cruzados'!AE$2,Tabela2[Classe Social],'Dados cruzados'!$B18)</f>
        <v>5</v>
      </c>
      <c r="AF18" s="45">
        <f>COUNTIFS(Tabela2[Como você avalia o seu grau de conhecimento sobre as opções de pratos quentes oferecidos pela Olga RI?],'Dados cruzados'!AF$2,Tabela2[Classe Social],'Dados cruzados'!$B18)</f>
        <v>6</v>
      </c>
      <c r="AG18" s="45">
        <f>COUNTIFS(Tabela2[Como você avalia o seu grau de conhecimento sobre as opções de pratos quentes oferecidos pela Olga RI?],'Dados cruzados'!AG$2,Tabela2[Classe Social],'Dados cruzados'!$B18)</f>
        <v>4</v>
      </c>
      <c r="AH18" s="45">
        <f>COUNTIFS(Tabela2[Como você avalia o seu grau de conhecimento sobre as opções de pratos quentes oferecidos pela Olga RI?],'Dados cruzados'!AH$2,Tabela2[Classe Social],'Dados cruzados'!$B18)</f>
        <v>3</v>
      </c>
      <c r="AI18" s="48">
        <f t="shared" si="61"/>
        <v>27</v>
      </c>
      <c r="AK18" s="94"/>
      <c r="AL18" s="29" t="s">
        <v>62</v>
      </c>
      <c r="AM18" s="45">
        <f>COUNTIFS(Tabela2["A Olga Ri é a primeira marca que vem à mente quando penso em comprar opções quentes,"
O quanto você concorda com essa afirmação?],'Dados cruzados'!AM$2,Tabela2[Classe Social],'Dados cruzados'!$B18)</f>
        <v>23</v>
      </c>
      <c r="AN18" s="45">
        <f>COUNTIFS(Tabela2["A Olga Ri é a primeira marca que vem à mente quando penso em comprar opções quentes,"
O quanto você concorda com essa afirmação?],'Dados cruzados'!AN$2,Tabela2[Classe Social],'Dados cruzados'!$B18)</f>
        <v>2</v>
      </c>
      <c r="AO18" s="45">
        <f>COUNTIFS(Tabela2["A Olga Ri é a primeira marca que vem à mente quando penso em comprar opções quentes,"
O quanto você concorda com essa afirmação?],'Dados cruzados'!AO$2,Tabela2[Classe Social],'Dados cruzados'!$B18)</f>
        <v>1</v>
      </c>
      <c r="AP18" s="45">
        <f>COUNTIFS(Tabela2["A Olga Ri é a primeira marca que vem à mente quando penso em comprar opções quentes,"
O quanto você concorda com essa afirmação?],'Dados cruzados'!AP$2,Tabela2[Classe Social],'Dados cruzados'!$B18)</f>
        <v>0</v>
      </c>
      <c r="AQ18" s="45">
        <f>COUNTIFS(Tabela2["A Olga Ri é a primeira marca que vem à mente quando penso em comprar opções quentes,"
O quanto você concorda com essa afirmação?],'Dados cruzados'!AQ$2,Tabela2[Classe Social],'Dados cruzados'!$B18)</f>
        <v>1</v>
      </c>
      <c r="AR18" s="48">
        <f t="shared" si="62"/>
        <v>27</v>
      </c>
      <c r="AT18" s="94"/>
      <c r="AU18" s="29" t="s">
        <v>62</v>
      </c>
      <c r="AV18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cruzados'!AV$2,Tabela2[Classe Social],'Dados cruzados'!$B18)</f>
        <v>2</v>
      </c>
      <c r="AW18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cruzados'!AW$2,Tabela2[Classe Social],'Dados cruzados'!$B18)</f>
        <v>2</v>
      </c>
      <c r="AX18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cruzados'!AX$2,Tabela2[Classe Social],'Dados cruzados'!$B18)</f>
        <v>0</v>
      </c>
      <c r="AY18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cruzados'!AY$2,Tabela2[Classe Social],'Dados cruzados'!$B18)</f>
        <v>9</v>
      </c>
      <c r="AZ18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cruzados'!AZ$2,Tabela2[Classe Social],'Dados cruzados'!$B18)</f>
        <v>14</v>
      </c>
      <c r="BA18" s="48">
        <f t="shared" si="63"/>
        <v>27</v>
      </c>
      <c r="BC18" s="94"/>
      <c r="BD18" s="29" t="s">
        <v>62</v>
      </c>
      <c r="BE18" s="30">
        <f>COUNTIFS(Tabela2[Quando você considera experimentar pratos quentes na Olga Ri, quais aspectos são mais importantes para a sua decisão?],"*Ambiente e atmosfera do restaurante*",Tabela2[Classe Social],'Dados cruzados'!$B18)</f>
        <v>13</v>
      </c>
      <c r="BF18" s="30">
        <f>COUNTIFS(Tabela2[Quando você considera experimentar pratos quentes na Olga Ri, quais aspectos são mais importantes para a sua decisão?],"*Avaliação ou recomendação de influenciadores*",Tabela2[Classe Social],'Dados cruzados'!$B18)</f>
        <v>2</v>
      </c>
      <c r="BG18" s="30">
        <f>COUNTIFS(Tabela2[Quando você considera experimentar pratos quentes na Olga Ri, quais aspectos são mais importantes para a sua decisão?],"*Avaliação ou recomendação de outros clientes*",Tabela2[Classe Social],'Dados cruzados'!$B18)</f>
        <v>6</v>
      </c>
      <c r="BH18" s="30">
        <f>COUNTIFS(Tabela2[Quando você considera experimentar pratos quentes na Olga Ri, quais aspectos são mais importantes para a sua decisão?],"*Opções vegetarianas e/ou veganas de pratos quentes*",Tabela2[Classe Social],'Dados cruzados'!$B18)</f>
        <v>8</v>
      </c>
      <c r="BI18" s="30">
        <f>COUNTIFS(Tabela2[Quando você considera experimentar pratos quentes na Olga Ri, quais aspectos são mais importantes para a sua decisão?],"*Preço das opções quentes*",Tabela2[Classe Social],'Dados cruzados'!$B18)</f>
        <v>12</v>
      </c>
      <c r="BJ18" s="30">
        <f>COUNTIFS(Tabela2[Quando você considera experimentar pratos quentes na Olga Ri, quais aspectos são mais importantes para a sua decisão?],"*Tempo de espera para ser servido*",Tabela2[Classe Social],'Dados cruzados'!$B18)</f>
        <v>7</v>
      </c>
      <c r="BK18" s="30">
        <f>COUNTIFS(Tabela2[Quando você considera experimentar pratos quentes na Olga Ri, quais aspectos são mais importantes para a sua decisão?],"*Variedade de opções quentes no cardápio*",Tabela2[Classe Social],'Dados cruzados'!$B18)</f>
        <v>17</v>
      </c>
      <c r="BL18" s="30">
        <f>COUNTIFS(Tabela2[Quando você considera experimentar pratos quentes na Olga Ri, quais aspectos são mais importantes para a sua decisão?],"*Muitas opções de salada*",Tabela2[Classe Social],'Dados cruzados'!$B18)</f>
        <v>0</v>
      </c>
      <c r="BM18" s="36">
        <f t="shared" si="64"/>
        <v>65</v>
      </c>
      <c r="BO18" s="94"/>
      <c r="BP18" s="29" t="s">
        <v>62</v>
      </c>
      <c r="BQ18" s="30">
        <f>COUNTIFS(Tabela2[Qual a probabilidade de mudanças realizadas no cardápio de opções quentes influenciarem a sua decisão de compra dos bowls quentes?],'Dados cruzados'!BQ$2,Tabela2[Classe Social],'Dados cruzados'!$B18)</f>
        <v>3</v>
      </c>
      <c r="BR18" s="30">
        <f>COUNTIFS(Tabela2[Qual a probabilidade de mudanças realizadas no cardápio de opções quentes influenciarem a sua decisão de compra dos bowls quentes?],'Dados cruzados'!BR$2,Tabela2[Classe Social],'Dados cruzados'!$B18)</f>
        <v>4</v>
      </c>
      <c r="BS18" s="30">
        <f>COUNTIFS(Tabela2[Qual a probabilidade de mudanças realizadas no cardápio de opções quentes influenciarem a sua decisão de compra dos bowls quentes?],'Dados cruzados'!BS$2,Tabela2[Classe Social],'Dados cruzados'!$B18)</f>
        <v>10</v>
      </c>
      <c r="BT18" s="30">
        <f>COUNTIFS(Tabela2[Qual a probabilidade de mudanças realizadas no cardápio de opções quentes influenciarem a sua decisão de compra dos bowls quentes?],'Dados cruzados'!BT$2,Tabela2[Classe Social],'Dados cruzados'!$B18)</f>
        <v>8</v>
      </c>
      <c r="BU18" s="30">
        <f>COUNTIFS(Tabela2[Qual a probabilidade de mudanças realizadas no cardápio de opções quentes influenciarem a sua decisão de compra dos bowls quentes?],'Dados cruzados'!BU$2,Tabela2[Classe Social],'Dados cruzados'!$B18)</f>
        <v>2</v>
      </c>
      <c r="BV18" s="48">
        <f t="shared" si="65"/>
        <v>27</v>
      </c>
      <c r="BX18" s="94"/>
      <c r="BY18" s="29" t="s">
        <v>62</v>
      </c>
      <c r="BZ18" s="30">
        <f>COUNTIFS(Tabela2[Que tipo de ingredientes quentes você mais gostaria de ver nos bowls quentes da Olga RI no futuro?],"*Frango Grelhado*",Tabela2[Classe Social],'Dados cruzados'!$B18)</f>
        <v>7</v>
      </c>
      <c r="CA18" s="30">
        <f>COUNTIFS(Tabela2[Que tipo de ingredientes quentes você mais gostaria de ver nos bowls quentes da Olga RI no futuro?],"*Carne seca desfiada*",Tabela2[Classe Social],'Dados cruzados'!$B18)</f>
        <v>10</v>
      </c>
      <c r="CB18" s="30">
        <f>COUNTIFS(Tabela2[Que tipo de ingredientes quentes você mais gostaria de ver nos bowls quentes da Olga RI no futuro?],"*Filé mignon*",Tabela2[Classe Social],'Dados cruzados'!$B18)</f>
        <v>7</v>
      </c>
      <c r="CC18" s="30">
        <f>COUNTIFS(Tabela2[Que tipo de ingredientes quentes você mais gostaria de ver nos bowls quentes da Olga RI no futuro?],"*Falafel*",Tabela2[Classe Social],'Dados cruzados'!$B18)</f>
        <v>13</v>
      </c>
      <c r="CD18" s="30">
        <f>COUNTIFS(Tabela2[Que tipo de ingredientes quentes você mais gostaria de ver nos bowls quentes da Olga RI no futuro?],"*Salmão grelhado com molho teriyaki*",Tabela2[Classe Social],'Dados cruzados'!$B18)</f>
        <v>13</v>
      </c>
      <c r="CE18" s="30">
        <f>COUNTIFS(Tabela2[Que tipo de ingredientes quentes você mais gostaria de ver nos bowls quentes da Olga RI no futuro?],"*Atum selado com gergelim*",Tabela2[Classe Social],'Dados cruzados'!$B18)</f>
        <v>10</v>
      </c>
      <c r="CF18" s="30">
        <f>COUNTIFS(Tabela2[Que tipo de ingredientes quentes você mais gostaria de ver nos bowls quentes da Olga RI no futuro?],"*Bacon*",Tabela2[Classe Social],'Dados cruzados'!$B18)</f>
        <v>0</v>
      </c>
      <c r="CG18" s="46">
        <f t="shared" si="66"/>
        <v>60</v>
      </c>
      <c r="CI18" s="94"/>
      <c r="CJ18" s="29" t="s">
        <v>62</v>
      </c>
      <c r="CK18" s="30">
        <f>COUNTIFS(Tabela2[Levando em consideração que os ingredientes escolhidos por você estivessem disponíveis na próxima virada de cardápio da Olga RI, qual é a chance de você comprar esse bowl quente? ],'Dados cruzados'!CK$2,Tabela2[Classe Social],'Dados cruzados'!$B18)</f>
        <v>1</v>
      </c>
      <c r="CL18" s="30">
        <f>COUNTIFS(Tabela2[Levando em consideração que os ingredientes escolhidos por você estivessem disponíveis na próxima virada de cardápio da Olga RI, qual é a chance de você comprar esse bowl quente? ],'Dados cruzados'!CL$2,Tabela2[Classe Social],'Dados cruzados'!$B18)</f>
        <v>0</v>
      </c>
      <c r="CM18" s="30">
        <f>COUNTIFS(Tabela2[Levando em consideração que os ingredientes escolhidos por você estivessem disponíveis na próxima virada de cardápio da Olga RI, qual é a chance de você comprar esse bowl quente? ],'Dados cruzados'!CM$2,Tabela2[Classe Social],'Dados cruzados'!$B18)</f>
        <v>3</v>
      </c>
      <c r="CN18" s="30">
        <f>COUNTIFS(Tabela2[Levando em consideração que os ingredientes escolhidos por você estivessem disponíveis na próxima virada de cardápio da Olga RI, qual é a chance de você comprar esse bowl quente? ],'Dados cruzados'!CN$2,Tabela2[Classe Social],'Dados cruzados'!$B18)</f>
        <v>8</v>
      </c>
      <c r="CO18" s="30">
        <f>COUNTIFS(Tabela2[Levando em consideração que os ingredientes escolhidos por você estivessem disponíveis na próxima virada de cardápio da Olga RI, qual é a chance de você comprar esse bowl quente? ],'Dados cruzados'!CO$2,Tabela2[Classe Social],'Dados cruzados'!$B18)</f>
        <v>15</v>
      </c>
      <c r="CP18" s="48">
        <f t="shared" si="67"/>
        <v>27</v>
      </c>
      <c r="CR18" s="94"/>
      <c r="CS18" s="29" t="s">
        <v>62</v>
      </c>
      <c r="CT18" s="30">
        <f>COUNTIFS(Tabela2[Com a inclusão das novas opções de bowls quentes, qual é a probabilidade de você optar por essas opções da Olga RI em dias mais frios? ],'Dados cruzados'!CT$2,Tabela2[Classe Social],'Dados cruzados'!$B18)</f>
        <v>3</v>
      </c>
      <c r="CU18" s="30">
        <f>COUNTIFS(Tabela2[Com a inclusão das novas opções de bowls quentes, qual é a probabilidade de você optar por essas opções da Olga RI em dias mais frios? ],'Dados cruzados'!CU$2,Tabela2[Classe Social],'Dados cruzados'!$B18)</f>
        <v>1</v>
      </c>
      <c r="CV18" s="30">
        <f>COUNTIFS(Tabela2[Com a inclusão das novas opções de bowls quentes, qual é a probabilidade de você optar por essas opções da Olga RI em dias mais frios? ],'Dados cruzados'!CV$2,Tabela2[Classe Social],'Dados cruzados'!$B18)</f>
        <v>6</v>
      </c>
      <c r="CW18" s="30">
        <f>COUNTIFS(Tabela2[Com a inclusão das novas opções de bowls quentes, qual é a probabilidade de você optar por essas opções da Olga RI em dias mais frios? ],'Dados cruzados'!CW$2,Tabela2[Classe Social],'Dados cruzados'!$B18)</f>
        <v>7</v>
      </c>
      <c r="CX18" s="30">
        <f>COUNTIFS(Tabela2[Com a inclusão das novas opções de bowls quentes, qual é a probabilidade de você optar por essas opções da Olga RI em dias mais frios? ],'Dados cruzados'!CX$2,Tabela2[Classe Social],'Dados cruzados'!$B18)</f>
        <v>10</v>
      </c>
      <c r="CY18" s="75">
        <f t="shared" si="68"/>
        <v>27</v>
      </c>
    </row>
    <row r="19" spans="1:103" ht="15.6">
      <c r="A19" s="87"/>
      <c r="B19" s="16" t="s">
        <v>79</v>
      </c>
      <c r="C19" s="26">
        <f>COUNTIFS(Tabela2[Com que frequência você costuma consumir saladas na Olga Ri?],'Dados cruzados'!C2,Tabela2[Classe Social],'Dados cruzados'!$B$19)</f>
        <v>6</v>
      </c>
      <c r="D19" s="26">
        <f>COUNTIFS(Tabela2[Com que frequência você costuma consumir saladas na Olga Ri?],'Dados cruzados'!D2,Tabela2[Classe Social],'Dados cruzados'!$B$19)</f>
        <v>3</v>
      </c>
      <c r="E19" s="26">
        <f>COUNTIFS(Tabela2[Com que frequência você costuma consumir saladas na Olga Ri?],'Dados cruzados'!E2,Tabela2[Classe Social],'Dados cruzados'!$B$19)</f>
        <v>0</v>
      </c>
      <c r="F19" s="26">
        <f>COUNTIFS(Tabela2[Com que frequência você costuma consumir saladas na Olga Ri?],'Dados cruzados'!F2,Tabela2[Classe Social],'Dados cruzados'!$B$19)</f>
        <v>0</v>
      </c>
      <c r="G19" s="26">
        <f>COUNTIFS(Tabela2[Com que frequência você costuma consumir saladas na Olga Ri?],'Dados cruzados'!G2,Tabela2[Classe Social],'Dados cruzados'!$B$19)</f>
        <v>0</v>
      </c>
      <c r="H19" s="37">
        <f t="shared" si="58"/>
        <v>9</v>
      </c>
      <c r="J19" s="87"/>
      <c r="K19" s="16" t="s">
        <v>79</v>
      </c>
      <c r="L19" s="26">
        <f>COUNTIFS(Tabela2[Como você avalia o seu grau de importância do clima na escolha das refeições que você costuma adquirir?],'Dados cruzados'!L$2,Tabela2[Classe Social],'Dados cruzados'!$K19)</f>
        <v>1</v>
      </c>
      <c r="M19" s="26">
        <f>COUNTIFS(Tabela2[Como você avalia o seu grau de importância do clima na escolha das refeições que você costuma adquirir?],'Dados cruzados'!M$2,Tabela2[Classe Social],'Dados cruzados'!$K19)</f>
        <v>0</v>
      </c>
      <c r="N19" s="26">
        <f>COUNTIFS(Tabela2[Como você avalia o seu grau de importância do clima na escolha das refeições que você costuma adquirir?],'Dados cruzados'!N$2,Tabela2[Classe Social],'Dados cruzados'!$K19)</f>
        <v>3</v>
      </c>
      <c r="O19" s="26">
        <f>COUNTIFS(Tabela2[Como você avalia o seu grau de importância do clima na escolha das refeições que você costuma adquirir?],'Dados cruzados'!O$2,Tabela2[Classe Social],'Dados cruzados'!$K19)</f>
        <v>3</v>
      </c>
      <c r="P19" s="83">
        <f>COUNTIFS(Tabela2[Como você avalia o seu grau de importância do clima na escolha das refeições que você costuma adquirir?],'Dados cruzados'!P$2,Tabela2[Classe Social],'Dados cruzados'!$K19)</f>
        <v>2</v>
      </c>
      <c r="Q19" s="37">
        <f t="shared" si="59"/>
        <v>9</v>
      </c>
      <c r="S19" s="94"/>
      <c r="T19" s="16" t="s">
        <v>79</v>
      </c>
      <c r="U19" s="53">
        <f>COUNTIFS(Tabela2[Como você avalia o seu grau interesse em comprar bowls* quentes?],'Dados cruzados'!U$2,Tabela2[Classe Social],'Dados cruzados'!$K19)</f>
        <v>3</v>
      </c>
      <c r="V19" s="53">
        <f>COUNTIFS(Tabela2[Como você avalia o seu grau interesse em comprar bowls* quentes?],'Dados cruzados'!V$2,Tabela2[Classe Social],'Dados cruzados'!$K19)</f>
        <v>3</v>
      </c>
      <c r="W19" s="53">
        <f>COUNTIFS(Tabela2[Como você avalia o seu grau interesse em comprar bowls* quentes?],'Dados cruzados'!W$2,Tabela2[Classe Social],'Dados cruzados'!$K19)</f>
        <v>0</v>
      </c>
      <c r="X19" s="53">
        <f>COUNTIFS(Tabela2[Como você avalia o seu grau interesse em comprar bowls* quentes?],'Dados cruzados'!X$2,Tabela2[Classe Social],'Dados cruzados'!$K19)</f>
        <v>2</v>
      </c>
      <c r="Y19" s="53">
        <f>COUNTIFS(Tabela2[Como você avalia o seu grau interesse em comprar bowls* quentes?],'Dados cruzados'!Y$2,Tabela2[Classe Social],'Dados cruzados'!$K19)</f>
        <v>1</v>
      </c>
      <c r="Z19" s="47">
        <f t="shared" si="60"/>
        <v>9</v>
      </c>
      <c r="AB19" s="94"/>
      <c r="AC19" s="16" t="s">
        <v>79</v>
      </c>
      <c r="AD19" s="53">
        <f>COUNTIFS(Tabela2[Como você avalia o seu grau de conhecimento sobre as opções de pratos quentes oferecidos pela Olga RI?],'Dados cruzados'!AD$2,Tabela2[Classe Social],'Dados cruzados'!$B19)</f>
        <v>3</v>
      </c>
      <c r="AE19" s="53">
        <f>COUNTIFS(Tabela2[Como você avalia o seu grau de conhecimento sobre as opções de pratos quentes oferecidos pela Olga RI?],'Dados cruzados'!AE$2,Tabela2[Classe Social],'Dados cruzados'!$B19)</f>
        <v>4</v>
      </c>
      <c r="AF19" s="53">
        <f>COUNTIFS(Tabela2[Como você avalia o seu grau de conhecimento sobre as opções de pratos quentes oferecidos pela Olga RI?],'Dados cruzados'!AF$2,Tabela2[Classe Social],'Dados cruzados'!$B19)</f>
        <v>1</v>
      </c>
      <c r="AG19" s="53">
        <f>COUNTIFS(Tabela2[Como você avalia o seu grau de conhecimento sobre as opções de pratos quentes oferecidos pela Olga RI?],'Dados cruzados'!AG$2,Tabela2[Classe Social],'Dados cruzados'!$B19)</f>
        <v>0</v>
      </c>
      <c r="AH19" s="53">
        <f>COUNTIFS(Tabela2[Como você avalia o seu grau de conhecimento sobre as opções de pratos quentes oferecidos pela Olga RI?],'Dados cruzados'!AH$2,Tabela2[Classe Social],'Dados cruzados'!$B19)</f>
        <v>1</v>
      </c>
      <c r="AI19" s="47">
        <f t="shared" si="61"/>
        <v>9</v>
      </c>
      <c r="AK19" s="94"/>
      <c r="AL19" s="16" t="s">
        <v>79</v>
      </c>
      <c r="AM19" s="53">
        <f>COUNTIFS(Tabela2["A Olga Ri é a primeira marca que vem à mente quando penso em comprar opções quentes,"
O quanto você concorda com essa afirmação?],'Dados cruzados'!AM$2,Tabela2[Classe Social],'Dados cruzados'!$B19)</f>
        <v>9</v>
      </c>
      <c r="AN19" s="53">
        <f>COUNTIFS(Tabela2["A Olga Ri é a primeira marca que vem à mente quando penso em comprar opções quentes,"
O quanto você concorda com essa afirmação?],'Dados cruzados'!AN$2,Tabela2[Classe Social],'Dados cruzados'!$B19)</f>
        <v>0</v>
      </c>
      <c r="AO19" s="53">
        <f>COUNTIFS(Tabela2["A Olga Ri é a primeira marca que vem à mente quando penso em comprar opções quentes,"
O quanto você concorda com essa afirmação?],'Dados cruzados'!AO$2,Tabela2[Classe Social],'Dados cruzados'!$B19)</f>
        <v>0</v>
      </c>
      <c r="AP19" s="53">
        <f>COUNTIFS(Tabela2["A Olga Ri é a primeira marca que vem à mente quando penso em comprar opções quentes,"
O quanto você concorda com essa afirmação?],'Dados cruzados'!AP$2,Tabela2[Classe Social],'Dados cruzados'!$B19)</f>
        <v>0</v>
      </c>
      <c r="AQ19" s="53">
        <f>COUNTIFS(Tabela2["A Olga Ri é a primeira marca que vem à mente quando penso em comprar opções quentes,"
O quanto você concorda com essa afirmação?],'Dados cruzados'!AQ$2,Tabela2[Classe Social],'Dados cruzados'!$B19)</f>
        <v>0</v>
      </c>
      <c r="AR19" s="47">
        <f t="shared" si="62"/>
        <v>9</v>
      </c>
      <c r="AT19" s="94"/>
      <c r="AU19" s="16" t="s">
        <v>79</v>
      </c>
      <c r="AV1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cruzados'!AV$2,Tabela2[Classe Social],'Dados cruzados'!$B19)</f>
        <v>0</v>
      </c>
      <c r="AW1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cruzados'!AW$2,Tabela2[Classe Social],'Dados cruzados'!$B19)</f>
        <v>2</v>
      </c>
      <c r="AX1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cruzados'!AX$2,Tabela2[Classe Social],'Dados cruzados'!$B19)</f>
        <v>2</v>
      </c>
      <c r="AY1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cruzados'!AY$2,Tabela2[Classe Social],'Dados cruzados'!$B19)</f>
        <v>1</v>
      </c>
      <c r="AZ19" s="53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cruzados'!AZ$2,Tabela2[Classe Social],'Dados cruzados'!$B19)</f>
        <v>4</v>
      </c>
      <c r="BA19" s="47">
        <f t="shared" si="63"/>
        <v>9</v>
      </c>
      <c r="BC19" s="94"/>
      <c r="BD19" s="16" t="s">
        <v>79</v>
      </c>
      <c r="BE19" s="26">
        <f>COUNTIFS(Tabela2[Quando você considera experimentar pratos quentes na Olga Ri, quais aspectos são mais importantes para a sua decisão?],"*Ambiente e atmosfera do restaurante*",Tabela2[Classe Social],'Dados cruzados'!$B19)</f>
        <v>4</v>
      </c>
      <c r="BF19" s="26">
        <f>COUNTIFS(Tabela2[Quando você considera experimentar pratos quentes na Olga Ri, quais aspectos são mais importantes para a sua decisão?],"*Avaliação ou recomendação de influenciadores*",Tabela2[Classe Social],'Dados cruzados'!$B19)</f>
        <v>0</v>
      </c>
      <c r="BG19" s="26">
        <f>COUNTIFS(Tabela2[Quando você considera experimentar pratos quentes na Olga Ri, quais aspectos são mais importantes para a sua decisão?],"*Avaliação ou recomendação de outros clientes*",Tabela2[Classe Social],'Dados cruzados'!$B19)</f>
        <v>2</v>
      </c>
      <c r="BH19" s="26">
        <f>COUNTIFS(Tabela2[Quando você considera experimentar pratos quentes na Olga Ri, quais aspectos são mais importantes para a sua decisão?],"*Opções vegetarianas e/ou veganas de pratos quentes*",Tabela2[Classe Social],'Dados cruzados'!$B19)</f>
        <v>3</v>
      </c>
      <c r="BI19" s="26">
        <f>COUNTIFS(Tabela2[Quando você considera experimentar pratos quentes na Olga Ri, quais aspectos são mais importantes para a sua decisão?],"*Preço das opções quentes*",Tabela2[Classe Social],'Dados cruzados'!$B19)</f>
        <v>6</v>
      </c>
      <c r="BJ19" s="26">
        <f>COUNTIFS(Tabela2[Quando você considera experimentar pratos quentes na Olga Ri, quais aspectos são mais importantes para a sua decisão?],"*Tempo de espera para ser servido*",Tabela2[Classe Social],'Dados cruzados'!$B19)</f>
        <v>3</v>
      </c>
      <c r="BK19" s="26">
        <f>COUNTIFS(Tabela2[Quando você considera experimentar pratos quentes na Olga Ri, quais aspectos são mais importantes para a sua decisão?],"*Variedade de opções quentes no cardápio*",Tabela2[Classe Social],'Dados cruzados'!$B19)</f>
        <v>6</v>
      </c>
      <c r="BL19" s="26">
        <f>COUNTIFS(Tabela2[Quando você considera experimentar pratos quentes na Olga Ri, quais aspectos são mais importantes para a sua decisão?],"*Muitas opções de salada*",Tabela2[Classe Social],'Dados cruzados'!$B19)</f>
        <v>0</v>
      </c>
      <c r="BM19" s="37">
        <f t="shared" si="64"/>
        <v>24</v>
      </c>
      <c r="BO19" s="94"/>
      <c r="BP19" s="16" t="s">
        <v>79</v>
      </c>
      <c r="BQ19" s="26">
        <f>COUNTIFS(Tabela2[Qual a probabilidade de mudanças realizadas no cardápio de opções quentes influenciarem a sua decisão de compra dos bowls quentes?],'Dados cruzados'!BQ$2,Tabela2[Classe Social],'Dados cruzados'!$B19)</f>
        <v>0</v>
      </c>
      <c r="BR19" s="26">
        <f>COUNTIFS(Tabela2[Qual a probabilidade de mudanças realizadas no cardápio de opções quentes influenciarem a sua decisão de compra dos bowls quentes?],'Dados cruzados'!BR$2,Tabela2[Classe Social],'Dados cruzados'!$B19)</f>
        <v>2</v>
      </c>
      <c r="BS19" s="26">
        <f>COUNTIFS(Tabela2[Qual a probabilidade de mudanças realizadas no cardápio de opções quentes influenciarem a sua decisão de compra dos bowls quentes?],'Dados cruzados'!BS$2,Tabela2[Classe Social],'Dados cruzados'!$B19)</f>
        <v>2</v>
      </c>
      <c r="BT19" s="26">
        <f>COUNTIFS(Tabela2[Qual a probabilidade de mudanças realizadas no cardápio de opções quentes influenciarem a sua decisão de compra dos bowls quentes?],'Dados cruzados'!BT$2,Tabela2[Classe Social],'Dados cruzados'!$B19)</f>
        <v>4</v>
      </c>
      <c r="BU19" s="26">
        <f>COUNTIFS(Tabela2[Qual a probabilidade de mudanças realizadas no cardápio de opções quentes influenciarem a sua decisão de compra dos bowls quentes?],'Dados cruzados'!BU$2,Tabela2[Classe Social],'Dados cruzados'!$B19)</f>
        <v>1</v>
      </c>
      <c r="BV19" s="47">
        <f t="shared" si="65"/>
        <v>9</v>
      </c>
      <c r="BX19" s="94"/>
      <c r="BY19" s="16" t="s">
        <v>79</v>
      </c>
      <c r="BZ19" s="26">
        <f>COUNTIFS(Tabela2[Que tipo de ingredientes quentes você mais gostaria de ver nos bowls quentes da Olga RI no futuro?],"*Frango Grelhado*",Tabela2[Classe Social],'Dados cruzados'!$B19)</f>
        <v>3</v>
      </c>
      <c r="CA19" s="26">
        <f>COUNTIFS(Tabela2[Que tipo de ingredientes quentes você mais gostaria de ver nos bowls quentes da Olga RI no futuro?],"*Carne seca desfiada*",Tabela2[Classe Social],'Dados cruzados'!$B19)</f>
        <v>2</v>
      </c>
      <c r="CB19" s="26">
        <f>COUNTIFS(Tabela2[Que tipo de ingredientes quentes você mais gostaria de ver nos bowls quentes da Olga RI no futuro?],"*Filé mignon*",Tabela2[Classe Social],'Dados cruzados'!$B19)</f>
        <v>5</v>
      </c>
      <c r="CC19" s="26">
        <f>COUNTIFS(Tabela2[Que tipo de ingredientes quentes você mais gostaria de ver nos bowls quentes da Olga RI no futuro?],"*Falafel*",Tabela2[Classe Social],'Dados cruzados'!$B19)</f>
        <v>2</v>
      </c>
      <c r="CD19" s="26">
        <f>COUNTIFS(Tabela2[Que tipo de ingredientes quentes você mais gostaria de ver nos bowls quentes da Olga RI no futuro?],"*Salmão grelhado com molho teriyaki*",Tabela2[Classe Social],'Dados cruzados'!$B19)</f>
        <v>7</v>
      </c>
      <c r="CE19" s="26">
        <f>COUNTIFS(Tabela2[Que tipo de ingredientes quentes você mais gostaria de ver nos bowls quentes da Olga RI no futuro?],"*Atum selado com gergelim*",Tabela2[Classe Social],'Dados cruzados'!$B19)</f>
        <v>4</v>
      </c>
      <c r="CF19" s="26">
        <f>COUNTIFS(Tabela2[Que tipo de ingredientes quentes você mais gostaria de ver nos bowls quentes da Olga RI no futuro?],"*Bacon*",Tabela2[Classe Social],'Dados cruzados'!$B19)</f>
        <v>0</v>
      </c>
      <c r="CG19" s="60">
        <f t="shared" si="66"/>
        <v>23</v>
      </c>
      <c r="CI19" s="94"/>
      <c r="CJ19" s="16" t="s">
        <v>79</v>
      </c>
      <c r="CK19" s="26">
        <f>COUNTIFS(Tabela2[Levando em consideração que os ingredientes escolhidos por você estivessem disponíveis na próxima virada de cardápio da Olga RI, qual é a chance de você comprar esse bowl quente? ],'Dados cruzados'!CK$2,Tabela2[Classe Social],'Dados cruzados'!$B19)</f>
        <v>1</v>
      </c>
      <c r="CL19" s="26">
        <f>COUNTIFS(Tabela2[Levando em consideração que os ingredientes escolhidos por você estivessem disponíveis na próxima virada de cardápio da Olga RI, qual é a chance de você comprar esse bowl quente? ],'Dados cruzados'!CL$2,Tabela2[Classe Social],'Dados cruzados'!$B19)</f>
        <v>0</v>
      </c>
      <c r="CM19" s="26">
        <f>COUNTIFS(Tabela2[Levando em consideração que os ingredientes escolhidos por você estivessem disponíveis na próxima virada de cardápio da Olga RI, qual é a chance de você comprar esse bowl quente? ],'Dados cruzados'!CM$2,Tabela2[Classe Social],'Dados cruzados'!$B19)</f>
        <v>2</v>
      </c>
      <c r="CN19" s="26">
        <f>COUNTIFS(Tabela2[Levando em consideração que os ingredientes escolhidos por você estivessem disponíveis na próxima virada de cardápio da Olga RI, qual é a chance de você comprar esse bowl quente? ],'Dados cruzados'!CN$2,Tabela2[Classe Social],'Dados cruzados'!$B19)</f>
        <v>2</v>
      </c>
      <c r="CO19" s="26">
        <f>COUNTIFS(Tabela2[Levando em consideração que os ingredientes escolhidos por você estivessem disponíveis na próxima virada de cardápio da Olga RI, qual é a chance de você comprar esse bowl quente? ],'Dados cruzados'!CO$2,Tabela2[Classe Social],'Dados cruzados'!$B19)</f>
        <v>4</v>
      </c>
      <c r="CP19" s="47">
        <f t="shared" si="67"/>
        <v>9</v>
      </c>
      <c r="CR19" s="94"/>
      <c r="CS19" s="16" t="s">
        <v>79</v>
      </c>
      <c r="CT19" s="26">
        <f>COUNTIFS(Tabela2[Com a inclusão das novas opções de bowls quentes, qual é a probabilidade de você optar por essas opções da Olga RI em dias mais frios? ],'Dados cruzados'!CT$2,Tabela2[Classe Social],'Dados cruzados'!$B19)</f>
        <v>1</v>
      </c>
      <c r="CU19" s="26">
        <f>COUNTIFS(Tabela2[Com a inclusão das novas opções de bowls quentes, qual é a probabilidade de você optar por essas opções da Olga RI em dias mais frios? ],'Dados cruzados'!CU$2,Tabela2[Classe Social],'Dados cruzados'!$B19)</f>
        <v>1</v>
      </c>
      <c r="CV19" s="26">
        <f>COUNTIFS(Tabela2[Com a inclusão das novas opções de bowls quentes, qual é a probabilidade de você optar por essas opções da Olga RI em dias mais frios? ],'Dados cruzados'!CV$2,Tabela2[Classe Social],'Dados cruzados'!$B19)</f>
        <v>3</v>
      </c>
      <c r="CW19" s="26">
        <f>COUNTIFS(Tabela2[Com a inclusão das novas opções de bowls quentes, qual é a probabilidade de você optar por essas opções da Olga RI em dias mais frios? ],'Dados cruzados'!CW$2,Tabela2[Classe Social],'Dados cruzados'!$B19)</f>
        <v>2</v>
      </c>
      <c r="CX19" s="26">
        <f>COUNTIFS(Tabela2[Com a inclusão das novas opções de bowls quentes, qual é a probabilidade de você optar por essas opções da Olga RI em dias mais frios? ],'Dados cruzados'!CX$2,Tabela2[Classe Social],'Dados cruzados'!$B19)</f>
        <v>2</v>
      </c>
      <c r="CY19" s="76">
        <f t="shared" si="68"/>
        <v>9</v>
      </c>
    </row>
    <row r="20" spans="1:103" ht="15.6">
      <c r="A20" s="87"/>
      <c r="B20" s="29" t="s">
        <v>83</v>
      </c>
      <c r="C20" s="30">
        <f>COUNTIFS(Tabela2[Com que frequência você costuma consumir saladas na Olga Ri?],'Dados cruzados'!C2,Tabela2[Classe Social],'Dados cruzados'!$B$20)</f>
        <v>0</v>
      </c>
      <c r="D20" s="30">
        <f>COUNTIFS(Tabela2[Com que frequência você costuma consumir saladas na Olga Ri?],'Dados cruzados'!D2,Tabela2[Classe Social],'Dados cruzados'!$B$20)</f>
        <v>1</v>
      </c>
      <c r="E20" s="30">
        <f>COUNTIFS(Tabela2[Com que frequência você costuma consumir saladas na Olga Ri?],'Dados cruzados'!E2,Tabela2[Classe Social],'Dados cruzados'!$B$20)</f>
        <v>0</v>
      </c>
      <c r="F20" s="30">
        <f>COUNTIFS(Tabela2[Com que frequência você costuma consumir saladas na Olga Ri?],'Dados cruzados'!F2,Tabela2[Classe Social],'Dados cruzados'!$B$20)</f>
        <v>1</v>
      </c>
      <c r="G20" s="30">
        <f>COUNTIFS(Tabela2[Com que frequência você costuma consumir saladas na Olga Ri?],'Dados cruzados'!G2,Tabela2[Classe Social],'Dados cruzados'!$B$20)</f>
        <v>0</v>
      </c>
      <c r="H20" s="36">
        <f t="shared" si="58"/>
        <v>2</v>
      </c>
      <c r="J20" s="87"/>
      <c r="K20" s="29" t="s">
        <v>83</v>
      </c>
      <c r="L20" s="30">
        <f>COUNTIFS(Tabela2[Como você avalia o seu grau de importância do clima na escolha das refeições que você costuma adquirir?],'Dados cruzados'!L$2,Tabela2[Classe Social],'Dados cruzados'!$K20)</f>
        <v>0</v>
      </c>
      <c r="M20" s="30">
        <f>COUNTIFS(Tabela2[Como você avalia o seu grau de importância do clima na escolha das refeições que você costuma adquirir?],'Dados cruzados'!M$2,Tabela2[Classe Social],'Dados cruzados'!$K20)</f>
        <v>0</v>
      </c>
      <c r="N20" s="30">
        <f>COUNTIFS(Tabela2[Como você avalia o seu grau de importância do clima na escolha das refeições que você costuma adquirir?],'Dados cruzados'!N$2,Tabela2[Classe Social],'Dados cruzados'!$K20)</f>
        <v>0</v>
      </c>
      <c r="O20" s="30">
        <f>COUNTIFS(Tabela2[Como você avalia o seu grau de importância do clima na escolha das refeições que você costuma adquirir?],'Dados cruzados'!O$2,Tabela2[Classe Social],'Dados cruzados'!$K20)</f>
        <v>0</v>
      </c>
      <c r="P20" s="30">
        <f>COUNTIFS(Tabela2[Como você avalia o seu grau de importância do clima na escolha das refeições que você costuma adquirir?],'Dados cruzados'!P$2,Tabela2[Classe Social],'Dados cruzados'!$K20)</f>
        <v>2</v>
      </c>
      <c r="Q20" s="36">
        <f t="shared" si="59"/>
        <v>2</v>
      </c>
      <c r="S20" s="94"/>
      <c r="T20" s="29" t="s">
        <v>83</v>
      </c>
      <c r="U20" s="45">
        <f>COUNTIFS(Tabela2[Como você avalia o seu grau interesse em comprar bowls* quentes?],'Dados cruzados'!U$2,Tabela2[Classe Social],'Dados cruzados'!$K20)</f>
        <v>0</v>
      </c>
      <c r="V20" s="45">
        <f>COUNTIFS(Tabela2[Como você avalia o seu grau interesse em comprar bowls* quentes?],'Dados cruzados'!V$2,Tabela2[Classe Social],'Dados cruzados'!$K20)</f>
        <v>1</v>
      </c>
      <c r="W20" s="45">
        <f>COUNTIFS(Tabela2[Como você avalia o seu grau interesse em comprar bowls* quentes?],'Dados cruzados'!W$2,Tabela2[Classe Social],'Dados cruzados'!$K20)</f>
        <v>0</v>
      </c>
      <c r="X20" s="45">
        <f>COUNTIFS(Tabela2[Como você avalia o seu grau interesse em comprar bowls* quentes?],'Dados cruzados'!X$2,Tabela2[Classe Social],'Dados cruzados'!$K20)</f>
        <v>0</v>
      </c>
      <c r="Y20" s="45">
        <f>COUNTIFS(Tabela2[Como você avalia o seu grau interesse em comprar bowls* quentes?],'Dados cruzados'!Y$2,Tabela2[Classe Social],'Dados cruzados'!$K20)</f>
        <v>1</v>
      </c>
      <c r="Z20" s="48">
        <f t="shared" si="60"/>
        <v>2</v>
      </c>
      <c r="AB20" s="94"/>
      <c r="AC20" s="29" t="s">
        <v>83</v>
      </c>
      <c r="AD20" s="45">
        <f>COUNTIFS(Tabela2[Como você avalia o seu grau de conhecimento sobre as opções de pratos quentes oferecidos pela Olga RI?],'Dados cruzados'!AD$2,Tabela2[Classe Social],'Dados cruzados'!$B20)</f>
        <v>1</v>
      </c>
      <c r="AE20" s="45">
        <f>COUNTIFS(Tabela2[Como você avalia o seu grau de conhecimento sobre as opções de pratos quentes oferecidos pela Olga RI?],'Dados cruzados'!AE$2,Tabela2[Classe Social],'Dados cruzados'!$B20)</f>
        <v>0</v>
      </c>
      <c r="AF20" s="45">
        <f>COUNTIFS(Tabela2[Como você avalia o seu grau de conhecimento sobre as opções de pratos quentes oferecidos pela Olga RI?],'Dados cruzados'!AF$2,Tabela2[Classe Social],'Dados cruzados'!$B20)</f>
        <v>1</v>
      </c>
      <c r="AG20" s="45">
        <f>COUNTIFS(Tabela2[Como você avalia o seu grau de conhecimento sobre as opções de pratos quentes oferecidos pela Olga RI?],'Dados cruzados'!AG$2,Tabela2[Classe Social],'Dados cruzados'!$B20)</f>
        <v>0</v>
      </c>
      <c r="AH20" s="45">
        <f>COUNTIFS(Tabela2[Como você avalia o seu grau de conhecimento sobre as opções de pratos quentes oferecidos pela Olga RI?],'Dados cruzados'!AH$2,Tabela2[Classe Social],'Dados cruzados'!$B20)</f>
        <v>0</v>
      </c>
      <c r="AI20" s="48">
        <f t="shared" si="61"/>
        <v>2</v>
      </c>
      <c r="AK20" s="94"/>
      <c r="AL20" s="29" t="s">
        <v>83</v>
      </c>
      <c r="AM20" s="45">
        <f>COUNTIFS(Tabela2["A Olga Ri é a primeira marca que vem à mente quando penso em comprar opções quentes,"
O quanto você concorda com essa afirmação?],'Dados cruzados'!AM$2,Tabela2[Classe Social],'Dados cruzados'!$B20)</f>
        <v>1</v>
      </c>
      <c r="AN20" s="45">
        <f>COUNTIFS(Tabela2["A Olga Ri é a primeira marca que vem à mente quando penso em comprar opções quentes,"
O quanto você concorda com essa afirmação?],'Dados cruzados'!AN$2,Tabela2[Classe Social],'Dados cruzados'!$B20)</f>
        <v>0</v>
      </c>
      <c r="AO20" s="45">
        <f>COUNTIFS(Tabela2["A Olga Ri é a primeira marca que vem à mente quando penso em comprar opções quentes,"
O quanto você concorda com essa afirmação?],'Dados cruzados'!AO$2,Tabela2[Classe Social],'Dados cruzados'!$B20)</f>
        <v>1</v>
      </c>
      <c r="AP20" s="45">
        <f>COUNTIFS(Tabela2["A Olga Ri é a primeira marca que vem à mente quando penso em comprar opções quentes,"
O quanto você concorda com essa afirmação?],'Dados cruzados'!AP$2,Tabela2[Classe Social],'Dados cruzados'!$B20)</f>
        <v>0</v>
      </c>
      <c r="AQ20" s="45">
        <f>COUNTIFS(Tabela2["A Olga Ri é a primeira marca que vem à mente quando penso em comprar opções quentes,"
O quanto você concorda com essa afirmação?],'Dados cruzados'!AQ$2,Tabela2[Classe Social],'Dados cruzados'!$B20)</f>
        <v>0</v>
      </c>
      <c r="AR20" s="48">
        <f t="shared" si="62"/>
        <v>2</v>
      </c>
      <c r="AT20" s="94"/>
      <c r="AU20" s="29" t="s">
        <v>83</v>
      </c>
      <c r="AV2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cruzados'!AV$2,Tabela2[Classe Social],'Dados cruzados'!$B20)</f>
        <v>0</v>
      </c>
      <c r="AW2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cruzados'!AW$2,Tabela2[Classe Social],'Dados cruzados'!$B20)</f>
        <v>0</v>
      </c>
      <c r="AX2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cruzados'!AX$2,Tabela2[Classe Social],'Dados cruzados'!$B20)</f>
        <v>0</v>
      </c>
      <c r="AY2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cruzados'!AY$2,Tabela2[Classe Social],'Dados cruzados'!$B20)</f>
        <v>0</v>
      </c>
      <c r="AZ20" s="45">
        <f>COUNTIFS(Tabela2[Considerando as opções de ingredientes quentes disponíveis para montar os bowls no Olga RI: 
Churrasco de Legumes com Cogumelos, Churrasco de Legumes com Frango, Gratinado e Salmão, Missô Bowl com Frango Crispy, Missô Bowl com Tofu.
Qual é o seu grau de],'Dados cruzados'!AZ$2,Tabela2[Classe Social],'Dados cruzados'!$B20)</f>
        <v>2</v>
      </c>
      <c r="BA20" s="48">
        <f t="shared" si="63"/>
        <v>2</v>
      </c>
      <c r="BC20" s="94"/>
      <c r="BD20" s="29" t="s">
        <v>83</v>
      </c>
      <c r="BE20" s="30">
        <f>COUNTIFS(Tabela2[Quando você considera experimentar pratos quentes na Olga Ri, quais aspectos são mais importantes para a sua decisão?],"*Ambiente e atmosfera do restaurante*",Tabela2[Classe Social],'Dados cruzados'!$B20)</f>
        <v>2</v>
      </c>
      <c r="BF20" s="30">
        <f>COUNTIFS(Tabela2[Quando você considera experimentar pratos quentes na Olga Ri, quais aspectos são mais importantes para a sua decisão?],"*Avaliação ou recomendação de influenciadores*",Tabela2[Classe Social],'Dados cruzados'!$B20)</f>
        <v>0</v>
      </c>
      <c r="BG20" s="30">
        <f>COUNTIFS(Tabela2[Quando você considera experimentar pratos quentes na Olga Ri, quais aspectos são mais importantes para a sua decisão?],"*Avaliação ou recomendação de outros clientes*",Tabela2[Classe Social],'Dados cruzados'!$B20)</f>
        <v>0</v>
      </c>
      <c r="BH20" s="30">
        <f>COUNTIFS(Tabela2[Quando você considera experimentar pratos quentes na Olga Ri, quais aspectos são mais importantes para a sua decisão?],"*Opções vegetarianas e/ou veganas de pratos quentes*",Tabela2[Classe Social],'Dados cruzados'!$B20)</f>
        <v>0</v>
      </c>
      <c r="BI20" s="30">
        <f>COUNTIFS(Tabela2[Quando você considera experimentar pratos quentes na Olga Ri, quais aspectos são mais importantes para a sua decisão?],"*Preço das opções quentes*",Tabela2[Classe Social],'Dados cruzados'!$B20)</f>
        <v>0</v>
      </c>
      <c r="BJ20" s="30">
        <f>COUNTIFS(Tabela2[Quando você considera experimentar pratos quentes na Olga Ri, quais aspectos são mais importantes para a sua decisão?],"*Tempo de espera para ser servido*",Tabela2[Classe Social],'Dados cruzados'!$B20)</f>
        <v>1</v>
      </c>
      <c r="BK20" s="30">
        <f>COUNTIFS(Tabela2[Quando você considera experimentar pratos quentes na Olga Ri, quais aspectos são mais importantes para a sua decisão?],"*Variedade de opções quentes no cardápio*",Tabela2[Classe Social],'Dados cruzados'!$B20)</f>
        <v>1</v>
      </c>
      <c r="BL20" s="30">
        <f>COUNTIFS(Tabela2[Quando você considera experimentar pratos quentes na Olga Ri, quais aspectos são mais importantes para a sua decisão?],"*Muitas opções de salada*",Tabela2[Classe Social],'Dados cruzados'!$B20)</f>
        <v>0</v>
      </c>
      <c r="BM20" s="36">
        <f t="shared" si="64"/>
        <v>4</v>
      </c>
      <c r="BO20" s="94"/>
      <c r="BP20" s="29" t="s">
        <v>83</v>
      </c>
      <c r="BQ20" s="30">
        <f>COUNTIFS(Tabela2[Qual a probabilidade de mudanças realizadas no cardápio de opções quentes influenciarem a sua decisão de compra dos bowls quentes?],'Dados cruzados'!BQ$2,Tabela2[Classe Social],'Dados cruzados'!$B20)</f>
        <v>0</v>
      </c>
      <c r="BR20" s="30">
        <f>COUNTIFS(Tabela2[Qual a probabilidade de mudanças realizadas no cardápio de opções quentes influenciarem a sua decisão de compra dos bowls quentes?],'Dados cruzados'!BR$2,Tabela2[Classe Social],'Dados cruzados'!$B20)</f>
        <v>0</v>
      </c>
      <c r="BS20" s="30">
        <f>COUNTIFS(Tabela2[Qual a probabilidade de mudanças realizadas no cardápio de opções quentes influenciarem a sua decisão de compra dos bowls quentes?],'Dados cruzados'!BS$2,Tabela2[Classe Social],'Dados cruzados'!$B20)</f>
        <v>0</v>
      </c>
      <c r="BT20" s="30">
        <f>COUNTIFS(Tabela2[Qual a probabilidade de mudanças realizadas no cardápio de opções quentes influenciarem a sua decisão de compra dos bowls quentes?],'Dados cruzados'!BT$2,Tabela2[Classe Social],'Dados cruzados'!$B20)</f>
        <v>1</v>
      </c>
      <c r="BU20" s="30">
        <f>COUNTIFS(Tabela2[Qual a probabilidade de mudanças realizadas no cardápio de opções quentes influenciarem a sua decisão de compra dos bowls quentes?],'Dados cruzados'!BU$2,Tabela2[Classe Social],'Dados cruzados'!$B20)</f>
        <v>1</v>
      </c>
      <c r="BV20" s="48">
        <f t="shared" si="65"/>
        <v>2</v>
      </c>
      <c r="BX20" s="94"/>
      <c r="BY20" s="29" t="s">
        <v>83</v>
      </c>
      <c r="BZ20" s="30">
        <f>COUNTIFS(Tabela2[Que tipo de ingredientes quentes você mais gostaria de ver nos bowls quentes da Olga RI no futuro?],"*Frango Grelhado*",Tabela2[Classe Social],'Dados cruzados'!$B20)</f>
        <v>1</v>
      </c>
      <c r="CA20" s="30">
        <f>COUNTIFS(Tabela2[Que tipo de ingredientes quentes você mais gostaria de ver nos bowls quentes da Olga RI no futuro?],"*Carne seca desfiada*",Tabela2[Classe Social],'Dados cruzados'!$B20)</f>
        <v>2</v>
      </c>
      <c r="CB20" s="30">
        <f>COUNTIFS(Tabela2[Que tipo de ingredientes quentes você mais gostaria de ver nos bowls quentes da Olga RI no futuro?],"*Filé mignon*",Tabela2[Classe Social],'Dados cruzados'!$B20)</f>
        <v>1</v>
      </c>
      <c r="CC20" s="30">
        <f>COUNTIFS(Tabela2[Que tipo de ingredientes quentes você mais gostaria de ver nos bowls quentes da Olga RI no futuro?],"*Falafel*",Tabela2[Classe Social],'Dados cruzados'!$B20)</f>
        <v>1</v>
      </c>
      <c r="CD20" s="30">
        <f>COUNTIFS(Tabela2[Que tipo de ingredientes quentes você mais gostaria de ver nos bowls quentes da Olga RI no futuro?],"*Salmão grelhado com molho teriyaki*",Tabela2[Classe Social],'Dados cruzados'!$B20)</f>
        <v>0</v>
      </c>
      <c r="CE20" s="30">
        <f>COUNTIFS(Tabela2[Que tipo de ingredientes quentes você mais gostaria de ver nos bowls quentes da Olga RI no futuro?],"*Atum selado com gergelim*",Tabela2[Classe Social],'Dados cruzados'!$B20)</f>
        <v>1</v>
      </c>
      <c r="CF20" s="30">
        <f>COUNTIFS(Tabela2[Que tipo de ingredientes quentes você mais gostaria de ver nos bowls quentes da Olga RI no futuro?],"*Bacon*",Tabela2[Classe Social],'Dados cruzados'!$B20)</f>
        <v>0</v>
      </c>
      <c r="CG20" s="46">
        <f t="shared" si="66"/>
        <v>6</v>
      </c>
      <c r="CI20" s="94"/>
      <c r="CJ20" s="29" t="s">
        <v>83</v>
      </c>
      <c r="CK20" s="30">
        <f>COUNTIFS(Tabela2[Levando em consideração que os ingredientes escolhidos por você estivessem disponíveis na próxima virada de cardápio da Olga RI, qual é a chance de você comprar esse bowl quente? ],'Dados cruzados'!CK$2,Tabela2[Classe Social],'Dados cruzados'!$B20)</f>
        <v>0</v>
      </c>
      <c r="CL20" s="30">
        <f>COUNTIFS(Tabela2[Levando em consideração que os ingredientes escolhidos por você estivessem disponíveis na próxima virada de cardápio da Olga RI, qual é a chance de você comprar esse bowl quente? ],'Dados cruzados'!CL$2,Tabela2[Classe Social],'Dados cruzados'!$B20)</f>
        <v>0</v>
      </c>
      <c r="CM20" s="30">
        <f>COUNTIFS(Tabela2[Levando em consideração que os ingredientes escolhidos por você estivessem disponíveis na próxima virada de cardápio da Olga RI, qual é a chance de você comprar esse bowl quente? ],'Dados cruzados'!CM$2,Tabela2[Classe Social],'Dados cruzados'!$B20)</f>
        <v>0</v>
      </c>
      <c r="CN20" s="30">
        <f>COUNTIFS(Tabela2[Levando em consideração que os ingredientes escolhidos por você estivessem disponíveis na próxima virada de cardápio da Olga RI, qual é a chance de você comprar esse bowl quente? ],'Dados cruzados'!CN$2,Tabela2[Classe Social],'Dados cruzados'!$B20)</f>
        <v>0</v>
      </c>
      <c r="CO20" s="30">
        <f>COUNTIFS(Tabela2[Levando em consideração que os ingredientes escolhidos por você estivessem disponíveis na próxima virada de cardápio da Olga RI, qual é a chance de você comprar esse bowl quente? ],'Dados cruzados'!CO$2,Tabela2[Classe Social],'Dados cruzados'!$B20)</f>
        <v>2</v>
      </c>
      <c r="CP20" s="48">
        <f t="shared" si="67"/>
        <v>2</v>
      </c>
      <c r="CR20" s="94"/>
      <c r="CS20" s="29" t="s">
        <v>83</v>
      </c>
      <c r="CT20" s="30">
        <f>COUNTIFS(Tabela2[Com a inclusão das novas opções de bowls quentes, qual é a probabilidade de você optar por essas opções da Olga RI em dias mais frios? ],'Dados cruzados'!CT$2,Tabela2[Classe Social],'Dados cruzados'!$B20)</f>
        <v>0</v>
      </c>
      <c r="CU20" s="30">
        <f>COUNTIFS(Tabela2[Com a inclusão das novas opções de bowls quentes, qual é a probabilidade de você optar por essas opções da Olga RI em dias mais frios? ],'Dados cruzados'!CU$2,Tabela2[Classe Social],'Dados cruzados'!$B20)</f>
        <v>0</v>
      </c>
      <c r="CV20" s="30">
        <f>COUNTIFS(Tabela2[Com a inclusão das novas opções de bowls quentes, qual é a probabilidade de você optar por essas opções da Olga RI em dias mais frios? ],'Dados cruzados'!CV$2,Tabela2[Classe Social],'Dados cruzados'!$B20)</f>
        <v>1</v>
      </c>
      <c r="CW20" s="30">
        <f>COUNTIFS(Tabela2[Com a inclusão das novas opções de bowls quentes, qual é a probabilidade de você optar por essas opções da Olga RI em dias mais frios? ],'Dados cruzados'!CW$2,Tabela2[Classe Social],'Dados cruzados'!$B20)</f>
        <v>0</v>
      </c>
      <c r="CX20" s="30">
        <f>COUNTIFS(Tabela2[Com a inclusão das novas opções de bowls quentes, qual é a probabilidade de você optar por essas opções da Olga RI em dias mais frios? ],'Dados cruzados'!CX$2,Tabela2[Classe Social],'Dados cruzados'!$B20)</f>
        <v>1</v>
      </c>
      <c r="CY20" s="75">
        <f t="shared" si="68"/>
        <v>2</v>
      </c>
    </row>
    <row r="21" spans="1:103" ht="15.6">
      <c r="A21" s="87"/>
      <c r="B21" s="16" t="s">
        <v>365</v>
      </c>
      <c r="C21" s="26">
        <f>SUM(C16:C20)</f>
        <v>41</v>
      </c>
      <c r="D21" s="26">
        <f t="shared" ref="D21:H21" si="69">SUM(D16:D20)</f>
        <v>24</v>
      </c>
      <c r="E21" s="26">
        <f t="shared" si="69"/>
        <v>16</v>
      </c>
      <c r="F21" s="26">
        <f t="shared" si="69"/>
        <v>16</v>
      </c>
      <c r="G21" s="26">
        <f t="shared" si="69"/>
        <v>3</v>
      </c>
      <c r="H21" s="37">
        <f t="shared" si="69"/>
        <v>100</v>
      </c>
      <c r="J21" s="87"/>
      <c r="K21" s="16" t="s">
        <v>365</v>
      </c>
      <c r="L21" s="26">
        <f>SUM(L16:L20)</f>
        <v>11</v>
      </c>
      <c r="M21" s="26">
        <f t="shared" ref="M21" si="70">SUM(M16:M20)</f>
        <v>6</v>
      </c>
      <c r="N21" s="26">
        <f t="shared" ref="N21" si="71">SUM(N16:N20)</f>
        <v>26</v>
      </c>
      <c r="O21" s="26">
        <f t="shared" ref="O21" si="72">SUM(O16:O20)</f>
        <v>31</v>
      </c>
      <c r="P21" s="26">
        <f t="shared" ref="P21" si="73">SUM(P16:P20)</f>
        <v>26</v>
      </c>
      <c r="Q21" s="37">
        <f t="shared" ref="Q21" si="74">SUM(Q16:Q20)</f>
        <v>100</v>
      </c>
      <c r="S21" s="94"/>
      <c r="T21" s="16" t="s">
        <v>365</v>
      </c>
      <c r="U21" s="53">
        <f>SUM(U16:U20)</f>
        <v>14</v>
      </c>
      <c r="V21" s="53">
        <f t="shared" ref="V21:X21" si="75">SUM(V16:V20)</f>
        <v>26</v>
      </c>
      <c r="W21" s="53">
        <f t="shared" si="75"/>
        <v>16</v>
      </c>
      <c r="X21" s="53">
        <f t="shared" si="75"/>
        <v>21</v>
      </c>
      <c r="Y21" s="53">
        <f>SUM(Y16:Y20)</f>
        <v>23</v>
      </c>
      <c r="Z21" s="47">
        <f t="shared" ref="Z21" si="76">SUM(Z16:Z20)</f>
        <v>100</v>
      </c>
      <c r="AB21" s="94"/>
      <c r="AC21" s="16" t="s">
        <v>365</v>
      </c>
      <c r="AD21" s="53">
        <f>SUM(AD16:AD20)</f>
        <v>34</v>
      </c>
      <c r="AE21" s="53">
        <f t="shared" ref="AE21" si="77">SUM(AE16:AE20)</f>
        <v>23</v>
      </c>
      <c r="AF21" s="53">
        <f t="shared" ref="AF21" si="78">SUM(AF16:AF20)</f>
        <v>18</v>
      </c>
      <c r="AG21" s="53">
        <f t="shared" ref="AG21" si="79">SUM(AG16:AG20)</f>
        <v>6</v>
      </c>
      <c r="AH21" s="53">
        <f>SUM(AH16:AH20)</f>
        <v>19</v>
      </c>
      <c r="AI21" s="47">
        <f t="shared" ref="AI21" si="80">SUM(AI16:AI20)</f>
        <v>100</v>
      </c>
      <c r="AK21" s="94"/>
      <c r="AL21" s="16" t="s">
        <v>365</v>
      </c>
      <c r="AM21" s="53">
        <f>SUM(AM16:AM20)</f>
        <v>83</v>
      </c>
      <c r="AN21" s="53">
        <f t="shared" ref="AN21" si="81">SUM(AN16:AN20)</f>
        <v>8</v>
      </c>
      <c r="AO21" s="53">
        <f t="shared" ref="AO21" si="82">SUM(AO16:AO20)</f>
        <v>4</v>
      </c>
      <c r="AP21" s="53">
        <f t="shared" ref="AP21" si="83">SUM(AP16:AP20)</f>
        <v>1</v>
      </c>
      <c r="AQ21" s="53">
        <f>SUM(AQ16:AQ20)</f>
        <v>4</v>
      </c>
      <c r="AR21" s="47">
        <f t="shared" ref="AR21" si="84">SUM(AR16:AR20)</f>
        <v>100</v>
      </c>
      <c r="AT21" s="94"/>
      <c r="AU21" s="16" t="s">
        <v>365</v>
      </c>
      <c r="AV21" s="53">
        <f>SUM(AV16:AV20)</f>
        <v>7</v>
      </c>
      <c r="AW21" s="53">
        <f t="shared" ref="AW21" si="85">SUM(AW16:AW20)</f>
        <v>6</v>
      </c>
      <c r="AX21" s="53">
        <f t="shared" ref="AX21" si="86">SUM(AX16:AX20)</f>
        <v>14</v>
      </c>
      <c r="AY21" s="53">
        <f t="shared" ref="AY21" si="87">SUM(AY16:AY20)</f>
        <v>31</v>
      </c>
      <c r="AZ21" s="53">
        <f>SUM(AZ16:AZ20)</f>
        <v>42</v>
      </c>
      <c r="BA21" s="47">
        <f t="shared" ref="BA21" si="88">SUM(BA16:BA20)</f>
        <v>100</v>
      </c>
      <c r="BC21" s="94"/>
      <c r="BD21" s="16" t="s">
        <v>365</v>
      </c>
      <c r="BE21" s="53">
        <f>SUM(BE16:BE20)</f>
        <v>53</v>
      </c>
      <c r="BF21" s="53">
        <f t="shared" ref="BF21" si="89">SUM(BF16:BF20)</f>
        <v>9</v>
      </c>
      <c r="BG21" s="53">
        <f t="shared" ref="BG21" si="90">SUM(BG16:BG20)</f>
        <v>24</v>
      </c>
      <c r="BH21" s="53">
        <f t="shared" ref="BH21" si="91">SUM(BH16:BH20)</f>
        <v>21</v>
      </c>
      <c r="BI21" s="53">
        <f>SUM(BI16:BI20)</f>
        <v>36</v>
      </c>
      <c r="BJ21" s="53">
        <f t="shared" ref="BJ21" si="92">SUM(BJ16:BJ20)</f>
        <v>39</v>
      </c>
      <c r="BK21" s="53">
        <f t="shared" ref="BK21" si="93">SUM(BK16:BK20)</f>
        <v>62</v>
      </c>
      <c r="BL21" s="53">
        <f>SUM(BL16:BL20)</f>
        <v>2</v>
      </c>
      <c r="BM21" s="36">
        <f t="shared" si="64"/>
        <v>246</v>
      </c>
      <c r="BO21" s="94"/>
      <c r="BP21" s="16" t="s">
        <v>365</v>
      </c>
      <c r="BQ21" s="53">
        <f>SUM(BQ16:BQ20)</f>
        <v>14</v>
      </c>
      <c r="BR21" s="53">
        <f t="shared" ref="BR21" si="94">SUM(BR16:BR20)</f>
        <v>16</v>
      </c>
      <c r="BS21" s="53">
        <f t="shared" ref="BS21" si="95">SUM(BS16:BS20)</f>
        <v>30</v>
      </c>
      <c r="BT21" s="53">
        <f t="shared" ref="BT21" si="96">SUM(BT16:BT20)</f>
        <v>27</v>
      </c>
      <c r="BU21" s="53">
        <f>SUM(BU16:BU20)</f>
        <v>13</v>
      </c>
      <c r="BV21" s="47">
        <f t="shared" ref="BV21" si="97">SUM(BV16:BV20)</f>
        <v>100</v>
      </c>
      <c r="BX21" s="94"/>
      <c r="BY21" s="16" t="s">
        <v>365</v>
      </c>
      <c r="BZ21" s="53">
        <f>SUM(BZ16:BZ20)</f>
        <v>35</v>
      </c>
      <c r="CA21" s="53">
        <f t="shared" ref="CA21" si="98">SUM(CA16:CA20)</f>
        <v>33</v>
      </c>
      <c r="CB21" s="53">
        <f t="shared" ref="CB21" si="99">SUM(CB16:CB20)</f>
        <v>47</v>
      </c>
      <c r="CC21" s="53">
        <f t="shared" ref="CC21" si="100">SUM(CC16:CC20)</f>
        <v>34</v>
      </c>
      <c r="CD21" s="53">
        <f>SUM(CD16:CD20)</f>
        <v>54</v>
      </c>
      <c r="CE21" s="53">
        <f>SUM(CE16:CE20)</f>
        <v>40</v>
      </c>
      <c r="CF21" s="53">
        <f>SUM(CF16:CF20)</f>
        <v>4</v>
      </c>
      <c r="CG21" s="46">
        <f t="shared" si="66"/>
        <v>247</v>
      </c>
      <c r="CI21" s="94"/>
      <c r="CJ21" s="16" t="s">
        <v>365</v>
      </c>
      <c r="CK21" s="53">
        <f>SUM(CK16:CK20)</f>
        <v>3</v>
      </c>
      <c r="CL21" s="53">
        <f t="shared" ref="CL21" si="101">SUM(CL16:CL20)</f>
        <v>0</v>
      </c>
      <c r="CM21" s="53">
        <f t="shared" ref="CM21" si="102">SUM(CM16:CM20)</f>
        <v>13</v>
      </c>
      <c r="CN21" s="53">
        <f t="shared" ref="CN21" si="103">SUM(CN16:CN20)</f>
        <v>32</v>
      </c>
      <c r="CO21" s="53">
        <f>SUM(CO16:CO20)</f>
        <v>52</v>
      </c>
      <c r="CP21" s="47">
        <f t="shared" ref="CP21" si="104">SUM(CP16:CP20)</f>
        <v>100</v>
      </c>
      <c r="CR21" s="94"/>
      <c r="CS21" s="16" t="s">
        <v>365</v>
      </c>
      <c r="CT21" s="53">
        <f>SUM(CT16:CT20)</f>
        <v>4</v>
      </c>
      <c r="CU21" s="53">
        <f t="shared" ref="CU21" si="105">SUM(CU16:CU20)</f>
        <v>5</v>
      </c>
      <c r="CV21" s="53">
        <f t="shared" ref="CV21" si="106">SUM(CV16:CV20)</f>
        <v>27</v>
      </c>
      <c r="CW21" s="53">
        <f t="shared" ref="CW21" si="107">SUM(CW16:CW20)</f>
        <v>25</v>
      </c>
      <c r="CX21" s="53">
        <f>SUM(CX16:CX20)</f>
        <v>39</v>
      </c>
      <c r="CY21" s="76">
        <f t="shared" ref="CY21" si="108">SUM(CY16:CY20)</f>
        <v>100</v>
      </c>
    </row>
    <row r="22" spans="1:103" ht="15.6">
      <c r="A22" s="70"/>
      <c r="B22" s="71"/>
      <c r="C22" s="71"/>
      <c r="D22" s="71"/>
      <c r="E22" s="71"/>
      <c r="F22" s="71"/>
      <c r="G22" s="71"/>
      <c r="H22" s="72"/>
      <c r="J22" s="73"/>
      <c r="K22" s="71"/>
      <c r="L22" s="71"/>
      <c r="M22" s="71"/>
      <c r="N22" s="71"/>
      <c r="O22" s="71"/>
      <c r="P22" s="71"/>
      <c r="Q22" s="72"/>
      <c r="S22" s="73"/>
      <c r="T22" s="71"/>
      <c r="U22" s="71"/>
      <c r="V22" s="71"/>
      <c r="W22" s="71"/>
      <c r="X22" s="71"/>
      <c r="Y22" s="71"/>
      <c r="Z22" s="72"/>
      <c r="AB22" s="73"/>
      <c r="AC22" s="71"/>
      <c r="AD22" s="71"/>
      <c r="AE22" s="71"/>
      <c r="AF22" s="71"/>
      <c r="AG22" s="71"/>
      <c r="AH22" s="71"/>
      <c r="AI22" s="72"/>
      <c r="AK22" s="74"/>
      <c r="AL22" s="74"/>
      <c r="AM22" s="74"/>
      <c r="AN22" s="74"/>
      <c r="AO22" s="74"/>
      <c r="AP22" s="74"/>
      <c r="AQ22" s="74"/>
      <c r="AR22" s="74"/>
      <c r="AT22" s="73"/>
      <c r="AU22" s="71"/>
      <c r="AV22" s="71"/>
      <c r="AW22" s="71"/>
      <c r="AX22" s="71"/>
      <c r="AY22" s="71"/>
      <c r="AZ22" s="71"/>
      <c r="BA22" s="72"/>
      <c r="BC22" s="73"/>
      <c r="BD22" s="71"/>
      <c r="BE22" s="71"/>
      <c r="BF22" s="71"/>
      <c r="BG22" s="71"/>
      <c r="BH22" s="71"/>
      <c r="BI22" s="71"/>
      <c r="BJ22" s="71"/>
      <c r="BK22" s="71"/>
      <c r="BL22" s="71"/>
      <c r="BM22" s="72"/>
      <c r="BO22" s="73"/>
      <c r="BP22" s="71"/>
      <c r="BQ22" s="71"/>
      <c r="BR22" s="71"/>
      <c r="BS22" s="71"/>
      <c r="BT22" s="71"/>
      <c r="BU22" s="71"/>
      <c r="BV22" s="72"/>
      <c r="BX22" s="73"/>
      <c r="BY22" s="71"/>
      <c r="BZ22" s="71"/>
      <c r="CA22" s="71"/>
      <c r="CB22" s="71"/>
      <c r="CC22" s="71"/>
      <c r="CD22" s="71"/>
      <c r="CE22" s="71"/>
      <c r="CF22" s="71"/>
      <c r="CG22" s="72"/>
      <c r="CI22" s="73"/>
      <c r="CJ22" s="71"/>
      <c r="CK22" s="71"/>
      <c r="CL22" s="71"/>
      <c r="CM22" s="71"/>
      <c r="CN22" s="71"/>
      <c r="CO22" s="71"/>
      <c r="CP22" s="72"/>
      <c r="CR22" s="73"/>
      <c r="CS22" s="71"/>
      <c r="CT22" s="71"/>
      <c r="CU22" s="71"/>
      <c r="CV22" s="71"/>
      <c r="CW22" s="71"/>
      <c r="CX22" s="71"/>
      <c r="CY22" s="72"/>
    </row>
    <row r="23" spans="1:103" ht="15.6">
      <c r="A23" s="20"/>
      <c r="B23" s="21"/>
      <c r="C23" s="89" t="s">
        <v>388</v>
      </c>
      <c r="D23" s="89"/>
      <c r="E23" s="89"/>
      <c r="F23" s="89"/>
      <c r="G23" s="89"/>
      <c r="H23" s="90"/>
      <c r="J23" s="20"/>
      <c r="K23" s="21"/>
      <c r="L23" s="91" t="s">
        <v>389</v>
      </c>
      <c r="M23" s="91"/>
      <c r="N23" s="91"/>
      <c r="O23" s="91"/>
      <c r="P23" s="91"/>
      <c r="Q23" s="92"/>
      <c r="S23" s="43"/>
      <c r="T23" s="21"/>
      <c r="U23" s="91" t="s">
        <v>390</v>
      </c>
      <c r="V23" s="91"/>
      <c r="W23" s="91"/>
      <c r="X23" s="91"/>
      <c r="Y23" s="91"/>
      <c r="Z23" s="92"/>
      <c r="AB23" s="43"/>
      <c r="AC23" s="21"/>
      <c r="AD23" s="91" t="s">
        <v>391</v>
      </c>
      <c r="AE23" s="91"/>
      <c r="AF23" s="91"/>
      <c r="AG23" s="91"/>
      <c r="AH23" s="91"/>
      <c r="AI23" s="92"/>
      <c r="AK23" s="43"/>
      <c r="AL23" s="21"/>
      <c r="AM23" s="91" t="s">
        <v>392</v>
      </c>
      <c r="AN23" s="91"/>
      <c r="AO23" s="91"/>
      <c r="AP23" s="91"/>
      <c r="AQ23" s="91"/>
      <c r="AR23" s="92"/>
      <c r="AT23" s="43"/>
      <c r="AU23" s="21"/>
      <c r="AV23" s="91" t="s">
        <v>393</v>
      </c>
      <c r="AW23" s="91"/>
      <c r="AX23" s="91"/>
      <c r="AY23" s="91"/>
      <c r="AZ23" s="91"/>
      <c r="BA23" s="91"/>
      <c r="BC23" s="43"/>
      <c r="BD23" s="21"/>
      <c r="BE23" s="98" t="s">
        <v>394</v>
      </c>
      <c r="BF23" s="99"/>
      <c r="BG23" s="99"/>
      <c r="BH23" s="99"/>
      <c r="BI23" s="99"/>
      <c r="BJ23" s="99"/>
      <c r="BK23" s="99"/>
      <c r="BL23" s="99"/>
      <c r="BM23" s="99"/>
      <c r="BO23" s="43"/>
      <c r="BP23" s="21"/>
      <c r="BQ23" s="91" t="s">
        <v>395</v>
      </c>
      <c r="BR23" s="91"/>
      <c r="BS23" s="91"/>
      <c r="BT23" s="91"/>
      <c r="BU23" s="91"/>
      <c r="BV23" s="91"/>
      <c r="BX23" s="43"/>
      <c r="BY23" s="21"/>
      <c r="BZ23" s="96" t="s">
        <v>396</v>
      </c>
      <c r="CA23" s="97"/>
      <c r="CB23" s="97"/>
      <c r="CC23" s="97"/>
      <c r="CD23" s="97"/>
      <c r="CE23" s="97"/>
      <c r="CF23" s="97"/>
      <c r="CG23" s="97"/>
      <c r="CI23" s="43"/>
      <c r="CJ23" s="21"/>
      <c r="CK23" s="91" t="s">
        <v>397</v>
      </c>
      <c r="CL23" s="91"/>
      <c r="CM23" s="91"/>
      <c r="CN23" s="91"/>
      <c r="CO23" s="91"/>
      <c r="CP23" s="91"/>
      <c r="CR23" s="43"/>
      <c r="CS23" s="21"/>
      <c r="CT23" s="100" t="s">
        <v>398</v>
      </c>
      <c r="CU23" s="91"/>
      <c r="CV23" s="91"/>
      <c r="CW23" s="91"/>
      <c r="CX23" s="91"/>
      <c r="CY23" s="92"/>
    </row>
    <row r="24" spans="1:103" ht="30.95">
      <c r="A24" s="22"/>
      <c r="B24" s="23"/>
      <c r="C24" s="24" t="s">
        <v>49</v>
      </c>
      <c r="D24" s="25" t="s">
        <v>69</v>
      </c>
      <c r="E24" s="25" t="s">
        <v>89</v>
      </c>
      <c r="F24" s="25" t="s">
        <v>84</v>
      </c>
      <c r="G24" s="25" t="s">
        <v>38</v>
      </c>
      <c r="H24" s="35" t="s">
        <v>365</v>
      </c>
      <c r="J24" s="22"/>
      <c r="K24" s="23"/>
      <c r="L24" s="24">
        <v>1</v>
      </c>
      <c r="M24" s="25">
        <v>2</v>
      </c>
      <c r="N24" s="25">
        <v>3</v>
      </c>
      <c r="O24" s="25">
        <v>4</v>
      </c>
      <c r="P24" s="25">
        <v>5</v>
      </c>
      <c r="Q24" s="35" t="s">
        <v>365</v>
      </c>
      <c r="S24" s="44"/>
      <c r="T24" s="23"/>
      <c r="U24" s="24">
        <v>1</v>
      </c>
      <c r="V24" s="25">
        <v>2</v>
      </c>
      <c r="W24" s="25">
        <v>3</v>
      </c>
      <c r="X24" s="25">
        <v>4</v>
      </c>
      <c r="Y24" s="25">
        <v>5</v>
      </c>
      <c r="Z24" s="35" t="s">
        <v>365</v>
      </c>
      <c r="AB24" s="44"/>
      <c r="AC24" s="23"/>
      <c r="AD24" s="24">
        <v>1</v>
      </c>
      <c r="AE24" s="25">
        <v>2</v>
      </c>
      <c r="AF24" s="25">
        <v>3</v>
      </c>
      <c r="AG24" s="25">
        <v>4</v>
      </c>
      <c r="AH24" s="25">
        <v>5</v>
      </c>
      <c r="AI24" s="35" t="s">
        <v>365</v>
      </c>
      <c r="AK24" s="44"/>
      <c r="AL24" s="23"/>
      <c r="AM24" s="24">
        <v>1</v>
      </c>
      <c r="AN24" s="25">
        <v>2</v>
      </c>
      <c r="AO24" s="25">
        <v>3</v>
      </c>
      <c r="AP24" s="25">
        <v>4</v>
      </c>
      <c r="AQ24" s="25">
        <v>5</v>
      </c>
      <c r="AR24" s="35" t="s">
        <v>365</v>
      </c>
      <c r="AT24" s="44"/>
      <c r="AU24" s="23"/>
      <c r="AV24" s="24">
        <v>1</v>
      </c>
      <c r="AW24" s="25">
        <v>2</v>
      </c>
      <c r="AX24" s="25">
        <v>3</v>
      </c>
      <c r="AY24" s="25">
        <v>4</v>
      </c>
      <c r="AZ24" s="25">
        <v>5</v>
      </c>
      <c r="BA24" s="35" t="s">
        <v>365</v>
      </c>
      <c r="BC24" s="44"/>
      <c r="BD24" s="23"/>
      <c r="BE24" s="58" t="s">
        <v>70</v>
      </c>
      <c r="BF24" s="58" t="s">
        <v>371</v>
      </c>
      <c r="BG24" s="58" t="s">
        <v>106</v>
      </c>
      <c r="BH24" s="58" t="s">
        <v>110</v>
      </c>
      <c r="BI24" s="58" t="s">
        <v>164</v>
      </c>
      <c r="BJ24" s="58" t="s">
        <v>264</v>
      </c>
      <c r="BK24" s="58" t="s">
        <v>94</v>
      </c>
      <c r="BL24" s="58" t="s">
        <v>372</v>
      </c>
      <c r="BM24" s="35" t="s">
        <v>365</v>
      </c>
      <c r="BO24" s="44"/>
      <c r="BP24" s="23"/>
      <c r="BQ24" s="24">
        <v>1</v>
      </c>
      <c r="BR24" s="25">
        <v>2</v>
      </c>
      <c r="BS24" s="25">
        <v>3</v>
      </c>
      <c r="BT24" s="25">
        <v>4</v>
      </c>
      <c r="BU24" s="25">
        <v>5</v>
      </c>
      <c r="BV24" s="35" t="s">
        <v>365</v>
      </c>
      <c r="BX24" s="44"/>
      <c r="BY24" s="23"/>
      <c r="BZ24" s="58" t="s">
        <v>374</v>
      </c>
      <c r="CA24" s="58" t="s">
        <v>375</v>
      </c>
      <c r="CB24" s="58" t="s">
        <v>376</v>
      </c>
      <c r="CC24" s="58" t="s">
        <v>111</v>
      </c>
      <c r="CD24" s="58" t="s">
        <v>132</v>
      </c>
      <c r="CE24" s="58" t="s">
        <v>377</v>
      </c>
      <c r="CF24" s="58" t="s">
        <v>378</v>
      </c>
      <c r="CG24" s="35" t="s">
        <v>365</v>
      </c>
      <c r="CI24" s="44"/>
      <c r="CJ24" s="23"/>
      <c r="CK24" s="24">
        <v>1</v>
      </c>
      <c r="CL24" s="25">
        <v>2</v>
      </c>
      <c r="CM24" s="25">
        <v>3</v>
      </c>
      <c r="CN24" s="25">
        <v>4</v>
      </c>
      <c r="CO24" s="25">
        <v>5</v>
      </c>
      <c r="CP24" s="35" t="s">
        <v>365</v>
      </c>
      <c r="CR24" s="44"/>
      <c r="CS24" s="23"/>
      <c r="CT24" s="24">
        <v>1</v>
      </c>
      <c r="CU24" s="25">
        <v>2</v>
      </c>
      <c r="CV24" s="25">
        <v>3</v>
      </c>
      <c r="CW24" s="25">
        <v>4</v>
      </c>
      <c r="CX24" s="25">
        <v>5</v>
      </c>
      <c r="CY24" s="58" t="s">
        <v>365</v>
      </c>
    </row>
    <row r="25" spans="1:103" ht="15.6">
      <c r="A25" s="86" t="s">
        <v>399</v>
      </c>
      <c r="B25" s="33" t="s">
        <v>41</v>
      </c>
      <c r="C25" s="61">
        <f>C3/$H3</f>
        <v>0.41935483870967744</v>
      </c>
      <c r="D25" s="61">
        <f t="shared" ref="D25:G25" si="109">D3/$H3</f>
        <v>0.24193548387096775</v>
      </c>
      <c r="E25" s="61">
        <f t="shared" si="109"/>
        <v>0.17741935483870969</v>
      </c>
      <c r="F25" s="61">
        <f t="shared" si="109"/>
        <v>0.11290322580645161</v>
      </c>
      <c r="G25" s="61">
        <f t="shared" si="109"/>
        <v>4.8387096774193547E-2</v>
      </c>
      <c r="H25" s="62">
        <f>SUM(C25:G25)</f>
        <v>1.0000000000000002</v>
      </c>
      <c r="J25" s="86" t="s">
        <v>399</v>
      </c>
      <c r="K25" s="33" t="s">
        <v>41</v>
      </c>
      <c r="L25" s="61">
        <f>L3/$Q3</f>
        <v>6.4516129032258063E-2</v>
      </c>
      <c r="M25" s="61">
        <f t="shared" ref="M25:P25" si="110">M3/$Q3</f>
        <v>1.6129032258064516E-2</v>
      </c>
      <c r="N25" s="61">
        <f>N3/$Q3</f>
        <v>0.30645161290322581</v>
      </c>
      <c r="O25" s="61">
        <f t="shared" si="110"/>
        <v>0.33870967741935482</v>
      </c>
      <c r="P25" s="61">
        <f t="shared" si="110"/>
        <v>0.27419354838709675</v>
      </c>
      <c r="Q25" s="36">
        <f>SUM(L25:P25)</f>
        <v>1</v>
      </c>
      <c r="S25" s="93" t="s">
        <v>399</v>
      </c>
      <c r="T25" s="33" t="s">
        <v>41</v>
      </c>
      <c r="U25" s="61">
        <f>U3/$Z3</f>
        <v>0.11290322580645161</v>
      </c>
      <c r="V25" s="61">
        <f t="shared" ref="V25:Y25" si="111">V3/$Z3</f>
        <v>0.32258064516129031</v>
      </c>
      <c r="W25" s="61">
        <f t="shared" si="111"/>
        <v>0.12903225806451613</v>
      </c>
      <c r="X25" s="61">
        <f t="shared" si="111"/>
        <v>0.14516129032258066</v>
      </c>
      <c r="Y25" s="61">
        <f t="shared" si="111"/>
        <v>0.29032258064516131</v>
      </c>
      <c r="Z25" s="36">
        <f>SUM(U25:Y25)</f>
        <v>1</v>
      </c>
      <c r="AB25" s="93" t="s">
        <v>399</v>
      </c>
      <c r="AC25" s="33" t="s">
        <v>41</v>
      </c>
      <c r="AD25" s="61">
        <f>AD3/$AI3</f>
        <v>0.29032258064516131</v>
      </c>
      <c r="AE25" s="61">
        <f t="shared" ref="AE25:AH25" si="112">AE3/$AI3</f>
        <v>0.29032258064516131</v>
      </c>
      <c r="AF25" s="61">
        <f t="shared" si="112"/>
        <v>0.16129032258064516</v>
      </c>
      <c r="AG25" s="61">
        <f t="shared" si="112"/>
        <v>4.8387096774193547E-2</v>
      </c>
      <c r="AH25" s="61">
        <f t="shared" si="112"/>
        <v>0.20967741935483872</v>
      </c>
      <c r="AI25" s="36">
        <f>SUM(AD25:AH25)</f>
        <v>1</v>
      </c>
      <c r="AK25" s="93" t="s">
        <v>399</v>
      </c>
      <c r="AL25" s="29" t="s">
        <v>41</v>
      </c>
      <c r="AM25" s="61">
        <f>AM3/$AR3</f>
        <v>0.80645161290322576</v>
      </c>
      <c r="AN25" s="61">
        <f t="shared" ref="AN25:AQ25" si="113">AN3/$AR3</f>
        <v>0.11290322580645161</v>
      </c>
      <c r="AO25" s="61">
        <f t="shared" si="113"/>
        <v>1.6129032258064516E-2</v>
      </c>
      <c r="AP25" s="61">
        <f t="shared" si="113"/>
        <v>1.6129032258064516E-2</v>
      </c>
      <c r="AQ25" s="61">
        <f t="shared" si="113"/>
        <v>4.8387096774193547E-2</v>
      </c>
      <c r="AR25" s="36">
        <f>SUM(AM25:AQ25)</f>
        <v>0.99999999999999989</v>
      </c>
      <c r="AT25" s="93" t="s">
        <v>399</v>
      </c>
      <c r="AU25" s="29" t="s">
        <v>41</v>
      </c>
      <c r="AV25" s="61">
        <f>AV3/$BA3</f>
        <v>6.4516129032258063E-2</v>
      </c>
      <c r="AW25" s="61">
        <f t="shared" ref="AW25:AZ25" si="114">AW3/$BA3</f>
        <v>4.8387096774193547E-2</v>
      </c>
      <c r="AX25" s="61">
        <f t="shared" si="114"/>
        <v>0.16129032258064516</v>
      </c>
      <c r="AY25" s="61">
        <f t="shared" si="114"/>
        <v>0.29032258064516131</v>
      </c>
      <c r="AZ25" s="61">
        <f t="shared" si="114"/>
        <v>0.43548387096774194</v>
      </c>
      <c r="BA25" s="36">
        <f>SUM(AV25:AZ25)</f>
        <v>1</v>
      </c>
      <c r="BC25" s="93" t="s">
        <v>399</v>
      </c>
      <c r="BD25" s="29" t="s">
        <v>41</v>
      </c>
      <c r="BE25" s="61">
        <f>BE3/$BM3</f>
        <v>0.19607843137254902</v>
      </c>
      <c r="BF25" s="61">
        <f t="shared" ref="BF25:BL25" si="115">BF3/$BM3</f>
        <v>1.3071895424836602E-2</v>
      </c>
      <c r="BG25" s="61">
        <f t="shared" si="115"/>
        <v>9.8039215686274508E-2</v>
      </c>
      <c r="BH25" s="61">
        <f t="shared" si="115"/>
        <v>8.4967320261437912E-2</v>
      </c>
      <c r="BI25" s="61">
        <f t="shared" si="115"/>
        <v>0.1437908496732026</v>
      </c>
      <c r="BJ25" s="61">
        <f t="shared" si="115"/>
        <v>0.16993464052287582</v>
      </c>
      <c r="BK25" s="61">
        <f t="shared" si="115"/>
        <v>0.28758169934640521</v>
      </c>
      <c r="BL25" s="61">
        <f t="shared" si="115"/>
        <v>6.5359477124183009E-3</v>
      </c>
      <c r="BM25" s="36">
        <f>SUM(BE25:BL25)</f>
        <v>1.0000000000000002</v>
      </c>
      <c r="BO25" s="93" t="s">
        <v>399</v>
      </c>
      <c r="BP25" s="29" t="s">
        <v>41</v>
      </c>
      <c r="BQ25" s="61">
        <f>BQ3/$BV3</f>
        <v>0.11290322580645161</v>
      </c>
      <c r="BR25" s="61">
        <f t="shared" ref="BR25:BU25" si="116">BR3/$BV3</f>
        <v>0.14516129032258066</v>
      </c>
      <c r="BS25" s="61">
        <f t="shared" si="116"/>
        <v>0.30645161290322581</v>
      </c>
      <c r="BT25" s="61">
        <f t="shared" si="116"/>
        <v>0.29032258064516131</v>
      </c>
      <c r="BU25" s="61">
        <f t="shared" si="116"/>
        <v>0.14516129032258066</v>
      </c>
      <c r="BV25" s="36">
        <f>SUM(BQ25:BU25)</f>
        <v>0.99999999999999989</v>
      </c>
      <c r="BX25" s="93" t="s">
        <v>399</v>
      </c>
      <c r="BY25" s="29" t="s">
        <v>41</v>
      </c>
      <c r="BZ25" s="61">
        <f>BZ3/$CG3</f>
        <v>0.12101910828025478</v>
      </c>
      <c r="CA25" s="61">
        <f t="shared" ref="CA25:CF25" si="117">CA3/$CG3</f>
        <v>0.10828025477707007</v>
      </c>
      <c r="CB25" s="61">
        <f t="shared" si="117"/>
        <v>0.21019108280254778</v>
      </c>
      <c r="CC25" s="61">
        <f t="shared" si="117"/>
        <v>0.15923566878980891</v>
      </c>
      <c r="CD25" s="61">
        <f t="shared" si="117"/>
        <v>0.22292993630573249</v>
      </c>
      <c r="CE25" s="61">
        <f t="shared" si="117"/>
        <v>0.16560509554140126</v>
      </c>
      <c r="CF25" s="61">
        <f t="shared" si="117"/>
        <v>1.2738853503184714E-2</v>
      </c>
      <c r="CG25" s="36">
        <f>SUM(BZ25:CF25)</f>
        <v>1</v>
      </c>
      <c r="CI25" s="93" t="s">
        <v>399</v>
      </c>
      <c r="CJ25" s="29" t="s">
        <v>41</v>
      </c>
      <c r="CK25" s="61">
        <f>CK3/$CP3</f>
        <v>1.6129032258064516E-2</v>
      </c>
      <c r="CL25" s="61">
        <f t="shared" ref="CL25:CO25" si="118">CL3/$CP3</f>
        <v>0</v>
      </c>
      <c r="CM25" s="61">
        <f t="shared" si="118"/>
        <v>0.12903225806451613</v>
      </c>
      <c r="CN25" s="61">
        <f t="shared" si="118"/>
        <v>0.27419354838709675</v>
      </c>
      <c r="CO25" s="61">
        <f t="shared" si="118"/>
        <v>0.58064516129032262</v>
      </c>
      <c r="CP25" s="36">
        <f>SUM(CK25:CO25)</f>
        <v>1</v>
      </c>
      <c r="CR25" s="93" t="s">
        <v>399</v>
      </c>
      <c r="CS25" s="29" t="s">
        <v>41</v>
      </c>
      <c r="CT25" s="61">
        <f>CT3/$CY3</f>
        <v>1.6129032258064516E-2</v>
      </c>
      <c r="CU25" s="61">
        <f t="shared" ref="CU25:CX25" si="119">CU3/$CY3</f>
        <v>6.4516129032258063E-2</v>
      </c>
      <c r="CV25" s="61">
        <f t="shared" si="119"/>
        <v>0.19354838709677419</v>
      </c>
      <c r="CW25" s="61">
        <f t="shared" si="119"/>
        <v>0.32258064516129031</v>
      </c>
      <c r="CX25" s="61">
        <f t="shared" si="119"/>
        <v>0.40322580645161288</v>
      </c>
      <c r="CY25" s="59">
        <f>SUM(CT25:CX25)</f>
        <v>0.99999999999999989</v>
      </c>
    </row>
    <row r="26" spans="1:103" ht="15.6">
      <c r="A26" s="87"/>
      <c r="B26" s="16" t="s">
        <v>66</v>
      </c>
      <c r="C26" s="65">
        <f>C4/$H4</f>
        <v>0.3783783783783784</v>
      </c>
      <c r="D26" s="65">
        <f t="shared" ref="D26:G28" si="120">D4/$H4</f>
        <v>0.24324324324324326</v>
      </c>
      <c r="E26" s="65">
        <f t="shared" si="120"/>
        <v>0.13513513513513514</v>
      </c>
      <c r="F26" s="65">
        <f t="shared" si="120"/>
        <v>0.24324324324324326</v>
      </c>
      <c r="G26" s="65">
        <f t="shared" si="120"/>
        <v>0</v>
      </c>
      <c r="H26" s="67">
        <f t="shared" ref="H26:H27" si="121">SUM(C26:G26)</f>
        <v>1</v>
      </c>
      <c r="J26" s="87"/>
      <c r="K26" s="16" t="s">
        <v>66</v>
      </c>
      <c r="L26" s="65">
        <f t="shared" ref="L26:P26" si="122">L4/$Q4</f>
        <v>0.16216216216216217</v>
      </c>
      <c r="M26" s="65">
        <f t="shared" si="122"/>
        <v>0.13513513513513514</v>
      </c>
      <c r="N26" s="65">
        <f>N4/$Q4</f>
        <v>0.1891891891891892</v>
      </c>
      <c r="O26" s="65">
        <f t="shared" si="122"/>
        <v>0.27027027027027029</v>
      </c>
      <c r="P26" s="65">
        <f t="shared" si="122"/>
        <v>0.24324324324324326</v>
      </c>
      <c r="Q26" s="37">
        <f t="shared" ref="Q26:Q27" si="123">SUM(L26:P26)</f>
        <v>1</v>
      </c>
      <c r="S26" s="94"/>
      <c r="T26" s="16" t="s">
        <v>66</v>
      </c>
      <c r="U26" s="65">
        <f t="shared" ref="U26:Y26" si="124">U4/$Z4</f>
        <v>0.1891891891891892</v>
      </c>
      <c r="V26" s="65">
        <f t="shared" si="124"/>
        <v>0.13513513513513514</v>
      </c>
      <c r="W26" s="65">
        <f t="shared" si="124"/>
        <v>0.21621621621621623</v>
      </c>
      <c r="X26" s="65">
        <f t="shared" si="124"/>
        <v>0.32432432432432434</v>
      </c>
      <c r="Y26" s="65">
        <f t="shared" si="124"/>
        <v>0.13513513513513514</v>
      </c>
      <c r="Z26" s="37">
        <f t="shared" ref="Z26:Z27" si="125">SUM(U26:Y26)</f>
        <v>1</v>
      </c>
      <c r="AB26" s="94"/>
      <c r="AC26" s="16" t="s">
        <v>66</v>
      </c>
      <c r="AD26" s="65">
        <f t="shared" ref="AD26:AH26" si="126">AD4/$AI4</f>
        <v>0.43243243243243246</v>
      </c>
      <c r="AE26" s="65">
        <f t="shared" si="126"/>
        <v>0.10810810810810811</v>
      </c>
      <c r="AF26" s="65">
        <f t="shared" si="126"/>
        <v>0.21621621621621623</v>
      </c>
      <c r="AG26" s="65">
        <f t="shared" si="126"/>
        <v>8.1081081081081086E-2</v>
      </c>
      <c r="AH26" s="65">
        <f t="shared" si="126"/>
        <v>0.16216216216216217</v>
      </c>
      <c r="AI26" s="37">
        <f t="shared" ref="AI26:AI27" si="127">SUM(AD26:AH26)</f>
        <v>1</v>
      </c>
      <c r="AK26" s="94"/>
      <c r="AL26" s="16" t="s">
        <v>66</v>
      </c>
      <c r="AM26" s="65">
        <f t="shared" ref="AM26:AQ26" si="128">AM4/$AR4</f>
        <v>0.86486486486486491</v>
      </c>
      <c r="AN26" s="65">
        <f t="shared" si="128"/>
        <v>2.7027027027027029E-2</v>
      </c>
      <c r="AO26" s="65">
        <f t="shared" si="128"/>
        <v>8.1081081081081086E-2</v>
      </c>
      <c r="AP26" s="65">
        <f t="shared" si="128"/>
        <v>0</v>
      </c>
      <c r="AQ26" s="65">
        <f t="shared" si="128"/>
        <v>2.7027027027027029E-2</v>
      </c>
      <c r="AR26" s="37">
        <f t="shared" ref="AR26:AR27" si="129">SUM(AM26:AQ26)</f>
        <v>1</v>
      </c>
      <c r="AT26" s="94"/>
      <c r="AU26" s="16" t="s">
        <v>66</v>
      </c>
      <c r="AV26" s="65">
        <f t="shared" ref="AV26:AZ26" si="130">AV4/$BA4</f>
        <v>8.1081081081081086E-2</v>
      </c>
      <c r="AW26" s="65">
        <f t="shared" si="130"/>
        <v>8.1081081081081086E-2</v>
      </c>
      <c r="AX26" s="65">
        <f t="shared" si="130"/>
        <v>8.1081081081081086E-2</v>
      </c>
      <c r="AY26" s="65">
        <f t="shared" si="130"/>
        <v>0.35135135135135137</v>
      </c>
      <c r="AZ26" s="65">
        <f t="shared" si="130"/>
        <v>0.40540540540540543</v>
      </c>
      <c r="BA26" s="37">
        <f t="shared" ref="BA26:BA27" si="131">SUM(AV26:AZ26)</f>
        <v>1</v>
      </c>
      <c r="BC26" s="94"/>
      <c r="BD26" s="16" t="s">
        <v>66</v>
      </c>
      <c r="BE26" s="65">
        <f t="shared" ref="BE26:BL26" si="132">BE4/$BM4</f>
        <v>0.25555555555555554</v>
      </c>
      <c r="BF26" s="65">
        <f t="shared" si="132"/>
        <v>7.7777777777777779E-2</v>
      </c>
      <c r="BG26" s="65">
        <f t="shared" si="132"/>
        <v>0.1</v>
      </c>
      <c r="BH26" s="65">
        <f t="shared" si="132"/>
        <v>8.8888888888888892E-2</v>
      </c>
      <c r="BI26" s="65">
        <f t="shared" si="132"/>
        <v>0.14444444444444443</v>
      </c>
      <c r="BJ26" s="65">
        <f t="shared" si="132"/>
        <v>0.13333333333333333</v>
      </c>
      <c r="BK26" s="65">
        <f t="shared" si="132"/>
        <v>0.18888888888888888</v>
      </c>
      <c r="BL26" s="65">
        <f t="shared" si="132"/>
        <v>1.1111111111111112E-2</v>
      </c>
      <c r="BM26" s="37">
        <f t="shared" ref="BM26:BM28" si="133">SUM(BE26:BL26)</f>
        <v>1</v>
      </c>
      <c r="BO26" s="94"/>
      <c r="BP26" s="16" t="s">
        <v>66</v>
      </c>
      <c r="BQ26" s="65">
        <f t="shared" ref="BQ26:BU26" si="134">BQ4/$BV4</f>
        <v>0.1891891891891892</v>
      </c>
      <c r="BR26" s="65">
        <f t="shared" si="134"/>
        <v>0.1891891891891892</v>
      </c>
      <c r="BS26" s="65">
        <f t="shared" si="134"/>
        <v>0.29729729729729731</v>
      </c>
      <c r="BT26" s="65">
        <f t="shared" si="134"/>
        <v>0.21621621621621623</v>
      </c>
      <c r="BU26" s="65">
        <f t="shared" si="134"/>
        <v>0.10810810810810811</v>
      </c>
      <c r="BV26" s="37">
        <f t="shared" ref="BV26:BV27" si="135">SUM(BQ26:BU26)</f>
        <v>1</v>
      </c>
      <c r="BX26" s="94"/>
      <c r="BY26" s="16" t="s">
        <v>66</v>
      </c>
      <c r="BZ26" s="65">
        <f t="shared" ref="BZ26:CF26" si="136">BZ4/$CG4</f>
        <v>0.17241379310344829</v>
      </c>
      <c r="CA26" s="65">
        <f t="shared" si="136"/>
        <v>0.17241379310344829</v>
      </c>
      <c r="CB26" s="65">
        <f t="shared" si="136"/>
        <v>0.16091954022988506</v>
      </c>
      <c r="CC26" s="65">
        <f t="shared" si="136"/>
        <v>0.10344827586206896</v>
      </c>
      <c r="CD26" s="65">
        <f t="shared" si="136"/>
        <v>0.20689655172413793</v>
      </c>
      <c r="CE26" s="65">
        <f t="shared" si="136"/>
        <v>0.16091954022988506</v>
      </c>
      <c r="CF26" s="65">
        <f t="shared" si="136"/>
        <v>2.2988505747126436E-2</v>
      </c>
      <c r="CG26" s="37">
        <f t="shared" ref="CG26:CG28" si="137">SUM(BZ26:CF26)</f>
        <v>1</v>
      </c>
      <c r="CI26" s="94"/>
      <c r="CJ26" s="16" t="s">
        <v>66</v>
      </c>
      <c r="CK26" s="65">
        <f t="shared" ref="CK26:CO26" si="138">CK4/$CP4</f>
        <v>5.4054054054054057E-2</v>
      </c>
      <c r="CL26" s="65">
        <f t="shared" si="138"/>
        <v>0</v>
      </c>
      <c r="CM26" s="65">
        <f t="shared" si="138"/>
        <v>0.13513513513513514</v>
      </c>
      <c r="CN26" s="65">
        <f t="shared" si="138"/>
        <v>0.3783783783783784</v>
      </c>
      <c r="CO26" s="65">
        <f t="shared" si="138"/>
        <v>0.43243243243243246</v>
      </c>
      <c r="CP26" s="37">
        <f t="shared" ref="CP26:CP27" si="139">SUM(CK26:CO26)</f>
        <v>1</v>
      </c>
      <c r="CR26" s="94"/>
      <c r="CS26" s="16" t="s">
        <v>66</v>
      </c>
      <c r="CT26" s="65">
        <f t="shared" ref="CT26:CX26" si="140">CT4/$CY4</f>
        <v>8.1081081081081086E-2</v>
      </c>
      <c r="CU26" s="65">
        <f t="shared" si="140"/>
        <v>2.7027027027027029E-2</v>
      </c>
      <c r="CV26" s="65">
        <f t="shared" si="140"/>
        <v>0.3783783783783784</v>
      </c>
      <c r="CW26" s="65">
        <f t="shared" si="140"/>
        <v>0.13513513513513514</v>
      </c>
      <c r="CX26" s="65">
        <f t="shared" si="140"/>
        <v>0.3783783783783784</v>
      </c>
      <c r="CY26" s="54">
        <f t="shared" ref="CY26:CY27" si="141">SUM(CT26:CX26)</f>
        <v>1</v>
      </c>
    </row>
    <row r="27" spans="1:103" ht="15.6">
      <c r="A27" s="87"/>
      <c r="B27" s="29" t="s">
        <v>156</v>
      </c>
      <c r="C27" s="61">
        <f>C5/$H5</f>
        <v>1</v>
      </c>
      <c r="D27" s="61">
        <f t="shared" si="120"/>
        <v>0</v>
      </c>
      <c r="E27" s="61">
        <f t="shared" si="120"/>
        <v>0</v>
      </c>
      <c r="F27" s="61">
        <f t="shared" si="120"/>
        <v>0</v>
      </c>
      <c r="G27" s="61">
        <f t="shared" si="120"/>
        <v>0</v>
      </c>
      <c r="H27" s="62">
        <f t="shared" si="121"/>
        <v>1</v>
      </c>
      <c r="J27" s="87"/>
      <c r="K27" s="29" t="s">
        <v>156</v>
      </c>
      <c r="L27" s="61">
        <f t="shared" ref="L27:P27" si="142">L5/$Q5</f>
        <v>1</v>
      </c>
      <c r="M27" s="61">
        <f t="shared" si="142"/>
        <v>0</v>
      </c>
      <c r="N27" s="61">
        <f>N5/$Q5</f>
        <v>0</v>
      </c>
      <c r="O27" s="61">
        <f t="shared" si="142"/>
        <v>0</v>
      </c>
      <c r="P27" s="61">
        <f t="shared" si="142"/>
        <v>0</v>
      </c>
      <c r="Q27" s="36">
        <f t="shared" si="123"/>
        <v>1</v>
      </c>
      <c r="S27" s="94"/>
      <c r="T27" s="29" t="s">
        <v>156</v>
      </c>
      <c r="U27" s="61">
        <f t="shared" ref="U27:Y27" si="143">U5/$Z5</f>
        <v>0</v>
      </c>
      <c r="V27" s="61">
        <f t="shared" si="143"/>
        <v>1</v>
      </c>
      <c r="W27" s="61">
        <f t="shared" si="143"/>
        <v>0</v>
      </c>
      <c r="X27" s="61">
        <f t="shared" si="143"/>
        <v>0</v>
      </c>
      <c r="Y27" s="61">
        <f t="shared" si="143"/>
        <v>0</v>
      </c>
      <c r="Z27" s="36">
        <f t="shared" si="125"/>
        <v>1</v>
      </c>
      <c r="AB27" s="94"/>
      <c r="AC27" s="29" t="s">
        <v>156</v>
      </c>
      <c r="AD27" s="61">
        <f t="shared" ref="AD27:AH27" si="144">AD5/$AI5</f>
        <v>0</v>
      </c>
      <c r="AE27" s="61">
        <f t="shared" si="144"/>
        <v>1</v>
      </c>
      <c r="AF27" s="61">
        <f t="shared" si="144"/>
        <v>0</v>
      </c>
      <c r="AG27" s="61">
        <f t="shared" si="144"/>
        <v>0</v>
      </c>
      <c r="AH27" s="61">
        <f t="shared" si="144"/>
        <v>0</v>
      </c>
      <c r="AI27" s="36">
        <f t="shared" si="127"/>
        <v>1</v>
      </c>
      <c r="AK27" s="94"/>
      <c r="AL27" s="29" t="s">
        <v>156</v>
      </c>
      <c r="AM27" s="61">
        <f t="shared" ref="AM27:AQ27" si="145">AM5/$AR5</f>
        <v>1</v>
      </c>
      <c r="AN27" s="61">
        <f t="shared" si="145"/>
        <v>0</v>
      </c>
      <c r="AO27" s="61">
        <f t="shared" si="145"/>
        <v>0</v>
      </c>
      <c r="AP27" s="61">
        <f t="shared" si="145"/>
        <v>0</v>
      </c>
      <c r="AQ27" s="61">
        <f t="shared" si="145"/>
        <v>0</v>
      </c>
      <c r="AR27" s="36">
        <f t="shared" si="129"/>
        <v>1</v>
      </c>
      <c r="AT27" s="94"/>
      <c r="AU27" s="29" t="s">
        <v>156</v>
      </c>
      <c r="AV27" s="61">
        <f t="shared" ref="AV27:AZ27" si="146">AV5/$BA5</f>
        <v>0</v>
      </c>
      <c r="AW27" s="61">
        <f t="shared" si="146"/>
        <v>0</v>
      </c>
      <c r="AX27" s="61">
        <f t="shared" si="146"/>
        <v>1</v>
      </c>
      <c r="AY27" s="61">
        <f t="shared" si="146"/>
        <v>0</v>
      </c>
      <c r="AZ27" s="61">
        <f t="shared" si="146"/>
        <v>0</v>
      </c>
      <c r="BA27" s="36">
        <f t="shared" si="131"/>
        <v>1</v>
      </c>
      <c r="BC27" s="94"/>
      <c r="BD27" s="29" t="s">
        <v>156</v>
      </c>
      <c r="BE27" s="61">
        <f t="shared" ref="BE27:BL27" si="147">BE5/$BM5</f>
        <v>0</v>
      </c>
      <c r="BF27" s="61">
        <f t="shared" si="147"/>
        <v>0</v>
      </c>
      <c r="BG27" s="61">
        <f t="shared" si="147"/>
        <v>0</v>
      </c>
      <c r="BH27" s="61">
        <f t="shared" si="147"/>
        <v>0</v>
      </c>
      <c r="BI27" s="61">
        <f t="shared" si="147"/>
        <v>0.33333333333333331</v>
      </c>
      <c r="BJ27" s="61">
        <f t="shared" si="147"/>
        <v>0.33333333333333331</v>
      </c>
      <c r="BK27" s="61">
        <f t="shared" si="147"/>
        <v>0.33333333333333331</v>
      </c>
      <c r="BL27" s="61">
        <f t="shared" si="147"/>
        <v>0</v>
      </c>
      <c r="BM27" s="36">
        <f t="shared" si="133"/>
        <v>1</v>
      </c>
      <c r="BO27" s="94"/>
      <c r="BP27" s="29" t="s">
        <v>156</v>
      </c>
      <c r="BQ27" s="61">
        <f t="shared" ref="BQ27:BU27" si="148">BQ5/$BV5</f>
        <v>0</v>
      </c>
      <c r="BR27" s="61">
        <f t="shared" si="148"/>
        <v>0</v>
      </c>
      <c r="BS27" s="61">
        <f t="shared" si="148"/>
        <v>0</v>
      </c>
      <c r="BT27" s="61">
        <f t="shared" si="148"/>
        <v>1</v>
      </c>
      <c r="BU27" s="61">
        <f t="shared" si="148"/>
        <v>0</v>
      </c>
      <c r="BV27" s="36">
        <f t="shared" si="135"/>
        <v>1</v>
      </c>
      <c r="BX27" s="94"/>
      <c r="BY27" s="29" t="s">
        <v>156</v>
      </c>
      <c r="BZ27" s="61">
        <f t="shared" ref="BZ27:CF27" si="149">BZ5/$CG5</f>
        <v>0.33333333333333331</v>
      </c>
      <c r="CA27" s="61">
        <f t="shared" si="149"/>
        <v>0.33333333333333331</v>
      </c>
      <c r="CB27" s="61">
        <f t="shared" si="149"/>
        <v>0</v>
      </c>
      <c r="CC27" s="61">
        <f t="shared" si="149"/>
        <v>0</v>
      </c>
      <c r="CD27" s="61">
        <f t="shared" si="149"/>
        <v>0.33333333333333331</v>
      </c>
      <c r="CE27" s="61">
        <f t="shared" si="149"/>
        <v>0</v>
      </c>
      <c r="CF27" s="61">
        <f t="shared" si="149"/>
        <v>0</v>
      </c>
      <c r="CG27" s="36">
        <f t="shared" si="137"/>
        <v>1</v>
      </c>
      <c r="CI27" s="94"/>
      <c r="CJ27" s="29" t="s">
        <v>156</v>
      </c>
      <c r="CK27" s="61">
        <f t="shared" ref="CK27:CO27" si="150">CK5/$CP5</f>
        <v>0</v>
      </c>
      <c r="CL27" s="61">
        <f t="shared" si="150"/>
        <v>0</v>
      </c>
      <c r="CM27" s="61">
        <f t="shared" si="150"/>
        <v>0</v>
      </c>
      <c r="CN27" s="61">
        <f t="shared" si="150"/>
        <v>1</v>
      </c>
      <c r="CO27" s="61">
        <f t="shared" si="150"/>
        <v>0</v>
      </c>
      <c r="CP27" s="36">
        <f t="shared" si="139"/>
        <v>1</v>
      </c>
      <c r="CR27" s="94"/>
      <c r="CS27" s="29" t="s">
        <v>156</v>
      </c>
      <c r="CT27" s="61">
        <f t="shared" ref="CT27:CX27" si="151">CT5/$CY5</f>
        <v>0</v>
      </c>
      <c r="CU27" s="61">
        <f t="shared" si="151"/>
        <v>0</v>
      </c>
      <c r="CV27" s="61">
        <f t="shared" si="151"/>
        <v>1</v>
      </c>
      <c r="CW27" s="61">
        <f t="shared" si="151"/>
        <v>0</v>
      </c>
      <c r="CX27" s="61">
        <f t="shared" si="151"/>
        <v>0</v>
      </c>
      <c r="CY27" s="59">
        <f t="shared" si="141"/>
        <v>1</v>
      </c>
    </row>
    <row r="28" spans="1:103" ht="15.6">
      <c r="A28" s="88"/>
      <c r="B28" s="17" t="s">
        <v>365</v>
      </c>
      <c r="C28" s="65">
        <f>C6/$H6</f>
        <v>0.41</v>
      </c>
      <c r="D28" s="65">
        <f t="shared" si="120"/>
        <v>0.24</v>
      </c>
      <c r="E28" s="65">
        <f t="shared" si="120"/>
        <v>0.16</v>
      </c>
      <c r="F28" s="65">
        <f t="shared" si="120"/>
        <v>0.16</v>
      </c>
      <c r="G28" s="65">
        <f t="shared" si="120"/>
        <v>0.03</v>
      </c>
      <c r="H28" s="66">
        <f>SUM(C28:G28)</f>
        <v>1</v>
      </c>
      <c r="J28" s="88"/>
      <c r="K28" s="17" t="s">
        <v>365</v>
      </c>
      <c r="L28" s="65">
        <f t="shared" ref="L28:P28" si="152">L6/$Q6</f>
        <v>0.11</v>
      </c>
      <c r="M28" s="65">
        <f t="shared" si="152"/>
        <v>0.06</v>
      </c>
      <c r="N28" s="65">
        <f>N6/$Q6</f>
        <v>0.26</v>
      </c>
      <c r="O28" s="65">
        <f t="shared" si="152"/>
        <v>0.31</v>
      </c>
      <c r="P28" s="65">
        <f t="shared" si="152"/>
        <v>0.26</v>
      </c>
      <c r="Q28" s="38">
        <f>SUM(L28:P28)</f>
        <v>1</v>
      </c>
      <c r="S28" s="95"/>
      <c r="T28" s="17" t="s">
        <v>365</v>
      </c>
      <c r="U28" s="65">
        <f t="shared" ref="U28:Y28" si="153">U6/$Z6</f>
        <v>0.14000000000000001</v>
      </c>
      <c r="V28" s="65">
        <f t="shared" si="153"/>
        <v>0.26</v>
      </c>
      <c r="W28" s="65">
        <f t="shared" si="153"/>
        <v>0.16</v>
      </c>
      <c r="X28" s="65">
        <f t="shared" si="153"/>
        <v>0.21</v>
      </c>
      <c r="Y28" s="65">
        <f t="shared" si="153"/>
        <v>0.23</v>
      </c>
      <c r="Z28" s="38">
        <f>SUM(U28:Y28)</f>
        <v>1</v>
      </c>
      <c r="AB28" s="95"/>
      <c r="AC28" s="17" t="s">
        <v>365</v>
      </c>
      <c r="AD28" s="65">
        <f t="shared" ref="AD28:AH28" si="154">AD6/$AI6</f>
        <v>0.34</v>
      </c>
      <c r="AE28" s="65">
        <f t="shared" si="154"/>
        <v>0.23</v>
      </c>
      <c r="AF28" s="65">
        <f t="shared" si="154"/>
        <v>0.18</v>
      </c>
      <c r="AG28" s="65">
        <f t="shared" si="154"/>
        <v>0.06</v>
      </c>
      <c r="AH28" s="65">
        <f t="shared" si="154"/>
        <v>0.19</v>
      </c>
      <c r="AI28" s="38">
        <f>SUM(AD28:AH28)</f>
        <v>1</v>
      </c>
      <c r="AK28" s="95"/>
      <c r="AL28" s="17" t="s">
        <v>365</v>
      </c>
      <c r="AM28" s="65">
        <f t="shared" ref="AM28:AQ28" si="155">AM6/$AR6</f>
        <v>0.83</v>
      </c>
      <c r="AN28" s="65">
        <f t="shared" si="155"/>
        <v>0.08</v>
      </c>
      <c r="AO28" s="65">
        <f t="shared" si="155"/>
        <v>0.04</v>
      </c>
      <c r="AP28" s="65">
        <f t="shared" si="155"/>
        <v>0.01</v>
      </c>
      <c r="AQ28" s="65">
        <f t="shared" si="155"/>
        <v>0.04</v>
      </c>
      <c r="AR28" s="38">
        <f>SUM(AM28:AQ28)</f>
        <v>1</v>
      </c>
      <c r="AT28" s="95"/>
      <c r="AU28" s="17" t="s">
        <v>365</v>
      </c>
      <c r="AV28" s="65">
        <f t="shared" ref="AV28:AZ28" si="156">AV6/$BA6</f>
        <v>7.0000000000000007E-2</v>
      </c>
      <c r="AW28" s="65">
        <f t="shared" si="156"/>
        <v>0.06</v>
      </c>
      <c r="AX28" s="65">
        <f t="shared" si="156"/>
        <v>0.14000000000000001</v>
      </c>
      <c r="AY28" s="65">
        <f t="shared" si="156"/>
        <v>0.31</v>
      </c>
      <c r="AZ28" s="65">
        <f t="shared" si="156"/>
        <v>0.42</v>
      </c>
      <c r="BA28" s="38">
        <f>SUM(AV28:AZ28)</f>
        <v>1</v>
      </c>
      <c r="BC28" s="95"/>
      <c r="BD28" s="17" t="s">
        <v>365</v>
      </c>
      <c r="BE28" s="65">
        <f t="shared" ref="BE28:BL28" si="157">BE6/$BM6</f>
        <v>0.21544715447154472</v>
      </c>
      <c r="BF28" s="65">
        <f t="shared" si="157"/>
        <v>3.6585365853658534E-2</v>
      </c>
      <c r="BG28" s="65">
        <f t="shared" si="157"/>
        <v>9.7560975609756101E-2</v>
      </c>
      <c r="BH28" s="65">
        <f t="shared" si="157"/>
        <v>8.5365853658536592E-2</v>
      </c>
      <c r="BI28" s="65">
        <f t="shared" si="157"/>
        <v>0.14634146341463414</v>
      </c>
      <c r="BJ28" s="65">
        <f t="shared" si="157"/>
        <v>0.15853658536585366</v>
      </c>
      <c r="BK28" s="65">
        <f t="shared" si="157"/>
        <v>0.25203252032520324</v>
      </c>
      <c r="BL28" s="65">
        <f t="shared" si="157"/>
        <v>8.130081300813009E-3</v>
      </c>
      <c r="BM28" s="37">
        <f t="shared" si="133"/>
        <v>1</v>
      </c>
      <c r="BO28" s="95"/>
      <c r="BP28" s="17" t="s">
        <v>365</v>
      </c>
      <c r="BQ28" s="65">
        <f t="shared" ref="BQ28:BU28" si="158">BQ6/$BV6</f>
        <v>0.14000000000000001</v>
      </c>
      <c r="BR28" s="65">
        <f t="shared" si="158"/>
        <v>0.16</v>
      </c>
      <c r="BS28" s="65">
        <f t="shared" si="158"/>
        <v>0.3</v>
      </c>
      <c r="BT28" s="65">
        <f t="shared" si="158"/>
        <v>0.27</v>
      </c>
      <c r="BU28" s="65">
        <f t="shared" si="158"/>
        <v>0.13</v>
      </c>
      <c r="BV28" s="38">
        <f>SUM(BQ28:BU28)</f>
        <v>1</v>
      </c>
      <c r="BX28" s="95"/>
      <c r="BY28" s="17" t="s">
        <v>365</v>
      </c>
      <c r="BZ28" s="65">
        <f t="shared" ref="BZ28:CF28" si="159">BZ6/$CG6</f>
        <v>0.1417004048582996</v>
      </c>
      <c r="CA28" s="65">
        <f t="shared" si="159"/>
        <v>0.13360323886639677</v>
      </c>
      <c r="CB28" s="65">
        <f t="shared" si="159"/>
        <v>0.19028340080971659</v>
      </c>
      <c r="CC28" s="65">
        <f t="shared" si="159"/>
        <v>0.13765182186234817</v>
      </c>
      <c r="CD28" s="65">
        <f t="shared" si="159"/>
        <v>0.21862348178137653</v>
      </c>
      <c r="CE28" s="65">
        <f t="shared" si="159"/>
        <v>0.16194331983805668</v>
      </c>
      <c r="CF28" s="65">
        <f t="shared" si="159"/>
        <v>1.6194331983805668E-2</v>
      </c>
      <c r="CG28" s="37">
        <f t="shared" si="137"/>
        <v>1</v>
      </c>
      <c r="CI28" s="95"/>
      <c r="CJ28" s="17" t="s">
        <v>365</v>
      </c>
      <c r="CK28" s="65">
        <f t="shared" ref="CK28:CO28" si="160">CK6/$CP6</f>
        <v>0.03</v>
      </c>
      <c r="CL28" s="65">
        <f t="shared" si="160"/>
        <v>0</v>
      </c>
      <c r="CM28" s="65">
        <f t="shared" si="160"/>
        <v>0.13</v>
      </c>
      <c r="CN28" s="65">
        <f t="shared" si="160"/>
        <v>0.32</v>
      </c>
      <c r="CO28" s="65">
        <f t="shared" si="160"/>
        <v>0.52</v>
      </c>
      <c r="CP28" s="38">
        <f>SUM(CK28:CO28)</f>
        <v>1</v>
      </c>
      <c r="CR28" s="95"/>
      <c r="CS28" s="17" t="s">
        <v>365</v>
      </c>
      <c r="CT28" s="65">
        <f t="shared" ref="CT28:CX28" si="161">CT6/$CY6</f>
        <v>0.04</v>
      </c>
      <c r="CU28" s="65">
        <f t="shared" si="161"/>
        <v>0.05</v>
      </c>
      <c r="CV28" s="65">
        <f t="shared" si="161"/>
        <v>0.27</v>
      </c>
      <c r="CW28" s="65">
        <f t="shared" si="161"/>
        <v>0.25</v>
      </c>
      <c r="CX28" s="65">
        <f t="shared" si="161"/>
        <v>0.39</v>
      </c>
      <c r="CY28" s="54">
        <f>SUM(CT28:CX28)</f>
        <v>1</v>
      </c>
    </row>
    <row r="29" spans="1:103">
      <c r="A29" s="18"/>
      <c r="B29" s="19"/>
      <c r="C29" s="28"/>
      <c r="D29" s="28"/>
      <c r="E29" s="28"/>
      <c r="F29" s="28"/>
      <c r="G29" s="28"/>
      <c r="H29" s="19"/>
      <c r="J29" s="18"/>
      <c r="K29" s="19"/>
      <c r="L29" s="28"/>
      <c r="M29" s="28"/>
      <c r="N29" s="28"/>
      <c r="O29" s="28"/>
      <c r="P29" s="28"/>
      <c r="Q29" s="19"/>
      <c r="S29" s="19"/>
      <c r="T29" s="19"/>
      <c r="U29" s="28"/>
      <c r="V29" s="28"/>
      <c r="W29" s="28"/>
      <c r="X29" s="28"/>
      <c r="Y29" s="28"/>
      <c r="Z29" s="19"/>
      <c r="AB29" s="19"/>
      <c r="AC29" s="19"/>
      <c r="AD29" s="28"/>
      <c r="AE29" s="28"/>
      <c r="AF29" s="28"/>
      <c r="AG29" s="28"/>
      <c r="AH29" s="28"/>
      <c r="AI29" s="19"/>
      <c r="AK29" s="19"/>
      <c r="AL29" s="19"/>
      <c r="AM29" s="28"/>
      <c r="AN29" s="28"/>
      <c r="AO29" s="28"/>
      <c r="AP29" s="28"/>
      <c r="AQ29" s="28"/>
      <c r="AR29" s="19"/>
      <c r="AT29" s="19"/>
      <c r="AU29" s="19"/>
      <c r="AV29" s="28"/>
      <c r="AW29" s="28"/>
      <c r="AX29" s="28"/>
      <c r="AY29" s="28"/>
      <c r="AZ29" s="28"/>
      <c r="BA29" s="19"/>
      <c r="BC29" s="19"/>
      <c r="BD29" s="19"/>
      <c r="BE29" s="28"/>
      <c r="BF29" s="28"/>
      <c r="BG29" s="28"/>
      <c r="BH29" s="28"/>
      <c r="BI29" s="28"/>
      <c r="BJ29" s="19"/>
      <c r="BK29" s="19"/>
      <c r="BL29" s="19"/>
      <c r="BM29" s="19"/>
      <c r="BO29" s="19"/>
      <c r="BP29" s="19"/>
      <c r="BQ29" s="28"/>
      <c r="BR29" s="28"/>
      <c r="BS29" s="28"/>
      <c r="BT29" s="28"/>
      <c r="BU29" s="28"/>
      <c r="BV29" s="19"/>
      <c r="BX29" s="19"/>
      <c r="BY29" s="19"/>
      <c r="BZ29" s="28"/>
      <c r="CA29" s="28"/>
      <c r="CB29" s="28"/>
      <c r="CC29" s="28"/>
      <c r="CD29" s="28"/>
      <c r="CE29" s="28"/>
      <c r="CF29" s="28"/>
      <c r="CG29" s="19"/>
      <c r="CI29" s="19"/>
      <c r="CJ29" s="19"/>
      <c r="CK29" s="28"/>
      <c r="CL29" s="28"/>
      <c r="CM29" s="28"/>
      <c r="CN29" s="28"/>
      <c r="CO29" s="28"/>
      <c r="CP29" s="19"/>
      <c r="CR29" s="18"/>
      <c r="CS29" s="19"/>
      <c r="CT29" s="28"/>
      <c r="CU29" s="28"/>
      <c r="CV29" s="28"/>
      <c r="CW29" s="28"/>
      <c r="CX29" s="28"/>
      <c r="CY29" s="57"/>
    </row>
    <row r="30" spans="1:103" ht="15.6">
      <c r="A30" s="86" t="s">
        <v>400</v>
      </c>
      <c r="B30" s="33" t="s">
        <v>363</v>
      </c>
      <c r="C30" s="63" t="e">
        <f>C8/$H8</f>
        <v>#DIV/0!</v>
      </c>
      <c r="D30" s="63" t="e">
        <f t="shared" ref="D30:G30" si="162">D8/$H8</f>
        <v>#DIV/0!</v>
      </c>
      <c r="E30" s="63" t="e">
        <f t="shared" si="162"/>
        <v>#DIV/0!</v>
      </c>
      <c r="F30" s="63" t="e">
        <f t="shared" si="162"/>
        <v>#DIV/0!</v>
      </c>
      <c r="G30" s="63" t="e">
        <f t="shared" si="162"/>
        <v>#DIV/0!</v>
      </c>
      <c r="H30" s="68" t="e">
        <f>SUM(C30:G30)</f>
        <v>#DIV/0!</v>
      </c>
      <c r="J30" s="86" t="s">
        <v>400</v>
      </c>
      <c r="K30" s="33" t="s">
        <v>363</v>
      </c>
      <c r="L30" s="63" t="e">
        <f>L8/$Q8</f>
        <v>#DIV/0!</v>
      </c>
      <c r="M30" s="63" t="e">
        <f t="shared" ref="M30:P30" si="163">M8/$Q8</f>
        <v>#DIV/0!</v>
      </c>
      <c r="N30" s="63" t="e">
        <f t="shared" ref="N30:N36" si="164">N8/$Q8</f>
        <v>#DIV/0!</v>
      </c>
      <c r="O30" s="63" t="e">
        <f t="shared" si="163"/>
        <v>#DIV/0!</v>
      </c>
      <c r="P30" s="63" t="e">
        <f t="shared" si="163"/>
        <v>#DIV/0!</v>
      </c>
      <c r="Q30" s="39" t="e">
        <f>SUM(L30:P30)</f>
        <v>#DIV/0!</v>
      </c>
      <c r="S30" s="93" t="s">
        <v>400</v>
      </c>
      <c r="T30" s="33" t="s">
        <v>363</v>
      </c>
      <c r="U30" s="78" t="e">
        <f>U8/$Z8</f>
        <v>#DIV/0!</v>
      </c>
      <c r="V30" s="78" t="e">
        <f t="shared" ref="V30:Y30" si="165">V8/$Z8</f>
        <v>#DIV/0!</v>
      </c>
      <c r="W30" s="78" t="e">
        <f t="shared" si="165"/>
        <v>#DIV/0!</v>
      </c>
      <c r="X30" s="78" t="e">
        <f t="shared" si="165"/>
        <v>#DIV/0!</v>
      </c>
      <c r="Y30" s="78" t="e">
        <f t="shared" si="165"/>
        <v>#DIV/0!</v>
      </c>
      <c r="Z30" s="46" t="e">
        <f>SUM(U30:Y30)</f>
        <v>#DIV/0!</v>
      </c>
      <c r="AB30" s="93" t="s">
        <v>400</v>
      </c>
      <c r="AC30" s="33" t="s">
        <v>363</v>
      </c>
      <c r="AD30" s="78" t="e">
        <f>AD8/$AI8</f>
        <v>#DIV/0!</v>
      </c>
      <c r="AE30" s="78" t="e">
        <f t="shared" ref="AE30:AH30" si="166">AE8/$AI8</f>
        <v>#DIV/0!</v>
      </c>
      <c r="AF30" s="78" t="e">
        <f t="shared" si="166"/>
        <v>#DIV/0!</v>
      </c>
      <c r="AG30" s="78" t="e">
        <f t="shared" si="166"/>
        <v>#DIV/0!</v>
      </c>
      <c r="AH30" s="78" t="e">
        <f t="shared" si="166"/>
        <v>#DIV/0!</v>
      </c>
      <c r="AI30" s="46" t="e">
        <f>SUM(AD30:AH30)</f>
        <v>#DIV/0!</v>
      </c>
      <c r="AK30" s="93" t="s">
        <v>400</v>
      </c>
      <c r="AL30" s="33" t="s">
        <v>363</v>
      </c>
      <c r="AM30" s="78" t="e">
        <f>AM8/$AR8</f>
        <v>#DIV/0!</v>
      </c>
      <c r="AN30" s="78" t="e">
        <f t="shared" ref="AN30:AQ30" si="167">AN8/$AR8</f>
        <v>#DIV/0!</v>
      </c>
      <c r="AO30" s="78" t="e">
        <f t="shared" si="167"/>
        <v>#DIV/0!</v>
      </c>
      <c r="AP30" s="78" t="e">
        <f t="shared" si="167"/>
        <v>#DIV/0!</v>
      </c>
      <c r="AQ30" s="78" t="e">
        <f t="shared" si="167"/>
        <v>#DIV/0!</v>
      </c>
      <c r="AR30" s="46" t="e">
        <f>SUM(AM30:AQ30)</f>
        <v>#DIV/0!</v>
      </c>
      <c r="AT30" s="93" t="s">
        <v>400</v>
      </c>
      <c r="AU30" s="33" t="s">
        <v>363</v>
      </c>
      <c r="AV30" s="78" t="e">
        <f>AV8/$BA8</f>
        <v>#DIV/0!</v>
      </c>
      <c r="AW30" s="78" t="e">
        <f t="shared" ref="AW30:AZ30" si="168">AW8/$BA8</f>
        <v>#DIV/0!</v>
      </c>
      <c r="AX30" s="78" t="e">
        <f t="shared" si="168"/>
        <v>#DIV/0!</v>
      </c>
      <c r="AY30" s="78" t="e">
        <f t="shared" si="168"/>
        <v>#DIV/0!</v>
      </c>
      <c r="AZ30" s="78" t="e">
        <f t="shared" si="168"/>
        <v>#DIV/0!</v>
      </c>
      <c r="BA30" s="46" t="e">
        <f>SUM(AV30:AZ30)</f>
        <v>#DIV/0!</v>
      </c>
      <c r="BC30" s="93" t="s">
        <v>400</v>
      </c>
      <c r="BD30" s="33" t="s">
        <v>363</v>
      </c>
      <c r="BE30" s="61" t="e">
        <f>BE8/$BM8</f>
        <v>#DIV/0!</v>
      </c>
      <c r="BF30" s="61" t="e">
        <f t="shared" ref="BF30:BL30" si="169">BF8/$BM8</f>
        <v>#DIV/0!</v>
      </c>
      <c r="BG30" s="61" t="e">
        <f t="shared" si="169"/>
        <v>#DIV/0!</v>
      </c>
      <c r="BH30" s="61" t="e">
        <f t="shared" si="169"/>
        <v>#DIV/0!</v>
      </c>
      <c r="BI30" s="61" t="e">
        <f t="shared" si="169"/>
        <v>#DIV/0!</v>
      </c>
      <c r="BJ30" s="61" t="e">
        <f t="shared" si="169"/>
        <v>#DIV/0!</v>
      </c>
      <c r="BK30" s="61" t="e">
        <f t="shared" si="169"/>
        <v>#DIV/0!</v>
      </c>
      <c r="BL30" s="61" t="e">
        <f t="shared" si="169"/>
        <v>#DIV/0!</v>
      </c>
      <c r="BM30" s="36" t="e">
        <f>SUM(BE30:BL30)</f>
        <v>#DIV/0!</v>
      </c>
      <c r="BO30" s="93" t="s">
        <v>400</v>
      </c>
      <c r="BP30" s="33" t="s">
        <v>363</v>
      </c>
      <c r="BQ30" s="61" t="e">
        <f>BQ8/$BV8</f>
        <v>#DIV/0!</v>
      </c>
      <c r="BR30" s="61" t="e">
        <f t="shared" ref="BR30:BU30" si="170">BR8/$BV8</f>
        <v>#DIV/0!</v>
      </c>
      <c r="BS30" s="61" t="e">
        <f t="shared" si="170"/>
        <v>#DIV/0!</v>
      </c>
      <c r="BT30" s="61" t="e">
        <f t="shared" si="170"/>
        <v>#DIV/0!</v>
      </c>
      <c r="BU30" s="61" t="e">
        <f t="shared" si="170"/>
        <v>#DIV/0!</v>
      </c>
      <c r="BV30" s="46" t="e">
        <f>SUM(BQ30:BU30)</f>
        <v>#DIV/0!</v>
      </c>
      <c r="BX30" s="93" t="s">
        <v>400</v>
      </c>
      <c r="BY30" s="33" t="s">
        <v>363</v>
      </c>
      <c r="BZ30" s="61" t="e">
        <f>BZ8/$CG8</f>
        <v>#DIV/0!</v>
      </c>
      <c r="CA30" s="61" t="e">
        <f t="shared" ref="CA30:CF30" si="171">CA8/$CG8</f>
        <v>#DIV/0!</v>
      </c>
      <c r="CB30" s="61" t="e">
        <f t="shared" si="171"/>
        <v>#DIV/0!</v>
      </c>
      <c r="CC30" s="61" t="e">
        <f t="shared" si="171"/>
        <v>#DIV/0!</v>
      </c>
      <c r="CD30" s="61" t="e">
        <f t="shared" si="171"/>
        <v>#DIV/0!</v>
      </c>
      <c r="CE30" s="61" t="e">
        <f t="shared" si="171"/>
        <v>#DIV/0!</v>
      </c>
      <c r="CF30" s="61" t="e">
        <f t="shared" si="171"/>
        <v>#DIV/0!</v>
      </c>
      <c r="CG30" s="46" t="e">
        <f>SUM(BZ30:CF30)</f>
        <v>#DIV/0!</v>
      </c>
      <c r="CI30" s="93" t="s">
        <v>400</v>
      </c>
      <c r="CJ30" s="33" t="s">
        <v>363</v>
      </c>
      <c r="CK30" s="61" t="e">
        <f>CK8/$CP8</f>
        <v>#DIV/0!</v>
      </c>
      <c r="CL30" s="61" t="e">
        <f t="shared" ref="CL30:CO30" si="172">CL8/$CP8</f>
        <v>#DIV/0!</v>
      </c>
      <c r="CM30" s="61" t="e">
        <f t="shared" si="172"/>
        <v>#DIV/0!</v>
      </c>
      <c r="CN30" s="61" t="e">
        <f t="shared" si="172"/>
        <v>#DIV/0!</v>
      </c>
      <c r="CO30" s="61" t="e">
        <f t="shared" si="172"/>
        <v>#DIV/0!</v>
      </c>
      <c r="CP30" s="46" t="e">
        <f>SUM(CK30:CO30)</f>
        <v>#DIV/0!</v>
      </c>
      <c r="CR30" s="93" t="s">
        <v>400</v>
      </c>
      <c r="CS30" s="33" t="s">
        <v>363</v>
      </c>
      <c r="CT30" s="61" t="e">
        <f>CT8/$CY8</f>
        <v>#DIV/0!</v>
      </c>
      <c r="CU30" s="61" t="e">
        <f t="shared" ref="CU30:CX30" si="173">CU8/$CY8</f>
        <v>#DIV/0!</v>
      </c>
      <c r="CV30" s="61" t="e">
        <f t="shared" si="173"/>
        <v>#DIV/0!</v>
      </c>
      <c r="CW30" s="61" t="e">
        <f t="shared" si="173"/>
        <v>#DIV/0!</v>
      </c>
      <c r="CX30" s="61" t="e">
        <f t="shared" si="173"/>
        <v>#DIV/0!</v>
      </c>
      <c r="CY30" s="75" t="e">
        <f>SUM(CT30:CX30)</f>
        <v>#DIV/0!</v>
      </c>
    </row>
    <row r="31" spans="1:103" ht="15.6">
      <c r="A31" s="87"/>
      <c r="B31" s="16" t="s">
        <v>98</v>
      </c>
      <c r="C31" s="64">
        <f t="shared" ref="C31:G31" si="174">C9/$H9</f>
        <v>0.5</v>
      </c>
      <c r="D31" s="64">
        <f t="shared" si="174"/>
        <v>0.2857142857142857</v>
      </c>
      <c r="E31" s="64">
        <f t="shared" si="174"/>
        <v>0.14285714285714285</v>
      </c>
      <c r="F31" s="64">
        <f t="shared" si="174"/>
        <v>3.5714285714285712E-2</v>
      </c>
      <c r="G31" s="64">
        <f t="shared" si="174"/>
        <v>3.5714285714285712E-2</v>
      </c>
      <c r="H31" s="67">
        <f t="shared" ref="H31:H36" si="175">SUM(C31:G31)</f>
        <v>1</v>
      </c>
      <c r="J31" s="87"/>
      <c r="K31" s="16" t="s">
        <v>98</v>
      </c>
      <c r="L31" s="64">
        <f t="shared" ref="L31:P31" si="176">L9/$Q9</f>
        <v>7.1428571428571425E-2</v>
      </c>
      <c r="M31" s="64">
        <f t="shared" si="176"/>
        <v>7.1428571428571425E-2</v>
      </c>
      <c r="N31" s="64">
        <f t="shared" si="164"/>
        <v>0.35714285714285715</v>
      </c>
      <c r="O31" s="64">
        <f t="shared" si="176"/>
        <v>0.35714285714285715</v>
      </c>
      <c r="P31" s="64">
        <f t="shared" si="176"/>
        <v>0.14285714285714285</v>
      </c>
      <c r="Q31" s="37">
        <f t="shared" ref="Q31:Q36" si="177">SUM(L31:P31)</f>
        <v>1</v>
      </c>
      <c r="S31" s="94"/>
      <c r="T31" s="16" t="s">
        <v>98</v>
      </c>
      <c r="U31" s="79">
        <f t="shared" ref="U31:Y31" si="178">U9/$Z9</f>
        <v>0.21428571428571427</v>
      </c>
      <c r="V31" s="79">
        <f t="shared" si="178"/>
        <v>0.5</v>
      </c>
      <c r="W31" s="79">
        <f t="shared" si="178"/>
        <v>0</v>
      </c>
      <c r="X31" s="79">
        <f t="shared" si="178"/>
        <v>0.10714285714285714</v>
      </c>
      <c r="Y31" s="79">
        <f t="shared" si="178"/>
        <v>0.17857142857142858</v>
      </c>
      <c r="Z31" s="47">
        <f t="shared" ref="Z31:Z36" si="179">SUM(U31:Y31)</f>
        <v>1</v>
      </c>
      <c r="AB31" s="94"/>
      <c r="AC31" s="16" t="s">
        <v>98</v>
      </c>
      <c r="AD31" s="79">
        <f t="shared" ref="AD31:AH31" si="180">AD9/$AI9</f>
        <v>0.39285714285714285</v>
      </c>
      <c r="AE31" s="79">
        <f t="shared" si="180"/>
        <v>0.25</v>
      </c>
      <c r="AF31" s="79">
        <f t="shared" si="180"/>
        <v>0.21428571428571427</v>
      </c>
      <c r="AG31" s="79">
        <f t="shared" si="180"/>
        <v>3.5714285714285712E-2</v>
      </c>
      <c r="AH31" s="79">
        <f t="shared" si="180"/>
        <v>0.10714285714285714</v>
      </c>
      <c r="AI31" s="47">
        <f t="shared" ref="AI31:AI36" si="181">SUM(AD31:AH31)</f>
        <v>0.99999999999999989</v>
      </c>
      <c r="AK31" s="94"/>
      <c r="AL31" s="16" t="s">
        <v>98</v>
      </c>
      <c r="AM31" s="79">
        <f t="shared" ref="AM31:AQ31" si="182">AM9/$AR9</f>
        <v>0.8571428571428571</v>
      </c>
      <c r="AN31" s="79">
        <f t="shared" si="182"/>
        <v>0.10714285714285714</v>
      </c>
      <c r="AO31" s="79">
        <f t="shared" si="182"/>
        <v>0</v>
      </c>
      <c r="AP31" s="79">
        <f t="shared" si="182"/>
        <v>0</v>
      </c>
      <c r="AQ31" s="79">
        <f t="shared" si="182"/>
        <v>3.5714285714285712E-2</v>
      </c>
      <c r="AR31" s="47">
        <f t="shared" ref="AR31:AR36" si="183">SUM(AM31:AQ31)</f>
        <v>0.99999999999999989</v>
      </c>
      <c r="AT31" s="94"/>
      <c r="AU31" s="16" t="s">
        <v>98</v>
      </c>
      <c r="AV31" s="79">
        <f t="shared" ref="AV31:AZ31" si="184">AV9/$BA9</f>
        <v>7.1428571428571425E-2</v>
      </c>
      <c r="AW31" s="79">
        <f t="shared" si="184"/>
        <v>0.10714285714285714</v>
      </c>
      <c r="AX31" s="79">
        <f t="shared" si="184"/>
        <v>0.21428571428571427</v>
      </c>
      <c r="AY31" s="79">
        <f t="shared" si="184"/>
        <v>0.39285714285714285</v>
      </c>
      <c r="AZ31" s="79">
        <f t="shared" si="184"/>
        <v>0.21428571428571427</v>
      </c>
      <c r="BA31" s="47">
        <f t="shared" ref="BA31:BA36" si="185">SUM(AV31:AZ31)</f>
        <v>0.99999999999999989</v>
      </c>
      <c r="BC31" s="94"/>
      <c r="BD31" s="16" t="s">
        <v>98</v>
      </c>
      <c r="BE31" s="65">
        <f t="shared" ref="BE31:BL31" si="186">BE9/$BM9</f>
        <v>0.19178082191780821</v>
      </c>
      <c r="BF31" s="65">
        <f t="shared" si="186"/>
        <v>2.7397260273972601E-2</v>
      </c>
      <c r="BG31" s="65">
        <f t="shared" si="186"/>
        <v>0.16438356164383561</v>
      </c>
      <c r="BH31" s="65">
        <f t="shared" si="186"/>
        <v>0.1095890410958904</v>
      </c>
      <c r="BI31" s="65">
        <f t="shared" si="186"/>
        <v>0.15068493150684931</v>
      </c>
      <c r="BJ31" s="65">
        <f t="shared" si="186"/>
        <v>0.13698630136986301</v>
      </c>
      <c r="BK31" s="65">
        <f t="shared" si="186"/>
        <v>0.21917808219178081</v>
      </c>
      <c r="BL31" s="65">
        <f t="shared" si="186"/>
        <v>0</v>
      </c>
      <c r="BM31" s="37">
        <f t="shared" ref="BM31:BM36" si="187">SUM(BE31:BL31)</f>
        <v>0.99999999999999989</v>
      </c>
      <c r="BO31" s="94"/>
      <c r="BP31" s="16" t="s">
        <v>98</v>
      </c>
      <c r="BQ31" s="65">
        <f t="shared" ref="BQ31:BU31" si="188">BQ9/$BV9</f>
        <v>0.14285714285714285</v>
      </c>
      <c r="BR31" s="65">
        <f t="shared" si="188"/>
        <v>0.17857142857142858</v>
      </c>
      <c r="BS31" s="65">
        <f t="shared" si="188"/>
        <v>0.35714285714285715</v>
      </c>
      <c r="BT31" s="65">
        <f t="shared" si="188"/>
        <v>0.21428571428571427</v>
      </c>
      <c r="BU31" s="65">
        <f t="shared" si="188"/>
        <v>0.10714285714285714</v>
      </c>
      <c r="BV31" s="47">
        <f t="shared" ref="BV31:BV36" si="189">SUM(BQ31:BU31)</f>
        <v>1</v>
      </c>
      <c r="BX31" s="94"/>
      <c r="BY31" s="16" t="s">
        <v>98</v>
      </c>
      <c r="BZ31" s="65">
        <f t="shared" ref="BZ31:CF31" si="190">BZ9/$CG9</f>
        <v>0.25</v>
      </c>
      <c r="CA31" s="65">
        <f t="shared" si="190"/>
        <v>0.13235294117647059</v>
      </c>
      <c r="CB31" s="65">
        <f t="shared" si="190"/>
        <v>0.20588235294117646</v>
      </c>
      <c r="CC31" s="65">
        <f t="shared" si="190"/>
        <v>8.8235294117647065E-2</v>
      </c>
      <c r="CD31" s="65">
        <f t="shared" si="190"/>
        <v>0.25</v>
      </c>
      <c r="CE31" s="65">
        <f t="shared" si="190"/>
        <v>5.8823529411764705E-2</v>
      </c>
      <c r="CF31" s="65">
        <f t="shared" si="190"/>
        <v>1.4705882352941176E-2</v>
      </c>
      <c r="CG31" s="60">
        <f t="shared" ref="CG31:CG36" si="191">SUM(BZ31:CF31)</f>
        <v>0.99999999999999989</v>
      </c>
      <c r="CI31" s="94"/>
      <c r="CJ31" s="16" t="s">
        <v>98</v>
      </c>
      <c r="CK31" s="65">
        <f t="shared" ref="CK31:CO31" si="192">CK9/$CP9</f>
        <v>0</v>
      </c>
      <c r="CL31" s="65">
        <f t="shared" si="192"/>
        <v>0</v>
      </c>
      <c r="CM31" s="65">
        <f t="shared" si="192"/>
        <v>0.14285714285714285</v>
      </c>
      <c r="CN31" s="65">
        <f t="shared" si="192"/>
        <v>0.42857142857142855</v>
      </c>
      <c r="CO31" s="65">
        <f t="shared" si="192"/>
        <v>0.42857142857142855</v>
      </c>
      <c r="CP31" s="47">
        <f t="shared" ref="CP31:CP36" si="193">SUM(CK31:CO31)</f>
        <v>1</v>
      </c>
      <c r="CR31" s="94"/>
      <c r="CS31" s="16" t="s">
        <v>98</v>
      </c>
      <c r="CT31" s="65">
        <f t="shared" ref="CT31:CX31" si="194">CT9/$CY9</f>
        <v>3.5714285714285712E-2</v>
      </c>
      <c r="CU31" s="65">
        <f t="shared" si="194"/>
        <v>7.1428571428571425E-2</v>
      </c>
      <c r="CV31" s="65">
        <f t="shared" si="194"/>
        <v>0.39285714285714285</v>
      </c>
      <c r="CW31" s="65">
        <f t="shared" si="194"/>
        <v>0.21428571428571427</v>
      </c>
      <c r="CX31" s="65">
        <f t="shared" si="194"/>
        <v>0.2857142857142857</v>
      </c>
      <c r="CY31" s="76">
        <f t="shared" ref="CY31:CY36" si="195">SUM(CT31:CX31)</f>
        <v>1</v>
      </c>
    </row>
    <row r="32" spans="1:103" ht="15.6">
      <c r="A32" s="87"/>
      <c r="B32" s="29" t="s">
        <v>36</v>
      </c>
      <c r="C32" s="63">
        <f t="shared" ref="C32:G32" si="196">C10/$H10</f>
        <v>0.35714285714285715</v>
      </c>
      <c r="D32" s="63">
        <f t="shared" si="196"/>
        <v>0.21428571428571427</v>
      </c>
      <c r="E32" s="63">
        <f t="shared" si="196"/>
        <v>0.19047619047619047</v>
      </c>
      <c r="F32" s="63">
        <f t="shared" si="196"/>
        <v>0.21428571428571427</v>
      </c>
      <c r="G32" s="63">
        <f t="shared" si="196"/>
        <v>2.3809523809523808E-2</v>
      </c>
      <c r="H32" s="62">
        <f t="shared" si="175"/>
        <v>1</v>
      </c>
      <c r="J32" s="87"/>
      <c r="K32" s="29" t="s">
        <v>36</v>
      </c>
      <c r="L32" s="63">
        <f t="shared" ref="L32:P32" si="197">L10/$Q10</f>
        <v>9.5238095238095233E-2</v>
      </c>
      <c r="M32" s="63">
        <f t="shared" si="197"/>
        <v>7.1428571428571425E-2</v>
      </c>
      <c r="N32" s="63">
        <f t="shared" si="164"/>
        <v>0.26190476190476192</v>
      </c>
      <c r="O32" s="63">
        <f t="shared" si="197"/>
        <v>0.26190476190476192</v>
      </c>
      <c r="P32" s="63">
        <f t="shared" si="197"/>
        <v>0.30952380952380953</v>
      </c>
      <c r="Q32" s="36">
        <f t="shared" si="177"/>
        <v>1</v>
      </c>
      <c r="S32" s="94"/>
      <c r="T32" s="29" t="s">
        <v>36</v>
      </c>
      <c r="U32" s="78">
        <f t="shared" ref="U32:Y32" si="198">U10/$Z10</f>
        <v>0.14285714285714285</v>
      </c>
      <c r="V32" s="78">
        <f t="shared" si="198"/>
        <v>0.16666666666666666</v>
      </c>
      <c r="W32" s="78">
        <f t="shared" si="198"/>
        <v>0.21428571428571427</v>
      </c>
      <c r="X32" s="78">
        <f t="shared" si="198"/>
        <v>0.30952380952380953</v>
      </c>
      <c r="Y32" s="78">
        <f t="shared" si="198"/>
        <v>0.16666666666666666</v>
      </c>
      <c r="Z32" s="48">
        <f t="shared" si="179"/>
        <v>1</v>
      </c>
      <c r="AB32" s="94"/>
      <c r="AC32" s="29" t="s">
        <v>36</v>
      </c>
      <c r="AD32" s="78">
        <f t="shared" ref="AD32:AH32" si="199">AD10/$AI10</f>
        <v>0.30952380952380953</v>
      </c>
      <c r="AE32" s="78">
        <f t="shared" si="199"/>
        <v>0.2857142857142857</v>
      </c>
      <c r="AF32" s="78">
        <f t="shared" si="199"/>
        <v>0.19047619047619047</v>
      </c>
      <c r="AG32" s="78">
        <f t="shared" si="199"/>
        <v>7.1428571428571425E-2</v>
      </c>
      <c r="AH32" s="78">
        <f t="shared" si="199"/>
        <v>0.14285714285714285</v>
      </c>
      <c r="AI32" s="48">
        <f t="shared" si="181"/>
        <v>1</v>
      </c>
      <c r="AK32" s="94"/>
      <c r="AL32" s="29" t="s">
        <v>36</v>
      </c>
      <c r="AM32" s="78">
        <f t="shared" ref="AM32:AQ32" si="200">AM10/$AR10</f>
        <v>0.88095238095238093</v>
      </c>
      <c r="AN32" s="78">
        <f t="shared" si="200"/>
        <v>4.7619047619047616E-2</v>
      </c>
      <c r="AO32" s="78">
        <f t="shared" si="200"/>
        <v>4.7619047619047616E-2</v>
      </c>
      <c r="AP32" s="78">
        <f t="shared" si="200"/>
        <v>0</v>
      </c>
      <c r="AQ32" s="78">
        <f t="shared" si="200"/>
        <v>2.3809523809523808E-2</v>
      </c>
      <c r="AR32" s="48">
        <f t="shared" si="183"/>
        <v>1</v>
      </c>
      <c r="AT32" s="94"/>
      <c r="AU32" s="29" t="s">
        <v>36</v>
      </c>
      <c r="AV32" s="78">
        <f t="shared" ref="AV32:AZ32" si="201">AV10/$BA10</f>
        <v>7.1428571428571425E-2</v>
      </c>
      <c r="AW32" s="78">
        <f t="shared" si="201"/>
        <v>2.3809523809523808E-2</v>
      </c>
      <c r="AX32" s="78">
        <f t="shared" si="201"/>
        <v>0.14285714285714285</v>
      </c>
      <c r="AY32" s="78">
        <f t="shared" si="201"/>
        <v>0.2857142857142857</v>
      </c>
      <c r="AZ32" s="78">
        <f t="shared" si="201"/>
        <v>0.47619047619047616</v>
      </c>
      <c r="BA32" s="48">
        <f t="shared" si="185"/>
        <v>0.99999999999999989</v>
      </c>
      <c r="BC32" s="94"/>
      <c r="BD32" s="29" t="s">
        <v>36</v>
      </c>
      <c r="BE32" s="61">
        <f t="shared" ref="BE32:BL32" si="202">BE10/$BM10</f>
        <v>0.2</v>
      </c>
      <c r="BF32" s="61">
        <f t="shared" si="202"/>
        <v>4.7619047619047616E-2</v>
      </c>
      <c r="BG32" s="61">
        <f t="shared" si="202"/>
        <v>5.7142857142857141E-2</v>
      </c>
      <c r="BH32" s="61">
        <f t="shared" si="202"/>
        <v>9.5238095238095233E-2</v>
      </c>
      <c r="BI32" s="61">
        <f t="shared" si="202"/>
        <v>0.16190476190476191</v>
      </c>
      <c r="BJ32" s="61">
        <f t="shared" si="202"/>
        <v>0.16190476190476191</v>
      </c>
      <c r="BK32" s="61">
        <f t="shared" si="202"/>
        <v>0.26666666666666666</v>
      </c>
      <c r="BL32" s="61">
        <f t="shared" si="202"/>
        <v>9.5238095238095247E-3</v>
      </c>
      <c r="BM32" s="36">
        <f t="shared" si="187"/>
        <v>1</v>
      </c>
      <c r="BO32" s="94"/>
      <c r="BP32" s="29" t="s">
        <v>36</v>
      </c>
      <c r="BQ32" s="61">
        <f t="shared" ref="BQ32:BU32" si="203">BQ10/$BV10</f>
        <v>0.14285714285714285</v>
      </c>
      <c r="BR32" s="61">
        <f t="shared" si="203"/>
        <v>0.21428571428571427</v>
      </c>
      <c r="BS32" s="61">
        <f t="shared" si="203"/>
        <v>0.26190476190476192</v>
      </c>
      <c r="BT32" s="61">
        <f t="shared" si="203"/>
        <v>0.2857142857142857</v>
      </c>
      <c r="BU32" s="61">
        <f t="shared" si="203"/>
        <v>9.5238095238095233E-2</v>
      </c>
      <c r="BV32" s="48">
        <f t="shared" si="189"/>
        <v>1</v>
      </c>
      <c r="BX32" s="94"/>
      <c r="BY32" s="29" t="s">
        <v>36</v>
      </c>
      <c r="BZ32" s="61">
        <f t="shared" ref="BZ32:CF32" si="204">BZ10/$CG10</f>
        <v>0.11538461538461539</v>
      </c>
      <c r="CA32" s="61">
        <f t="shared" si="204"/>
        <v>0.14423076923076922</v>
      </c>
      <c r="CB32" s="61">
        <f t="shared" si="204"/>
        <v>0.20192307692307693</v>
      </c>
      <c r="CC32" s="61">
        <f t="shared" si="204"/>
        <v>0.14423076923076922</v>
      </c>
      <c r="CD32" s="61">
        <f t="shared" si="204"/>
        <v>0.21153846153846154</v>
      </c>
      <c r="CE32" s="61">
        <f t="shared" si="204"/>
        <v>0.18269230769230768</v>
      </c>
      <c r="CF32" s="61">
        <f t="shared" si="204"/>
        <v>0</v>
      </c>
      <c r="CG32" s="46">
        <f t="shared" si="191"/>
        <v>1</v>
      </c>
      <c r="CI32" s="94"/>
      <c r="CJ32" s="29" t="s">
        <v>36</v>
      </c>
      <c r="CK32" s="61">
        <f t="shared" ref="CK32:CO32" si="205">CK10/$CP10</f>
        <v>4.7619047619047616E-2</v>
      </c>
      <c r="CL32" s="61">
        <f t="shared" si="205"/>
        <v>0</v>
      </c>
      <c r="CM32" s="61">
        <f t="shared" si="205"/>
        <v>0.16666666666666666</v>
      </c>
      <c r="CN32" s="61">
        <f t="shared" si="205"/>
        <v>0.30952380952380953</v>
      </c>
      <c r="CO32" s="61">
        <f t="shared" si="205"/>
        <v>0.47619047619047616</v>
      </c>
      <c r="CP32" s="48">
        <f t="shared" si="193"/>
        <v>1</v>
      </c>
      <c r="CR32" s="94"/>
      <c r="CS32" s="29" t="s">
        <v>36</v>
      </c>
      <c r="CT32" s="61">
        <f t="shared" ref="CT32:CX32" si="206">CT10/$CY10</f>
        <v>4.7619047619047616E-2</v>
      </c>
      <c r="CU32" s="61">
        <f t="shared" si="206"/>
        <v>4.7619047619047616E-2</v>
      </c>
      <c r="CV32" s="61">
        <f t="shared" si="206"/>
        <v>0.2857142857142857</v>
      </c>
      <c r="CW32" s="61">
        <f t="shared" si="206"/>
        <v>0.30952380952380953</v>
      </c>
      <c r="CX32" s="61">
        <f t="shared" si="206"/>
        <v>0.30952380952380953</v>
      </c>
      <c r="CY32" s="75">
        <f t="shared" si="195"/>
        <v>1</v>
      </c>
    </row>
    <row r="33" spans="1:103" ht="15.6">
      <c r="A33" s="87"/>
      <c r="B33" s="16" t="s">
        <v>63</v>
      </c>
      <c r="C33" s="64">
        <f t="shared" ref="C33:G33" si="207">C11/$H11</f>
        <v>0.31818181818181818</v>
      </c>
      <c r="D33" s="64">
        <f t="shared" si="207"/>
        <v>0.27272727272727271</v>
      </c>
      <c r="E33" s="64">
        <f t="shared" si="207"/>
        <v>0.13636363636363635</v>
      </c>
      <c r="F33" s="64">
        <f t="shared" si="207"/>
        <v>0.22727272727272727</v>
      </c>
      <c r="G33" s="64">
        <f t="shared" si="207"/>
        <v>4.5454545454545456E-2</v>
      </c>
      <c r="H33" s="67">
        <f t="shared" si="175"/>
        <v>0.99999999999999989</v>
      </c>
      <c r="J33" s="87"/>
      <c r="K33" s="16" t="s">
        <v>63</v>
      </c>
      <c r="L33" s="64">
        <f t="shared" ref="L33:P33" si="208">L11/$Q11</f>
        <v>0.13636363636363635</v>
      </c>
      <c r="M33" s="64">
        <f t="shared" si="208"/>
        <v>4.5454545454545456E-2</v>
      </c>
      <c r="N33" s="64">
        <f t="shared" si="164"/>
        <v>0.18181818181818182</v>
      </c>
      <c r="O33" s="64">
        <f t="shared" si="208"/>
        <v>0.36363636363636365</v>
      </c>
      <c r="P33" s="64">
        <f t="shared" si="208"/>
        <v>0.27272727272727271</v>
      </c>
      <c r="Q33" s="37">
        <f t="shared" si="177"/>
        <v>1</v>
      </c>
      <c r="S33" s="94"/>
      <c r="T33" s="16" t="s">
        <v>63</v>
      </c>
      <c r="U33" s="79">
        <f t="shared" ref="U33:Y33" si="209">U11/$Z11</f>
        <v>9.0909090909090912E-2</v>
      </c>
      <c r="V33" s="79">
        <f t="shared" si="209"/>
        <v>0.13636363636363635</v>
      </c>
      <c r="W33" s="79">
        <f t="shared" si="209"/>
        <v>0.22727272727272727</v>
      </c>
      <c r="X33" s="79">
        <f t="shared" si="209"/>
        <v>0.18181818181818182</v>
      </c>
      <c r="Y33" s="79">
        <f t="shared" si="209"/>
        <v>0.36363636363636365</v>
      </c>
      <c r="Z33" s="47">
        <f t="shared" si="179"/>
        <v>1</v>
      </c>
      <c r="AB33" s="94"/>
      <c r="AC33" s="16" t="s">
        <v>63</v>
      </c>
      <c r="AD33" s="79">
        <f t="shared" ref="AD33:AH33" si="210">AD11/$AI11</f>
        <v>0.36363636363636365</v>
      </c>
      <c r="AE33" s="79">
        <f t="shared" si="210"/>
        <v>0.18181818181818182</v>
      </c>
      <c r="AF33" s="79">
        <f t="shared" si="210"/>
        <v>0.13636363636363635</v>
      </c>
      <c r="AG33" s="79">
        <f t="shared" si="210"/>
        <v>4.5454545454545456E-2</v>
      </c>
      <c r="AH33" s="79">
        <f t="shared" si="210"/>
        <v>0.27272727272727271</v>
      </c>
      <c r="AI33" s="47">
        <f t="shared" si="181"/>
        <v>0.99999999999999989</v>
      </c>
      <c r="AK33" s="94"/>
      <c r="AL33" s="16" t="s">
        <v>63</v>
      </c>
      <c r="AM33" s="79">
        <f t="shared" ref="AM33:AQ33" si="211">AM11/$AR11</f>
        <v>0.72727272727272729</v>
      </c>
      <c r="AN33" s="79">
        <f t="shared" si="211"/>
        <v>9.0909090909090912E-2</v>
      </c>
      <c r="AO33" s="79">
        <f t="shared" si="211"/>
        <v>9.0909090909090912E-2</v>
      </c>
      <c r="AP33" s="79">
        <f t="shared" si="211"/>
        <v>4.5454545454545456E-2</v>
      </c>
      <c r="AQ33" s="79">
        <f t="shared" si="211"/>
        <v>4.5454545454545456E-2</v>
      </c>
      <c r="AR33" s="47">
        <f t="shared" si="183"/>
        <v>1</v>
      </c>
      <c r="AT33" s="94"/>
      <c r="AU33" s="16" t="s">
        <v>63</v>
      </c>
      <c r="AV33" s="79">
        <f t="shared" ref="AV33:AZ33" si="212">AV11/$BA11</f>
        <v>9.0909090909090912E-2</v>
      </c>
      <c r="AW33" s="79">
        <f t="shared" si="212"/>
        <v>9.0909090909090912E-2</v>
      </c>
      <c r="AX33" s="79">
        <f t="shared" si="212"/>
        <v>0</v>
      </c>
      <c r="AY33" s="79">
        <f t="shared" si="212"/>
        <v>0.27272727272727271</v>
      </c>
      <c r="AZ33" s="79">
        <f t="shared" si="212"/>
        <v>0.54545454545454541</v>
      </c>
      <c r="BA33" s="47">
        <f t="shared" si="185"/>
        <v>1</v>
      </c>
      <c r="BC33" s="94"/>
      <c r="BD33" s="16" t="s">
        <v>63</v>
      </c>
      <c r="BE33" s="65">
        <f t="shared" ref="BE33:BL33" si="213">BE11/$BM11</f>
        <v>0.27450980392156865</v>
      </c>
      <c r="BF33" s="65">
        <f t="shared" si="213"/>
        <v>3.9215686274509803E-2</v>
      </c>
      <c r="BG33" s="65">
        <f t="shared" si="213"/>
        <v>7.8431372549019607E-2</v>
      </c>
      <c r="BH33" s="65">
        <f t="shared" si="213"/>
        <v>3.9215686274509803E-2</v>
      </c>
      <c r="BI33" s="65">
        <f t="shared" si="213"/>
        <v>0.11764705882352941</v>
      </c>
      <c r="BJ33" s="65">
        <f t="shared" si="213"/>
        <v>0.19607843137254902</v>
      </c>
      <c r="BK33" s="65">
        <f t="shared" si="213"/>
        <v>0.23529411764705882</v>
      </c>
      <c r="BL33" s="65">
        <f t="shared" si="213"/>
        <v>1.9607843137254902E-2</v>
      </c>
      <c r="BM33" s="37">
        <f t="shared" si="187"/>
        <v>1</v>
      </c>
      <c r="BO33" s="94"/>
      <c r="BP33" s="16" t="s">
        <v>63</v>
      </c>
      <c r="BQ33" s="65">
        <f t="shared" ref="BQ33:BU33" si="214">BQ11/$BV11</f>
        <v>0.13636363636363635</v>
      </c>
      <c r="BR33" s="65">
        <f t="shared" si="214"/>
        <v>4.5454545454545456E-2</v>
      </c>
      <c r="BS33" s="65">
        <f t="shared" si="214"/>
        <v>0.36363636363636365</v>
      </c>
      <c r="BT33" s="65">
        <f t="shared" si="214"/>
        <v>0.36363636363636365</v>
      </c>
      <c r="BU33" s="65">
        <f t="shared" si="214"/>
        <v>9.0909090909090912E-2</v>
      </c>
      <c r="BV33" s="47">
        <f t="shared" si="189"/>
        <v>1</v>
      </c>
      <c r="BX33" s="94"/>
      <c r="BY33" s="16" t="s">
        <v>63</v>
      </c>
      <c r="BZ33" s="65">
        <f t="shared" ref="BZ33:CF33" si="215">BZ11/$CG11</f>
        <v>9.2592592592592587E-2</v>
      </c>
      <c r="CA33" s="65">
        <f t="shared" si="215"/>
        <v>0.14814814814814814</v>
      </c>
      <c r="CB33" s="65">
        <f t="shared" si="215"/>
        <v>0.14814814814814814</v>
      </c>
      <c r="CC33" s="65">
        <f t="shared" si="215"/>
        <v>0.20370370370370369</v>
      </c>
      <c r="CD33" s="65">
        <f t="shared" si="215"/>
        <v>0.18518518518518517</v>
      </c>
      <c r="CE33" s="65">
        <f t="shared" si="215"/>
        <v>0.20370370370370369</v>
      </c>
      <c r="CF33" s="65">
        <f t="shared" si="215"/>
        <v>1.8518518518518517E-2</v>
      </c>
      <c r="CG33" s="60">
        <f t="shared" si="191"/>
        <v>0.99999999999999989</v>
      </c>
      <c r="CI33" s="94"/>
      <c r="CJ33" s="16" t="s">
        <v>63</v>
      </c>
      <c r="CK33" s="65">
        <f t="shared" ref="CK33:CO33" si="216">CK11/$CP11</f>
        <v>0</v>
      </c>
      <c r="CL33" s="65">
        <f t="shared" si="216"/>
        <v>0</v>
      </c>
      <c r="CM33" s="65">
        <f t="shared" si="216"/>
        <v>9.0909090909090912E-2</v>
      </c>
      <c r="CN33" s="65">
        <f t="shared" si="216"/>
        <v>0.18181818181818182</v>
      </c>
      <c r="CO33" s="65">
        <f t="shared" si="216"/>
        <v>0.72727272727272729</v>
      </c>
      <c r="CP33" s="47">
        <f t="shared" si="193"/>
        <v>1</v>
      </c>
      <c r="CR33" s="94"/>
      <c r="CS33" s="16" t="s">
        <v>63</v>
      </c>
      <c r="CT33" s="65">
        <f t="shared" ref="CT33:CX33" si="217">CT11/$CY11</f>
        <v>4.5454545454545456E-2</v>
      </c>
      <c r="CU33" s="65">
        <f t="shared" si="217"/>
        <v>4.5454545454545456E-2</v>
      </c>
      <c r="CV33" s="65">
        <f t="shared" si="217"/>
        <v>0.13636363636363635</v>
      </c>
      <c r="CW33" s="65">
        <f t="shared" si="217"/>
        <v>0.18181818181818182</v>
      </c>
      <c r="CX33" s="65">
        <f t="shared" si="217"/>
        <v>0.59090909090909094</v>
      </c>
      <c r="CY33" s="76">
        <f t="shared" si="195"/>
        <v>1</v>
      </c>
    </row>
    <row r="34" spans="1:103" ht="15.6">
      <c r="A34" s="87"/>
      <c r="B34" s="29" t="s">
        <v>169</v>
      </c>
      <c r="C34" s="63">
        <f t="shared" ref="C34:G34" si="218">C12/$H12</f>
        <v>0.625</v>
      </c>
      <c r="D34" s="63">
        <f t="shared" si="218"/>
        <v>0.125</v>
      </c>
      <c r="E34" s="63">
        <f t="shared" si="218"/>
        <v>0.125</v>
      </c>
      <c r="F34" s="63">
        <f t="shared" si="218"/>
        <v>0.125</v>
      </c>
      <c r="G34" s="63">
        <f t="shared" si="218"/>
        <v>0</v>
      </c>
      <c r="H34" s="62">
        <f t="shared" si="175"/>
        <v>1</v>
      </c>
      <c r="J34" s="87"/>
      <c r="K34" s="29" t="s">
        <v>169</v>
      </c>
      <c r="L34" s="63">
        <f t="shared" ref="L34:P34" si="219">L12/$Q12</f>
        <v>0.25</v>
      </c>
      <c r="M34" s="63">
        <f t="shared" si="219"/>
        <v>0</v>
      </c>
      <c r="N34" s="63">
        <f t="shared" si="164"/>
        <v>0.125</v>
      </c>
      <c r="O34" s="63">
        <f t="shared" si="219"/>
        <v>0.25</v>
      </c>
      <c r="P34" s="63">
        <f t="shared" si="219"/>
        <v>0.375</v>
      </c>
      <c r="Q34" s="36">
        <f t="shared" si="177"/>
        <v>1</v>
      </c>
      <c r="S34" s="94"/>
      <c r="T34" s="29" t="s">
        <v>169</v>
      </c>
      <c r="U34" s="78">
        <f t="shared" ref="U34:Y34" si="220">U12/$Z12</f>
        <v>0</v>
      </c>
      <c r="V34" s="78">
        <f t="shared" si="220"/>
        <v>0.25</v>
      </c>
      <c r="W34" s="78">
        <f t="shared" si="220"/>
        <v>0.25</v>
      </c>
      <c r="X34" s="78">
        <f t="shared" si="220"/>
        <v>0.125</v>
      </c>
      <c r="Y34" s="78">
        <f t="shared" si="220"/>
        <v>0.375</v>
      </c>
      <c r="Z34" s="48">
        <f t="shared" si="179"/>
        <v>1</v>
      </c>
      <c r="AB34" s="94"/>
      <c r="AC34" s="29" t="s">
        <v>169</v>
      </c>
      <c r="AD34" s="78">
        <f t="shared" ref="AD34:AH34" si="221">AD12/$AI12</f>
        <v>0.25</v>
      </c>
      <c r="AE34" s="78">
        <f t="shared" si="221"/>
        <v>0</v>
      </c>
      <c r="AF34" s="78">
        <f t="shared" si="221"/>
        <v>0.125</v>
      </c>
      <c r="AG34" s="78">
        <f t="shared" si="221"/>
        <v>0.125</v>
      </c>
      <c r="AH34" s="78">
        <f t="shared" si="221"/>
        <v>0.5</v>
      </c>
      <c r="AI34" s="48">
        <f t="shared" si="181"/>
        <v>1</v>
      </c>
      <c r="AK34" s="94"/>
      <c r="AL34" s="29" t="s">
        <v>169</v>
      </c>
      <c r="AM34" s="78">
        <f t="shared" ref="AM34:AQ34" si="222">AM12/$AR12</f>
        <v>0.75</v>
      </c>
      <c r="AN34" s="78">
        <f t="shared" si="222"/>
        <v>0.125</v>
      </c>
      <c r="AO34" s="78">
        <f t="shared" si="222"/>
        <v>0</v>
      </c>
      <c r="AP34" s="78">
        <f t="shared" si="222"/>
        <v>0</v>
      </c>
      <c r="AQ34" s="78">
        <f t="shared" si="222"/>
        <v>0.125</v>
      </c>
      <c r="AR34" s="48">
        <f t="shared" si="183"/>
        <v>1</v>
      </c>
      <c r="AT34" s="94"/>
      <c r="AU34" s="29" t="s">
        <v>169</v>
      </c>
      <c r="AV34" s="78">
        <f t="shared" ref="AV34:AZ34" si="223">AV12/$BA12</f>
        <v>0</v>
      </c>
      <c r="AW34" s="78">
        <f t="shared" si="223"/>
        <v>0</v>
      </c>
      <c r="AX34" s="78">
        <f t="shared" si="223"/>
        <v>0.25</v>
      </c>
      <c r="AY34" s="78">
        <f t="shared" si="223"/>
        <v>0.25</v>
      </c>
      <c r="AZ34" s="78">
        <f t="shared" si="223"/>
        <v>0.5</v>
      </c>
      <c r="BA34" s="48">
        <f t="shared" si="185"/>
        <v>1</v>
      </c>
      <c r="BC34" s="94"/>
      <c r="BD34" s="29" t="s">
        <v>169</v>
      </c>
      <c r="BE34" s="61">
        <f t="shared" ref="BE34:BL34" si="224">BE12/$BM12</f>
        <v>0.23529411764705882</v>
      </c>
      <c r="BF34" s="61">
        <f t="shared" si="224"/>
        <v>0</v>
      </c>
      <c r="BG34" s="61">
        <f t="shared" si="224"/>
        <v>0.11764705882352941</v>
      </c>
      <c r="BH34" s="61">
        <f t="shared" si="224"/>
        <v>5.8823529411764705E-2</v>
      </c>
      <c r="BI34" s="61">
        <f t="shared" si="224"/>
        <v>0.11764705882352941</v>
      </c>
      <c r="BJ34" s="61">
        <f t="shared" si="224"/>
        <v>0.11764705882352941</v>
      </c>
      <c r="BK34" s="61">
        <f t="shared" si="224"/>
        <v>0.35294117647058826</v>
      </c>
      <c r="BL34" s="61">
        <f t="shared" si="224"/>
        <v>0</v>
      </c>
      <c r="BM34" s="36">
        <f t="shared" si="187"/>
        <v>1</v>
      </c>
      <c r="BO34" s="94"/>
      <c r="BP34" s="29" t="s">
        <v>169</v>
      </c>
      <c r="BQ34" s="61">
        <f t="shared" ref="BQ34:BU34" si="225">BQ12/$BV12</f>
        <v>0.125</v>
      </c>
      <c r="BR34" s="61">
        <f t="shared" si="225"/>
        <v>0.125</v>
      </c>
      <c r="BS34" s="61">
        <f t="shared" si="225"/>
        <v>0.125</v>
      </c>
      <c r="BT34" s="61">
        <f t="shared" si="225"/>
        <v>0.125</v>
      </c>
      <c r="BU34" s="61">
        <f t="shared" si="225"/>
        <v>0.5</v>
      </c>
      <c r="BV34" s="48">
        <f t="shared" si="189"/>
        <v>1</v>
      </c>
      <c r="BX34" s="94"/>
      <c r="BY34" s="29" t="s">
        <v>169</v>
      </c>
      <c r="BZ34" s="61">
        <f t="shared" ref="BZ34:CF34" si="226">BZ12/$CG12</f>
        <v>0.05</v>
      </c>
      <c r="CA34" s="61">
        <f t="shared" si="226"/>
        <v>0.05</v>
      </c>
      <c r="CB34" s="61">
        <f t="shared" si="226"/>
        <v>0.2</v>
      </c>
      <c r="CC34" s="61">
        <f t="shared" si="226"/>
        <v>0.1</v>
      </c>
      <c r="CD34" s="61">
        <f t="shared" si="226"/>
        <v>0.25</v>
      </c>
      <c r="CE34" s="61">
        <f t="shared" si="226"/>
        <v>0.3</v>
      </c>
      <c r="CF34" s="61">
        <f t="shared" si="226"/>
        <v>0.05</v>
      </c>
      <c r="CG34" s="46">
        <f t="shared" si="191"/>
        <v>1</v>
      </c>
      <c r="CI34" s="94"/>
      <c r="CJ34" s="29" t="s">
        <v>169</v>
      </c>
      <c r="CK34" s="61">
        <f t="shared" ref="CK34:CO34" si="227">CK12/$CP12</f>
        <v>0.125</v>
      </c>
      <c r="CL34" s="61">
        <f t="shared" si="227"/>
        <v>0</v>
      </c>
      <c r="CM34" s="61">
        <f t="shared" si="227"/>
        <v>0</v>
      </c>
      <c r="CN34" s="61">
        <f t="shared" si="227"/>
        <v>0.375</v>
      </c>
      <c r="CO34" s="61">
        <f t="shared" si="227"/>
        <v>0.5</v>
      </c>
      <c r="CP34" s="48">
        <f t="shared" si="193"/>
        <v>1</v>
      </c>
      <c r="CR34" s="94"/>
      <c r="CS34" s="29" t="s">
        <v>169</v>
      </c>
      <c r="CT34" s="61">
        <f t="shared" ref="CT34:CX34" si="228">CT12/$CY12</f>
        <v>0</v>
      </c>
      <c r="CU34" s="61">
        <f t="shared" si="228"/>
        <v>0</v>
      </c>
      <c r="CV34" s="61">
        <f t="shared" si="228"/>
        <v>0.125</v>
      </c>
      <c r="CW34" s="61">
        <f t="shared" si="228"/>
        <v>0.25</v>
      </c>
      <c r="CX34" s="61">
        <f t="shared" si="228"/>
        <v>0.625</v>
      </c>
      <c r="CY34" s="75">
        <f t="shared" si="195"/>
        <v>1</v>
      </c>
    </row>
    <row r="35" spans="1:103" ht="15.6">
      <c r="A35" s="87"/>
      <c r="B35" s="16" t="s">
        <v>364</v>
      </c>
      <c r="C35" s="64" t="e">
        <f t="shared" ref="C35:G36" si="229">C13/$H13</f>
        <v>#DIV/0!</v>
      </c>
      <c r="D35" s="64" t="e">
        <f t="shared" si="229"/>
        <v>#DIV/0!</v>
      </c>
      <c r="E35" s="64" t="e">
        <f t="shared" si="229"/>
        <v>#DIV/0!</v>
      </c>
      <c r="F35" s="64" t="e">
        <f t="shared" si="229"/>
        <v>#DIV/0!</v>
      </c>
      <c r="G35" s="64" t="e">
        <f t="shared" si="229"/>
        <v>#DIV/0!</v>
      </c>
      <c r="H35" s="67" t="e">
        <f t="shared" si="175"/>
        <v>#DIV/0!</v>
      </c>
      <c r="J35" s="87"/>
      <c r="K35" s="16" t="s">
        <v>364</v>
      </c>
      <c r="L35" s="64" t="e">
        <f t="shared" ref="L35:P35" si="230">L13/$Q13</f>
        <v>#DIV/0!</v>
      </c>
      <c r="M35" s="64" t="e">
        <f t="shared" si="230"/>
        <v>#DIV/0!</v>
      </c>
      <c r="N35" s="64" t="e">
        <f t="shared" si="164"/>
        <v>#DIV/0!</v>
      </c>
      <c r="O35" s="64" t="e">
        <f t="shared" si="230"/>
        <v>#DIV/0!</v>
      </c>
      <c r="P35" s="64" t="e">
        <f t="shared" si="230"/>
        <v>#DIV/0!</v>
      </c>
      <c r="Q35" s="37" t="e">
        <f t="shared" si="177"/>
        <v>#DIV/0!</v>
      </c>
      <c r="S35" s="94"/>
      <c r="T35" s="16" t="s">
        <v>364</v>
      </c>
      <c r="U35" s="79" t="e">
        <f t="shared" ref="U35:Y35" si="231">U13/$Z13</f>
        <v>#DIV/0!</v>
      </c>
      <c r="V35" s="79" t="e">
        <f t="shared" si="231"/>
        <v>#DIV/0!</v>
      </c>
      <c r="W35" s="79" t="e">
        <f t="shared" si="231"/>
        <v>#DIV/0!</v>
      </c>
      <c r="X35" s="79" t="e">
        <f t="shared" si="231"/>
        <v>#DIV/0!</v>
      </c>
      <c r="Y35" s="79" t="e">
        <f t="shared" si="231"/>
        <v>#DIV/0!</v>
      </c>
      <c r="Z35" s="47" t="e">
        <f t="shared" si="179"/>
        <v>#DIV/0!</v>
      </c>
      <c r="AB35" s="94"/>
      <c r="AC35" s="16" t="s">
        <v>364</v>
      </c>
      <c r="AD35" s="79" t="e">
        <f t="shared" ref="AD35:AH35" si="232">AD13/$AI13</f>
        <v>#DIV/0!</v>
      </c>
      <c r="AE35" s="79" t="e">
        <f t="shared" si="232"/>
        <v>#DIV/0!</v>
      </c>
      <c r="AF35" s="79" t="e">
        <f t="shared" si="232"/>
        <v>#DIV/0!</v>
      </c>
      <c r="AG35" s="79" t="e">
        <f t="shared" si="232"/>
        <v>#DIV/0!</v>
      </c>
      <c r="AH35" s="79" t="e">
        <f t="shared" si="232"/>
        <v>#DIV/0!</v>
      </c>
      <c r="AI35" s="47" t="e">
        <f t="shared" si="181"/>
        <v>#DIV/0!</v>
      </c>
      <c r="AK35" s="94"/>
      <c r="AL35" s="16" t="s">
        <v>364</v>
      </c>
      <c r="AM35" s="79" t="e">
        <f t="shared" ref="AM35:AQ35" si="233">AM13/$AR13</f>
        <v>#DIV/0!</v>
      </c>
      <c r="AN35" s="79" t="e">
        <f t="shared" si="233"/>
        <v>#DIV/0!</v>
      </c>
      <c r="AO35" s="79" t="e">
        <f t="shared" si="233"/>
        <v>#DIV/0!</v>
      </c>
      <c r="AP35" s="79" t="e">
        <f t="shared" si="233"/>
        <v>#DIV/0!</v>
      </c>
      <c r="AQ35" s="79" t="e">
        <f t="shared" si="233"/>
        <v>#DIV/0!</v>
      </c>
      <c r="AR35" s="47" t="e">
        <f t="shared" si="183"/>
        <v>#DIV/0!</v>
      </c>
      <c r="AT35" s="94"/>
      <c r="AU35" s="16" t="s">
        <v>364</v>
      </c>
      <c r="AV35" s="79" t="e">
        <f t="shared" ref="AV35:AZ35" si="234">AV13/$BA13</f>
        <v>#DIV/0!</v>
      </c>
      <c r="AW35" s="79" t="e">
        <f t="shared" si="234"/>
        <v>#DIV/0!</v>
      </c>
      <c r="AX35" s="79" t="e">
        <f t="shared" si="234"/>
        <v>#DIV/0!</v>
      </c>
      <c r="AY35" s="79" t="e">
        <f t="shared" si="234"/>
        <v>#DIV/0!</v>
      </c>
      <c r="AZ35" s="79" t="e">
        <f t="shared" si="234"/>
        <v>#DIV/0!</v>
      </c>
      <c r="BA35" s="47" t="e">
        <f t="shared" si="185"/>
        <v>#DIV/0!</v>
      </c>
      <c r="BC35" s="94"/>
      <c r="BD35" s="16" t="s">
        <v>364</v>
      </c>
      <c r="BE35" s="65" t="e">
        <f t="shared" ref="BE35:BL35" si="235">BE13/$BM13</f>
        <v>#DIV/0!</v>
      </c>
      <c r="BF35" s="65" t="e">
        <f t="shared" si="235"/>
        <v>#DIV/0!</v>
      </c>
      <c r="BG35" s="65" t="e">
        <f t="shared" si="235"/>
        <v>#DIV/0!</v>
      </c>
      <c r="BH35" s="65" t="e">
        <f t="shared" si="235"/>
        <v>#DIV/0!</v>
      </c>
      <c r="BI35" s="65" t="e">
        <f t="shared" si="235"/>
        <v>#DIV/0!</v>
      </c>
      <c r="BJ35" s="65" t="e">
        <f t="shared" si="235"/>
        <v>#DIV/0!</v>
      </c>
      <c r="BK35" s="65" t="e">
        <f t="shared" si="235"/>
        <v>#DIV/0!</v>
      </c>
      <c r="BL35" s="65" t="e">
        <f t="shared" si="235"/>
        <v>#DIV/0!</v>
      </c>
      <c r="BM35" s="37" t="e">
        <f t="shared" si="187"/>
        <v>#DIV/0!</v>
      </c>
      <c r="BO35" s="94"/>
      <c r="BP35" s="16" t="s">
        <v>364</v>
      </c>
      <c r="BQ35" s="65" t="e">
        <f t="shared" ref="BQ35:BU35" si="236">BQ13/$BV13</f>
        <v>#DIV/0!</v>
      </c>
      <c r="BR35" s="65" t="e">
        <f t="shared" si="236"/>
        <v>#DIV/0!</v>
      </c>
      <c r="BS35" s="65" t="e">
        <f t="shared" si="236"/>
        <v>#DIV/0!</v>
      </c>
      <c r="BT35" s="65" t="e">
        <f t="shared" si="236"/>
        <v>#DIV/0!</v>
      </c>
      <c r="BU35" s="65" t="e">
        <f t="shared" si="236"/>
        <v>#DIV/0!</v>
      </c>
      <c r="BV35" s="47" t="e">
        <f t="shared" si="189"/>
        <v>#DIV/0!</v>
      </c>
      <c r="BX35" s="94"/>
      <c r="BY35" s="16" t="s">
        <v>364</v>
      </c>
      <c r="BZ35" s="65" t="e">
        <f t="shared" ref="BZ35:CF35" si="237">BZ13/$CG13</f>
        <v>#DIV/0!</v>
      </c>
      <c r="CA35" s="65" t="e">
        <f t="shared" si="237"/>
        <v>#DIV/0!</v>
      </c>
      <c r="CB35" s="65" t="e">
        <f t="shared" si="237"/>
        <v>#DIV/0!</v>
      </c>
      <c r="CC35" s="65" t="e">
        <f t="shared" si="237"/>
        <v>#DIV/0!</v>
      </c>
      <c r="CD35" s="65" t="e">
        <f t="shared" si="237"/>
        <v>#DIV/0!</v>
      </c>
      <c r="CE35" s="65" t="e">
        <f t="shared" si="237"/>
        <v>#DIV/0!</v>
      </c>
      <c r="CF35" s="65" t="e">
        <f t="shared" si="237"/>
        <v>#DIV/0!</v>
      </c>
      <c r="CG35" s="60" t="e">
        <f t="shared" si="191"/>
        <v>#DIV/0!</v>
      </c>
      <c r="CI35" s="94"/>
      <c r="CJ35" s="16" t="s">
        <v>364</v>
      </c>
      <c r="CK35" s="65" t="e">
        <f t="shared" ref="CK35:CO35" si="238">CK13/$CP13</f>
        <v>#DIV/0!</v>
      </c>
      <c r="CL35" s="65" t="e">
        <f t="shared" si="238"/>
        <v>#DIV/0!</v>
      </c>
      <c r="CM35" s="65" t="e">
        <f t="shared" si="238"/>
        <v>#DIV/0!</v>
      </c>
      <c r="CN35" s="65" t="e">
        <f t="shared" si="238"/>
        <v>#DIV/0!</v>
      </c>
      <c r="CO35" s="65" t="e">
        <f t="shared" si="238"/>
        <v>#DIV/0!</v>
      </c>
      <c r="CP35" s="47" t="e">
        <f t="shared" si="193"/>
        <v>#DIV/0!</v>
      </c>
      <c r="CR35" s="94"/>
      <c r="CS35" s="16" t="s">
        <v>364</v>
      </c>
      <c r="CT35" s="65" t="e">
        <f t="shared" ref="CT35:CX35" si="239">CT13/$CY13</f>
        <v>#DIV/0!</v>
      </c>
      <c r="CU35" s="65" t="e">
        <f t="shared" si="239"/>
        <v>#DIV/0!</v>
      </c>
      <c r="CV35" s="65" t="e">
        <f t="shared" si="239"/>
        <v>#DIV/0!</v>
      </c>
      <c r="CW35" s="65" t="e">
        <f t="shared" si="239"/>
        <v>#DIV/0!</v>
      </c>
      <c r="CX35" s="65" t="e">
        <f t="shared" si="239"/>
        <v>#DIV/0!</v>
      </c>
      <c r="CY35" s="76" t="e">
        <f t="shared" si="195"/>
        <v>#DIV/0!</v>
      </c>
    </row>
    <row r="36" spans="1:103" ht="15.6">
      <c r="A36" s="88"/>
      <c r="B36" s="31" t="s">
        <v>365</v>
      </c>
      <c r="C36" s="63">
        <f t="shared" si="229"/>
        <v>0.41</v>
      </c>
      <c r="D36" s="63">
        <f t="shared" si="229"/>
        <v>0.24</v>
      </c>
      <c r="E36" s="63">
        <f t="shared" si="229"/>
        <v>0.16</v>
      </c>
      <c r="F36" s="63">
        <f t="shared" si="229"/>
        <v>0.16</v>
      </c>
      <c r="G36" s="63">
        <f t="shared" si="229"/>
        <v>0.03</v>
      </c>
      <c r="H36" s="69">
        <f t="shared" si="175"/>
        <v>1</v>
      </c>
      <c r="J36" s="88"/>
      <c r="K36" s="31" t="s">
        <v>365</v>
      </c>
      <c r="L36" s="63">
        <f t="shared" ref="L36:P36" si="240">L14/$Q14</f>
        <v>0.11</v>
      </c>
      <c r="M36" s="63">
        <f t="shared" si="240"/>
        <v>0.06</v>
      </c>
      <c r="N36" s="63">
        <f t="shared" si="164"/>
        <v>0.26</v>
      </c>
      <c r="O36" s="63">
        <f t="shared" si="240"/>
        <v>0.31</v>
      </c>
      <c r="P36" s="63">
        <f t="shared" si="240"/>
        <v>0.26</v>
      </c>
      <c r="Q36" s="40">
        <f t="shared" si="177"/>
        <v>1</v>
      </c>
      <c r="S36" s="95"/>
      <c r="T36" s="31" t="s">
        <v>365</v>
      </c>
      <c r="U36" s="78">
        <f t="shared" ref="U36:Y36" si="241">U14/$Z14</f>
        <v>0.14000000000000001</v>
      </c>
      <c r="V36" s="78">
        <f t="shared" si="241"/>
        <v>0.26</v>
      </c>
      <c r="W36" s="78">
        <f t="shared" si="241"/>
        <v>0.16</v>
      </c>
      <c r="X36" s="78">
        <f t="shared" si="241"/>
        <v>0.21</v>
      </c>
      <c r="Y36" s="78">
        <f t="shared" si="241"/>
        <v>0.23</v>
      </c>
      <c r="Z36" s="50">
        <f t="shared" si="179"/>
        <v>1</v>
      </c>
      <c r="AB36" s="95"/>
      <c r="AC36" s="31" t="s">
        <v>365</v>
      </c>
      <c r="AD36" s="78">
        <f t="shared" ref="AD36:AH36" si="242">AD14/$AI14</f>
        <v>0.34</v>
      </c>
      <c r="AE36" s="78">
        <f t="shared" si="242"/>
        <v>0.23</v>
      </c>
      <c r="AF36" s="78">
        <f t="shared" si="242"/>
        <v>0.18</v>
      </c>
      <c r="AG36" s="78">
        <f t="shared" si="242"/>
        <v>0.06</v>
      </c>
      <c r="AH36" s="78">
        <f t="shared" si="242"/>
        <v>0.19</v>
      </c>
      <c r="AI36" s="50">
        <f t="shared" si="181"/>
        <v>1</v>
      </c>
      <c r="AK36" s="95"/>
      <c r="AL36" s="31" t="s">
        <v>365</v>
      </c>
      <c r="AM36" s="78">
        <f t="shared" ref="AM36:AQ36" si="243">AM14/$AR14</f>
        <v>0.83</v>
      </c>
      <c r="AN36" s="78">
        <f t="shared" si="243"/>
        <v>0.08</v>
      </c>
      <c r="AO36" s="78">
        <f t="shared" si="243"/>
        <v>0.04</v>
      </c>
      <c r="AP36" s="78">
        <f t="shared" si="243"/>
        <v>0.01</v>
      </c>
      <c r="AQ36" s="78">
        <f t="shared" si="243"/>
        <v>0.04</v>
      </c>
      <c r="AR36" s="50">
        <f t="shared" si="183"/>
        <v>1</v>
      </c>
      <c r="AT36" s="95"/>
      <c r="AU36" s="31" t="s">
        <v>365</v>
      </c>
      <c r="AV36" s="78">
        <f t="shared" ref="AV36:AZ36" si="244">AV14/$BA14</f>
        <v>7.0000000000000007E-2</v>
      </c>
      <c r="AW36" s="78">
        <f t="shared" si="244"/>
        <v>0.06</v>
      </c>
      <c r="AX36" s="78">
        <f t="shared" si="244"/>
        <v>0.14000000000000001</v>
      </c>
      <c r="AY36" s="78">
        <f t="shared" si="244"/>
        <v>0.31</v>
      </c>
      <c r="AZ36" s="78">
        <f t="shared" si="244"/>
        <v>0.42</v>
      </c>
      <c r="BA36" s="50">
        <f t="shared" si="185"/>
        <v>1</v>
      </c>
      <c r="BC36" s="95"/>
      <c r="BD36" s="31" t="s">
        <v>365</v>
      </c>
      <c r="BE36" s="61">
        <f t="shared" ref="BE36:BL36" si="245">BE14/$BM14</f>
        <v>0.21544715447154472</v>
      </c>
      <c r="BF36" s="61">
        <f t="shared" si="245"/>
        <v>3.6585365853658534E-2</v>
      </c>
      <c r="BG36" s="61">
        <f t="shared" si="245"/>
        <v>9.7560975609756101E-2</v>
      </c>
      <c r="BH36" s="61">
        <f t="shared" si="245"/>
        <v>8.5365853658536592E-2</v>
      </c>
      <c r="BI36" s="61">
        <f t="shared" si="245"/>
        <v>0.14634146341463414</v>
      </c>
      <c r="BJ36" s="61">
        <f t="shared" si="245"/>
        <v>0.15853658536585366</v>
      </c>
      <c r="BK36" s="61">
        <f t="shared" si="245"/>
        <v>0.25203252032520324</v>
      </c>
      <c r="BL36" s="61">
        <f t="shared" si="245"/>
        <v>8.130081300813009E-3</v>
      </c>
      <c r="BM36" s="36">
        <f t="shared" si="187"/>
        <v>1</v>
      </c>
      <c r="BO36" s="95"/>
      <c r="BP36" s="31" t="s">
        <v>365</v>
      </c>
      <c r="BQ36" s="61">
        <f t="shared" ref="BQ36:BU36" si="246">BQ14/$BV14</f>
        <v>0.14000000000000001</v>
      </c>
      <c r="BR36" s="61">
        <f t="shared" si="246"/>
        <v>0.16</v>
      </c>
      <c r="BS36" s="61">
        <f t="shared" si="246"/>
        <v>0.3</v>
      </c>
      <c r="BT36" s="61">
        <f t="shared" si="246"/>
        <v>0.27</v>
      </c>
      <c r="BU36" s="61">
        <f t="shared" si="246"/>
        <v>0.13</v>
      </c>
      <c r="BV36" s="50">
        <f t="shared" si="189"/>
        <v>1</v>
      </c>
      <c r="BX36" s="95"/>
      <c r="BY36" s="31" t="s">
        <v>365</v>
      </c>
      <c r="BZ36" s="61">
        <f t="shared" ref="BZ36:CF36" si="247">BZ14/$CG14</f>
        <v>0.14227642276422764</v>
      </c>
      <c r="CA36" s="61">
        <f t="shared" si="247"/>
        <v>0.13414634146341464</v>
      </c>
      <c r="CB36" s="61">
        <f t="shared" si="247"/>
        <v>0.1910569105691057</v>
      </c>
      <c r="CC36" s="61">
        <f t="shared" si="247"/>
        <v>0.13821138211382114</v>
      </c>
      <c r="CD36" s="61">
        <f t="shared" si="247"/>
        <v>0.21951219512195122</v>
      </c>
      <c r="CE36" s="61">
        <f t="shared" si="247"/>
        <v>0.16260162601626016</v>
      </c>
      <c r="CF36" s="61">
        <f t="shared" si="247"/>
        <v>1.2195121951219513E-2</v>
      </c>
      <c r="CG36" s="46">
        <f t="shared" si="191"/>
        <v>1</v>
      </c>
      <c r="CI36" s="95"/>
      <c r="CJ36" s="31" t="s">
        <v>365</v>
      </c>
      <c r="CK36" s="61">
        <f t="shared" ref="CK36:CO36" si="248">CK14/$CP14</f>
        <v>0.03</v>
      </c>
      <c r="CL36" s="61">
        <f t="shared" si="248"/>
        <v>0</v>
      </c>
      <c r="CM36" s="61">
        <f t="shared" si="248"/>
        <v>0.13</v>
      </c>
      <c r="CN36" s="61">
        <f t="shared" si="248"/>
        <v>0.32</v>
      </c>
      <c r="CO36" s="61">
        <f t="shared" si="248"/>
        <v>0.52</v>
      </c>
      <c r="CP36" s="50">
        <f t="shared" si="193"/>
        <v>1</v>
      </c>
      <c r="CR36" s="95"/>
      <c r="CS36" s="31" t="s">
        <v>365</v>
      </c>
      <c r="CT36" s="61">
        <f t="shared" ref="CT36:CX36" si="249">CT14/$CY14</f>
        <v>0.04</v>
      </c>
      <c r="CU36" s="61">
        <f t="shared" si="249"/>
        <v>0.05</v>
      </c>
      <c r="CV36" s="61">
        <f t="shared" si="249"/>
        <v>0.27</v>
      </c>
      <c r="CW36" s="61">
        <f t="shared" si="249"/>
        <v>0.25</v>
      </c>
      <c r="CX36" s="61">
        <f t="shared" si="249"/>
        <v>0.39</v>
      </c>
      <c r="CY36" s="75">
        <f t="shared" si="195"/>
        <v>1</v>
      </c>
    </row>
    <row r="37" spans="1:103">
      <c r="A37" s="18"/>
      <c r="B37" s="19"/>
      <c r="C37" s="28"/>
      <c r="D37" s="28"/>
      <c r="E37" s="28"/>
      <c r="F37" s="28"/>
      <c r="G37" s="28"/>
      <c r="H37" s="19"/>
      <c r="J37" s="18"/>
      <c r="K37" s="19"/>
      <c r="L37" s="28"/>
      <c r="M37" s="28"/>
      <c r="N37" s="28"/>
      <c r="O37" s="28"/>
      <c r="P37" s="28"/>
      <c r="Q37" s="19"/>
      <c r="S37" s="19"/>
      <c r="T37" s="51"/>
      <c r="U37" s="52"/>
      <c r="V37" s="52"/>
      <c r="W37" s="52"/>
      <c r="X37" s="52"/>
      <c r="Y37" s="52"/>
      <c r="Z37" s="51"/>
      <c r="AB37" s="19"/>
      <c r="AC37" s="51"/>
      <c r="AD37" s="52"/>
      <c r="AE37" s="52"/>
      <c r="AF37" s="52"/>
      <c r="AG37" s="52"/>
      <c r="AH37" s="52"/>
      <c r="AI37" s="51"/>
      <c r="AK37" s="19"/>
      <c r="AL37" s="51"/>
      <c r="AM37" s="52"/>
      <c r="AN37" s="52"/>
      <c r="AO37" s="52"/>
      <c r="AP37" s="52"/>
      <c r="AQ37" s="52"/>
      <c r="AR37" s="51"/>
      <c r="AT37" s="19"/>
      <c r="AU37" s="51"/>
      <c r="AV37" s="52"/>
      <c r="AW37" s="52"/>
      <c r="AX37" s="52"/>
      <c r="AY37" s="52"/>
      <c r="AZ37" s="52"/>
      <c r="BA37" s="51"/>
      <c r="BC37" s="19"/>
      <c r="BD37" s="51"/>
      <c r="BE37" s="52"/>
      <c r="BF37" s="52"/>
      <c r="BG37" s="52"/>
      <c r="BH37" s="52"/>
      <c r="BI37" s="52"/>
      <c r="BJ37" s="51"/>
      <c r="BK37" s="19"/>
      <c r="BL37" s="19"/>
      <c r="BM37" s="19"/>
      <c r="BO37" s="19"/>
      <c r="BP37" s="51"/>
      <c r="BQ37" s="52"/>
      <c r="BR37" s="52"/>
      <c r="BS37" s="52"/>
      <c r="BT37" s="52"/>
      <c r="BU37" s="52"/>
      <c r="BV37" s="51"/>
      <c r="BX37" s="19"/>
      <c r="BY37" s="51"/>
      <c r="BZ37" s="52"/>
      <c r="CA37" s="52"/>
      <c r="CB37" s="52"/>
      <c r="CC37" s="52"/>
      <c r="CD37" s="52"/>
      <c r="CE37" s="52"/>
      <c r="CF37" s="52"/>
      <c r="CG37" s="51"/>
      <c r="CI37" s="19"/>
      <c r="CJ37" s="51"/>
      <c r="CK37" s="52"/>
      <c r="CL37" s="52"/>
      <c r="CM37" s="52"/>
      <c r="CN37" s="52"/>
      <c r="CO37" s="52"/>
      <c r="CP37" s="51"/>
      <c r="CR37" s="18"/>
      <c r="CS37" s="51"/>
      <c r="CT37" s="52"/>
      <c r="CU37" s="52"/>
      <c r="CV37" s="52"/>
      <c r="CW37" s="52"/>
      <c r="CX37" s="52"/>
      <c r="CY37" s="77"/>
    </row>
    <row r="38" spans="1:103" ht="15.6">
      <c r="A38" s="86" t="s">
        <v>401</v>
      </c>
      <c r="B38" s="33" t="s">
        <v>56</v>
      </c>
      <c r="C38" s="63">
        <f>C16/$H16</f>
        <v>0.43243243243243246</v>
      </c>
      <c r="D38" s="63">
        <f t="shared" ref="D38:G38" si="250">D16/$H16</f>
        <v>0.10810810810810811</v>
      </c>
      <c r="E38" s="63">
        <f t="shared" si="250"/>
        <v>0.21621621621621623</v>
      </c>
      <c r="F38" s="63">
        <f t="shared" si="250"/>
        <v>0.24324324324324326</v>
      </c>
      <c r="G38" s="63">
        <f t="shared" si="250"/>
        <v>0</v>
      </c>
      <c r="H38" s="68">
        <f>SUM(C38:G38)</f>
        <v>1</v>
      </c>
      <c r="J38" s="86" t="s">
        <v>401</v>
      </c>
      <c r="K38" s="33" t="s">
        <v>56</v>
      </c>
      <c r="L38" s="63">
        <f>L16/$Q16</f>
        <v>8.1081081081081086E-2</v>
      </c>
      <c r="M38" s="63">
        <f t="shared" ref="M38:P38" si="251">M16/$Q16</f>
        <v>0.10810810810810811</v>
      </c>
      <c r="N38" s="63">
        <f t="shared" ref="N38:N43" si="252">N16/$Q16</f>
        <v>0.32432432432432434</v>
      </c>
      <c r="O38" s="63">
        <f t="shared" si="251"/>
        <v>0.29729729729729731</v>
      </c>
      <c r="P38" s="63">
        <f t="shared" si="251"/>
        <v>0.1891891891891892</v>
      </c>
      <c r="Q38" s="39">
        <f>SUM(L38:P38)</f>
        <v>1.0000000000000002</v>
      </c>
      <c r="S38" s="93" t="s">
        <v>401</v>
      </c>
      <c r="T38" s="33" t="s">
        <v>56</v>
      </c>
      <c r="U38" s="78">
        <f>U16/$Z16</f>
        <v>0.13513513513513514</v>
      </c>
      <c r="V38" s="78">
        <f t="shared" ref="V38:Y38" si="253">V16/$Z16</f>
        <v>0.32432432432432434</v>
      </c>
      <c r="W38" s="78">
        <f t="shared" si="253"/>
        <v>2.7027027027027029E-2</v>
      </c>
      <c r="X38" s="78">
        <f t="shared" si="253"/>
        <v>0.21621621621621623</v>
      </c>
      <c r="Y38" s="78">
        <f t="shared" si="253"/>
        <v>0.29729729729729731</v>
      </c>
      <c r="Z38" s="46">
        <f>SUM(U38:Y38)</f>
        <v>1</v>
      </c>
      <c r="AB38" s="93" t="s">
        <v>401</v>
      </c>
      <c r="AC38" s="33" t="s">
        <v>56</v>
      </c>
      <c r="AD38" s="78">
        <f>AD16/$AI16</f>
        <v>0.32432432432432434</v>
      </c>
      <c r="AE38" s="78">
        <f t="shared" ref="AE38:AH38" si="254">AE16/$AI16</f>
        <v>0.21621621621621623</v>
      </c>
      <c r="AF38" s="78">
        <f t="shared" si="254"/>
        <v>0.24324324324324326</v>
      </c>
      <c r="AG38" s="78">
        <f t="shared" si="254"/>
        <v>5.4054054054054057E-2</v>
      </c>
      <c r="AH38" s="78">
        <f t="shared" si="254"/>
        <v>0.16216216216216217</v>
      </c>
      <c r="AI38" s="46">
        <f>SUM(AD38:AH38)</f>
        <v>1</v>
      </c>
      <c r="AK38" s="93" t="s">
        <v>401</v>
      </c>
      <c r="AL38" s="33" t="s">
        <v>56</v>
      </c>
      <c r="AM38" s="78">
        <f>AM16/$AR16</f>
        <v>0.83783783783783783</v>
      </c>
      <c r="AN38" s="78">
        <f t="shared" ref="AN38:AQ38" si="255">AN16/$AR16</f>
        <v>8.1081081081081086E-2</v>
      </c>
      <c r="AO38" s="78">
        <f t="shared" si="255"/>
        <v>0</v>
      </c>
      <c r="AP38" s="78">
        <f t="shared" si="255"/>
        <v>0</v>
      </c>
      <c r="AQ38" s="78">
        <f t="shared" si="255"/>
        <v>8.1081081081081086E-2</v>
      </c>
      <c r="AR38" s="46">
        <f>SUM(AM38:AQ38)</f>
        <v>1</v>
      </c>
      <c r="AT38" s="93" t="s">
        <v>401</v>
      </c>
      <c r="AU38" s="33" t="s">
        <v>56</v>
      </c>
      <c r="AV38" s="78">
        <f>AV16/$BA16</f>
        <v>0.10810810810810811</v>
      </c>
      <c r="AW38" s="78">
        <f t="shared" ref="AW38:AZ38" si="256">AW16/$BA16</f>
        <v>2.7027027027027029E-2</v>
      </c>
      <c r="AX38" s="78">
        <f t="shared" si="256"/>
        <v>0.16216216216216217</v>
      </c>
      <c r="AY38" s="78">
        <f t="shared" si="256"/>
        <v>0.3783783783783784</v>
      </c>
      <c r="AZ38" s="78">
        <f t="shared" si="256"/>
        <v>0.32432432432432434</v>
      </c>
      <c r="BA38" s="46">
        <f>SUM(AV38:AZ38)</f>
        <v>1</v>
      </c>
      <c r="BC38" s="93" t="s">
        <v>401</v>
      </c>
      <c r="BD38" s="33" t="s">
        <v>56</v>
      </c>
      <c r="BE38" s="61">
        <f>BE16/$BM16</f>
        <v>0.21839080459770116</v>
      </c>
      <c r="BF38" s="61">
        <f t="shared" ref="BF38:BL38" si="257">BF16/$BM16</f>
        <v>5.7471264367816091E-2</v>
      </c>
      <c r="BG38" s="61">
        <f t="shared" si="257"/>
        <v>0.10344827586206896</v>
      </c>
      <c r="BH38" s="61">
        <f t="shared" si="257"/>
        <v>6.8965517241379309E-2</v>
      </c>
      <c r="BI38" s="61">
        <f t="shared" si="257"/>
        <v>0.12643678160919541</v>
      </c>
      <c r="BJ38" s="61">
        <f t="shared" si="257"/>
        <v>0.18390804597701149</v>
      </c>
      <c r="BK38" s="61">
        <f t="shared" si="257"/>
        <v>0.2413793103448276</v>
      </c>
      <c r="BL38" s="61">
        <f t="shared" si="257"/>
        <v>0</v>
      </c>
      <c r="BM38" s="36">
        <f>SUM(BE38:BL38)</f>
        <v>1</v>
      </c>
      <c r="BO38" s="93" t="s">
        <v>401</v>
      </c>
      <c r="BP38" s="33" t="s">
        <v>56</v>
      </c>
      <c r="BQ38" s="61">
        <f>BQ16/$BV16</f>
        <v>0.1891891891891892</v>
      </c>
      <c r="BR38" s="61">
        <f t="shared" ref="BR38:BU38" si="258">BR16/$BV16</f>
        <v>0.21621621621621623</v>
      </c>
      <c r="BS38" s="61">
        <f t="shared" si="258"/>
        <v>0.24324324324324326</v>
      </c>
      <c r="BT38" s="61">
        <f t="shared" si="258"/>
        <v>0.1891891891891892</v>
      </c>
      <c r="BU38" s="61">
        <f t="shared" si="258"/>
        <v>0.16216216216216217</v>
      </c>
      <c r="BV38" s="46">
        <f>SUM(BQ38:BU38)</f>
        <v>1</v>
      </c>
      <c r="BX38" s="93" t="s">
        <v>401</v>
      </c>
      <c r="BY38" s="33" t="s">
        <v>56</v>
      </c>
      <c r="BZ38" s="61">
        <f>BZ16/$CG16</f>
        <v>0.18085106382978725</v>
      </c>
      <c r="CA38" s="61">
        <f t="shared" ref="CA38:CF38" si="259">CA16/$CG16</f>
        <v>0.10638297872340426</v>
      </c>
      <c r="CB38" s="61">
        <f t="shared" si="259"/>
        <v>0.22340425531914893</v>
      </c>
      <c r="CC38" s="61">
        <f t="shared" si="259"/>
        <v>9.5744680851063829E-2</v>
      </c>
      <c r="CD38" s="61">
        <f t="shared" si="259"/>
        <v>0.20212765957446807</v>
      </c>
      <c r="CE38" s="61">
        <f t="shared" si="259"/>
        <v>0.15957446808510639</v>
      </c>
      <c r="CF38" s="61">
        <f t="shared" si="259"/>
        <v>3.1914893617021274E-2</v>
      </c>
      <c r="CG38" s="46">
        <f>SUM(BZ38:CF38)</f>
        <v>1</v>
      </c>
      <c r="CI38" s="93" t="s">
        <v>401</v>
      </c>
      <c r="CJ38" s="33" t="s">
        <v>56</v>
      </c>
      <c r="CK38" s="61">
        <f>CK16/$CP16</f>
        <v>2.7027027027027029E-2</v>
      </c>
      <c r="CL38" s="61">
        <f t="shared" ref="CL38:CO38" si="260">CL16/$CP16</f>
        <v>0</v>
      </c>
      <c r="CM38" s="61">
        <f t="shared" si="260"/>
        <v>0.10810810810810811</v>
      </c>
      <c r="CN38" s="61">
        <f t="shared" si="260"/>
        <v>0.35135135135135137</v>
      </c>
      <c r="CO38" s="61">
        <f t="shared" si="260"/>
        <v>0.51351351351351349</v>
      </c>
      <c r="CP38" s="46">
        <f>SUM(CK38:CO38)</f>
        <v>1</v>
      </c>
      <c r="CR38" s="93" t="s">
        <v>401</v>
      </c>
      <c r="CS38" s="33" t="s">
        <v>56</v>
      </c>
      <c r="CT38" s="61">
        <f>CT16/$CY16</f>
        <v>0</v>
      </c>
      <c r="CU38" s="61">
        <f t="shared" ref="CU38:CX38" si="261">CU16/$CY16</f>
        <v>5.4054054054054057E-2</v>
      </c>
      <c r="CV38" s="61">
        <f t="shared" si="261"/>
        <v>0.24324324324324326</v>
      </c>
      <c r="CW38" s="61">
        <f t="shared" si="261"/>
        <v>0.29729729729729731</v>
      </c>
      <c r="CX38" s="61">
        <f t="shared" si="261"/>
        <v>0.40540540540540543</v>
      </c>
      <c r="CY38" s="75">
        <f>SUM(CT38:CX38)</f>
        <v>1</v>
      </c>
    </row>
    <row r="39" spans="1:103" ht="15.6">
      <c r="A39" s="87"/>
      <c r="B39" s="16" t="s">
        <v>48</v>
      </c>
      <c r="C39" s="64">
        <f t="shared" ref="C39:G39" si="262">C17/$H17</f>
        <v>0.44</v>
      </c>
      <c r="D39" s="64">
        <f t="shared" si="262"/>
        <v>0.2</v>
      </c>
      <c r="E39" s="64">
        <f t="shared" si="262"/>
        <v>0.12</v>
      </c>
      <c r="F39" s="64">
        <f t="shared" si="262"/>
        <v>0.2</v>
      </c>
      <c r="G39" s="64">
        <f t="shared" si="262"/>
        <v>0.04</v>
      </c>
      <c r="H39" s="67">
        <f t="shared" ref="H39:H42" si="263">SUM(C39:G39)</f>
        <v>1</v>
      </c>
      <c r="J39" s="87"/>
      <c r="K39" s="16" t="s">
        <v>48</v>
      </c>
      <c r="L39" s="64">
        <f t="shared" ref="L39:P39" si="264">L17/$Q17</f>
        <v>0.12</v>
      </c>
      <c r="M39" s="64">
        <f t="shared" si="264"/>
        <v>0.04</v>
      </c>
      <c r="N39" s="64">
        <f t="shared" si="252"/>
        <v>0.28000000000000003</v>
      </c>
      <c r="O39" s="64">
        <f t="shared" si="264"/>
        <v>0.28000000000000003</v>
      </c>
      <c r="P39" s="64">
        <f t="shared" si="264"/>
        <v>0.28000000000000003</v>
      </c>
      <c r="Q39" s="37">
        <f t="shared" ref="Q39:Q42" si="265">SUM(L39:P39)</f>
        <v>1</v>
      </c>
      <c r="S39" s="94"/>
      <c r="T39" s="16" t="s">
        <v>48</v>
      </c>
      <c r="U39" s="79">
        <f t="shared" ref="U39:Y39" si="266">U17/$Z17</f>
        <v>0.12</v>
      </c>
      <c r="V39" s="79">
        <f t="shared" si="266"/>
        <v>0.2</v>
      </c>
      <c r="W39" s="79">
        <f t="shared" si="266"/>
        <v>0.24</v>
      </c>
      <c r="X39" s="79">
        <f t="shared" si="266"/>
        <v>0.28000000000000003</v>
      </c>
      <c r="Y39" s="79">
        <f t="shared" si="266"/>
        <v>0.16</v>
      </c>
      <c r="Z39" s="47">
        <f t="shared" ref="Z39:Z42" si="267">SUM(U39:Y39)</f>
        <v>1</v>
      </c>
      <c r="AB39" s="94"/>
      <c r="AC39" s="16" t="s">
        <v>48</v>
      </c>
      <c r="AD39" s="79">
        <f t="shared" ref="AD39:AH39" si="268">AD17/$AI17</f>
        <v>0.36</v>
      </c>
      <c r="AE39" s="79">
        <f t="shared" si="268"/>
        <v>0.24</v>
      </c>
      <c r="AF39" s="79">
        <f t="shared" si="268"/>
        <v>0.04</v>
      </c>
      <c r="AG39" s="79">
        <f t="shared" si="268"/>
        <v>0</v>
      </c>
      <c r="AH39" s="79">
        <f t="shared" si="268"/>
        <v>0.36</v>
      </c>
      <c r="AI39" s="47">
        <f t="shared" ref="AI39:AI42" si="269">SUM(AD39:AH39)</f>
        <v>1</v>
      </c>
      <c r="AK39" s="94"/>
      <c r="AL39" s="16" t="s">
        <v>48</v>
      </c>
      <c r="AM39" s="79">
        <f t="shared" ref="AM39:AQ39" si="270">AM17/$AR17</f>
        <v>0.76</v>
      </c>
      <c r="AN39" s="79">
        <f t="shared" si="270"/>
        <v>0.12</v>
      </c>
      <c r="AO39" s="79">
        <f t="shared" si="270"/>
        <v>0.08</v>
      </c>
      <c r="AP39" s="79">
        <f t="shared" si="270"/>
        <v>0.04</v>
      </c>
      <c r="AQ39" s="79">
        <f t="shared" si="270"/>
        <v>0</v>
      </c>
      <c r="AR39" s="47">
        <f t="shared" ref="AR39:AR42" si="271">SUM(AM39:AQ39)</f>
        <v>1</v>
      </c>
      <c r="AT39" s="94"/>
      <c r="AU39" s="16" t="s">
        <v>48</v>
      </c>
      <c r="AV39" s="79">
        <f t="shared" ref="AV39:AZ39" si="272">AV17/$BA17</f>
        <v>0.04</v>
      </c>
      <c r="AW39" s="79">
        <f t="shared" si="272"/>
        <v>0.04</v>
      </c>
      <c r="AX39" s="79">
        <f t="shared" si="272"/>
        <v>0.24</v>
      </c>
      <c r="AY39" s="79">
        <f t="shared" si="272"/>
        <v>0.28000000000000003</v>
      </c>
      <c r="AZ39" s="79">
        <f t="shared" si="272"/>
        <v>0.4</v>
      </c>
      <c r="BA39" s="47">
        <f t="shared" ref="BA39:BA42" si="273">SUM(AV39:AZ39)</f>
        <v>1</v>
      </c>
      <c r="BC39" s="94"/>
      <c r="BD39" s="16" t="s">
        <v>48</v>
      </c>
      <c r="BE39" s="65">
        <f t="shared" ref="BE39:BL39" si="274">BE17/$BM17</f>
        <v>0.22727272727272727</v>
      </c>
      <c r="BF39" s="65">
        <f t="shared" si="274"/>
        <v>3.0303030303030304E-2</v>
      </c>
      <c r="BG39" s="65">
        <f t="shared" si="274"/>
        <v>0.10606060606060606</v>
      </c>
      <c r="BH39" s="65">
        <f t="shared" si="274"/>
        <v>6.0606060606060608E-2</v>
      </c>
      <c r="BI39" s="65">
        <f t="shared" si="274"/>
        <v>0.10606060606060606</v>
      </c>
      <c r="BJ39" s="65">
        <f t="shared" si="274"/>
        <v>0.18181818181818182</v>
      </c>
      <c r="BK39" s="65">
        <f t="shared" si="274"/>
        <v>0.25757575757575757</v>
      </c>
      <c r="BL39" s="65">
        <f t="shared" si="274"/>
        <v>3.0303030303030304E-2</v>
      </c>
      <c r="BM39" s="37">
        <f t="shared" ref="BM39:BM43" si="275">SUM(BE39:BL39)</f>
        <v>1</v>
      </c>
      <c r="BO39" s="94"/>
      <c r="BP39" s="16" t="s">
        <v>48</v>
      </c>
      <c r="BQ39" s="65">
        <f t="shared" ref="BQ39:BU39" si="276">BQ17/$BV17</f>
        <v>0.16</v>
      </c>
      <c r="BR39" s="65">
        <f t="shared" si="276"/>
        <v>0.08</v>
      </c>
      <c r="BS39" s="65">
        <f t="shared" si="276"/>
        <v>0.36</v>
      </c>
      <c r="BT39" s="65">
        <f t="shared" si="276"/>
        <v>0.28000000000000003</v>
      </c>
      <c r="BU39" s="65">
        <f t="shared" si="276"/>
        <v>0.12</v>
      </c>
      <c r="BV39" s="47">
        <f t="shared" ref="BV39:BV42" si="277">SUM(BQ39:BU39)</f>
        <v>1</v>
      </c>
      <c r="BX39" s="94"/>
      <c r="BY39" s="16" t="s">
        <v>48</v>
      </c>
      <c r="BZ39" s="65">
        <f t="shared" ref="BZ39:CF39" si="278">BZ17/$CG17</f>
        <v>0.109375</v>
      </c>
      <c r="CA39" s="65">
        <f t="shared" si="278"/>
        <v>0.140625</v>
      </c>
      <c r="CB39" s="65">
        <f t="shared" si="278"/>
        <v>0.203125</v>
      </c>
      <c r="CC39" s="65">
        <f t="shared" si="278"/>
        <v>0.140625</v>
      </c>
      <c r="CD39" s="65">
        <f t="shared" si="278"/>
        <v>0.234375</v>
      </c>
      <c r="CE39" s="65">
        <f t="shared" si="278"/>
        <v>0.15625</v>
      </c>
      <c r="CF39" s="65">
        <f t="shared" si="278"/>
        <v>1.5625E-2</v>
      </c>
      <c r="CG39" s="60">
        <f t="shared" ref="CG39:CG43" si="279">SUM(BZ39:CF39)</f>
        <v>1</v>
      </c>
      <c r="CI39" s="94"/>
      <c r="CJ39" s="16" t="s">
        <v>48</v>
      </c>
      <c r="CK39" s="65">
        <f t="shared" ref="CK39:CO39" si="280">CK17/$CP17</f>
        <v>0</v>
      </c>
      <c r="CL39" s="65">
        <f t="shared" si="280"/>
        <v>0</v>
      </c>
      <c r="CM39" s="65">
        <f t="shared" si="280"/>
        <v>0.16</v>
      </c>
      <c r="CN39" s="65">
        <f t="shared" si="280"/>
        <v>0.36</v>
      </c>
      <c r="CO39" s="65">
        <f t="shared" si="280"/>
        <v>0.48</v>
      </c>
      <c r="CP39" s="47">
        <f t="shared" ref="CP39:CP42" si="281">SUM(CK39:CO39)</f>
        <v>1</v>
      </c>
      <c r="CR39" s="94"/>
      <c r="CS39" s="16" t="s">
        <v>48</v>
      </c>
      <c r="CT39" s="65">
        <f t="shared" ref="CT39:CX39" si="282">CT17/$CY17</f>
        <v>0</v>
      </c>
      <c r="CU39" s="65">
        <f t="shared" si="282"/>
        <v>0.04</v>
      </c>
      <c r="CV39" s="65">
        <f t="shared" si="282"/>
        <v>0.32</v>
      </c>
      <c r="CW39" s="65">
        <f t="shared" si="282"/>
        <v>0.2</v>
      </c>
      <c r="CX39" s="65">
        <f t="shared" si="282"/>
        <v>0.44</v>
      </c>
      <c r="CY39" s="76">
        <f t="shared" ref="CY39:CY42" si="283">SUM(CT39:CX39)</f>
        <v>1</v>
      </c>
    </row>
    <row r="40" spans="1:103" ht="15.6">
      <c r="A40" s="87"/>
      <c r="B40" s="29" t="s">
        <v>62</v>
      </c>
      <c r="C40" s="63">
        <f t="shared" ref="C40:G40" si="284">C18/$H18</f>
        <v>0.29629629629629628</v>
      </c>
      <c r="D40" s="63">
        <f t="shared" si="284"/>
        <v>0.40740740740740738</v>
      </c>
      <c r="E40" s="63">
        <f t="shared" si="284"/>
        <v>0.18518518518518517</v>
      </c>
      <c r="F40" s="63">
        <f t="shared" si="284"/>
        <v>3.7037037037037035E-2</v>
      </c>
      <c r="G40" s="63">
        <f t="shared" si="284"/>
        <v>7.407407407407407E-2</v>
      </c>
      <c r="H40" s="62">
        <f t="shared" si="263"/>
        <v>0.99999999999999989</v>
      </c>
      <c r="J40" s="87"/>
      <c r="K40" s="29" t="s">
        <v>62</v>
      </c>
      <c r="L40" s="63">
        <f t="shared" ref="L40:P40" si="285">L18/$Q18</f>
        <v>0.14814814814814814</v>
      </c>
      <c r="M40" s="63">
        <f t="shared" si="285"/>
        <v>3.7037037037037035E-2</v>
      </c>
      <c r="N40" s="63">
        <f t="shared" si="252"/>
        <v>0.14814814814814814</v>
      </c>
      <c r="O40" s="63">
        <f t="shared" si="285"/>
        <v>0.37037037037037035</v>
      </c>
      <c r="P40" s="63">
        <f t="shared" si="285"/>
        <v>0.29629629629629628</v>
      </c>
      <c r="Q40" s="36">
        <f t="shared" si="265"/>
        <v>1</v>
      </c>
      <c r="S40" s="94"/>
      <c r="T40" s="29" t="s">
        <v>62</v>
      </c>
      <c r="U40" s="78">
        <f t="shared" ref="U40:Y40" si="286">U18/$Z18</f>
        <v>0.1111111111111111</v>
      </c>
      <c r="V40" s="78">
        <f t="shared" si="286"/>
        <v>0.18518518518518517</v>
      </c>
      <c r="W40" s="78">
        <f t="shared" si="286"/>
        <v>0.33333333333333331</v>
      </c>
      <c r="X40" s="78">
        <f t="shared" si="286"/>
        <v>0.14814814814814814</v>
      </c>
      <c r="Y40" s="78">
        <f t="shared" si="286"/>
        <v>0.22222222222222221</v>
      </c>
      <c r="Z40" s="48">
        <f t="shared" si="267"/>
        <v>0.99999999999999989</v>
      </c>
      <c r="AB40" s="94"/>
      <c r="AC40" s="29" t="s">
        <v>62</v>
      </c>
      <c r="AD40" s="78">
        <f t="shared" ref="AD40:AH40" si="287">AD18/$AI18</f>
        <v>0.33333333333333331</v>
      </c>
      <c r="AE40" s="78">
        <f t="shared" si="287"/>
        <v>0.18518518518518517</v>
      </c>
      <c r="AF40" s="78">
        <f t="shared" si="287"/>
        <v>0.22222222222222221</v>
      </c>
      <c r="AG40" s="78">
        <f t="shared" si="287"/>
        <v>0.14814814814814814</v>
      </c>
      <c r="AH40" s="78">
        <f t="shared" si="287"/>
        <v>0.1111111111111111</v>
      </c>
      <c r="AI40" s="48">
        <f t="shared" si="269"/>
        <v>1</v>
      </c>
      <c r="AK40" s="94"/>
      <c r="AL40" s="29" t="s">
        <v>62</v>
      </c>
      <c r="AM40" s="78">
        <f t="shared" ref="AM40:AQ40" si="288">AM18/$AR18</f>
        <v>0.85185185185185186</v>
      </c>
      <c r="AN40" s="78">
        <f t="shared" si="288"/>
        <v>7.407407407407407E-2</v>
      </c>
      <c r="AO40" s="78">
        <f t="shared" si="288"/>
        <v>3.7037037037037035E-2</v>
      </c>
      <c r="AP40" s="78">
        <f t="shared" si="288"/>
        <v>0</v>
      </c>
      <c r="AQ40" s="78">
        <f t="shared" si="288"/>
        <v>3.7037037037037035E-2</v>
      </c>
      <c r="AR40" s="48">
        <f t="shared" si="271"/>
        <v>1</v>
      </c>
      <c r="AT40" s="94"/>
      <c r="AU40" s="29" t="s">
        <v>62</v>
      </c>
      <c r="AV40" s="78">
        <f t="shared" ref="AV40:AZ40" si="289">AV18/$BA18</f>
        <v>7.407407407407407E-2</v>
      </c>
      <c r="AW40" s="78">
        <f t="shared" si="289"/>
        <v>7.407407407407407E-2</v>
      </c>
      <c r="AX40" s="78">
        <f t="shared" si="289"/>
        <v>0</v>
      </c>
      <c r="AY40" s="78">
        <f t="shared" si="289"/>
        <v>0.33333333333333331</v>
      </c>
      <c r="AZ40" s="78">
        <f t="shared" si="289"/>
        <v>0.51851851851851849</v>
      </c>
      <c r="BA40" s="48">
        <f t="shared" si="273"/>
        <v>1</v>
      </c>
      <c r="BC40" s="94"/>
      <c r="BD40" s="29" t="s">
        <v>62</v>
      </c>
      <c r="BE40" s="61">
        <f t="shared" ref="BE40:BL40" si="290">BE18/$BM18</f>
        <v>0.2</v>
      </c>
      <c r="BF40" s="61">
        <f t="shared" si="290"/>
        <v>3.0769230769230771E-2</v>
      </c>
      <c r="BG40" s="61">
        <f t="shared" si="290"/>
        <v>9.2307692307692313E-2</v>
      </c>
      <c r="BH40" s="61">
        <f t="shared" si="290"/>
        <v>0.12307692307692308</v>
      </c>
      <c r="BI40" s="61">
        <f t="shared" si="290"/>
        <v>0.18461538461538463</v>
      </c>
      <c r="BJ40" s="61">
        <f t="shared" si="290"/>
        <v>0.1076923076923077</v>
      </c>
      <c r="BK40" s="61">
        <f t="shared" si="290"/>
        <v>0.26153846153846155</v>
      </c>
      <c r="BL40" s="61">
        <f t="shared" si="290"/>
        <v>0</v>
      </c>
      <c r="BM40" s="36">
        <f t="shared" si="275"/>
        <v>1</v>
      </c>
      <c r="BO40" s="94"/>
      <c r="BP40" s="29" t="s">
        <v>62</v>
      </c>
      <c r="BQ40" s="61">
        <f t="shared" ref="BQ40:BU40" si="291">BQ18/$BV18</f>
        <v>0.1111111111111111</v>
      </c>
      <c r="BR40" s="61">
        <f t="shared" si="291"/>
        <v>0.14814814814814814</v>
      </c>
      <c r="BS40" s="61">
        <f t="shared" si="291"/>
        <v>0.37037037037037035</v>
      </c>
      <c r="BT40" s="61">
        <f t="shared" si="291"/>
        <v>0.29629629629629628</v>
      </c>
      <c r="BU40" s="61">
        <f t="shared" si="291"/>
        <v>7.407407407407407E-2</v>
      </c>
      <c r="BV40" s="48">
        <f t="shared" si="277"/>
        <v>0.99999999999999989</v>
      </c>
      <c r="BX40" s="94"/>
      <c r="BY40" s="29" t="s">
        <v>62</v>
      </c>
      <c r="BZ40" s="61">
        <f t="shared" ref="BZ40:CF40" si="292">BZ18/$CG18</f>
        <v>0.11666666666666667</v>
      </c>
      <c r="CA40" s="61">
        <f t="shared" si="292"/>
        <v>0.16666666666666666</v>
      </c>
      <c r="CB40" s="61">
        <f t="shared" si="292"/>
        <v>0.11666666666666667</v>
      </c>
      <c r="CC40" s="61">
        <f t="shared" si="292"/>
        <v>0.21666666666666667</v>
      </c>
      <c r="CD40" s="61">
        <f t="shared" si="292"/>
        <v>0.21666666666666667</v>
      </c>
      <c r="CE40" s="61">
        <f t="shared" si="292"/>
        <v>0.16666666666666666</v>
      </c>
      <c r="CF40" s="61">
        <f t="shared" si="292"/>
        <v>0</v>
      </c>
      <c r="CG40" s="46">
        <f t="shared" si="279"/>
        <v>1</v>
      </c>
      <c r="CI40" s="94"/>
      <c r="CJ40" s="29" t="s">
        <v>62</v>
      </c>
      <c r="CK40" s="61">
        <f t="shared" ref="CK40:CO40" si="293">CK18/$CP18</f>
        <v>3.7037037037037035E-2</v>
      </c>
      <c r="CL40" s="61">
        <f t="shared" si="293"/>
        <v>0</v>
      </c>
      <c r="CM40" s="61">
        <f t="shared" si="293"/>
        <v>0.1111111111111111</v>
      </c>
      <c r="CN40" s="61">
        <f t="shared" si="293"/>
        <v>0.29629629629629628</v>
      </c>
      <c r="CO40" s="61">
        <f t="shared" si="293"/>
        <v>0.55555555555555558</v>
      </c>
      <c r="CP40" s="48">
        <f t="shared" si="281"/>
        <v>1</v>
      </c>
      <c r="CR40" s="94"/>
      <c r="CS40" s="29" t="s">
        <v>62</v>
      </c>
      <c r="CT40" s="61">
        <f t="shared" ref="CT40:CX40" si="294">CT18/$CY18</f>
        <v>0.1111111111111111</v>
      </c>
      <c r="CU40" s="61">
        <f t="shared" si="294"/>
        <v>3.7037037037037035E-2</v>
      </c>
      <c r="CV40" s="61">
        <f t="shared" si="294"/>
        <v>0.22222222222222221</v>
      </c>
      <c r="CW40" s="61">
        <f t="shared" si="294"/>
        <v>0.25925925925925924</v>
      </c>
      <c r="CX40" s="61">
        <f t="shared" si="294"/>
        <v>0.37037037037037035</v>
      </c>
      <c r="CY40" s="75">
        <f t="shared" si="283"/>
        <v>0.99999999999999989</v>
      </c>
    </row>
    <row r="41" spans="1:103" ht="15.6">
      <c r="A41" s="87"/>
      <c r="B41" s="16" t="s">
        <v>79</v>
      </c>
      <c r="C41" s="64">
        <f t="shared" ref="C41:G41" si="295">C19/$H19</f>
        <v>0.66666666666666663</v>
      </c>
      <c r="D41" s="64">
        <f t="shared" si="295"/>
        <v>0.33333333333333331</v>
      </c>
      <c r="E41" s="64">
        <f t="shared" si="295"/>
        <v>0</v>
      </c>
      <c r="F41" s="64">
        <f t="shared" si="295"/>
        <v>0</v>
      </c>
      <c r="G41" s="64">
        <f t="shared" si="295"/>
        <v>0</v>
      </c>
      <c r="H41" s="67">
        <f t="shared" si="263"/>
        <v>1</v>
      </c>
      <c r="J41" s="87"/>
      <c r="K41" s="16" t="s">
        <v>79</v>
      </c>
      <c r="L41" s="64">
        <f t="shared" ref="L41:P41" si="296">L19/$Q19</f>
        <v>0.1111111111111111</v>
      </c>
      <c r="M41" s="64">
        <f t="shared" si="296"/>
        <v>0</v>
      </c>
      <c r="N41" s="64">
        <f t="shared" si="252"/>
        <v>0.33333333333333331</v>
      </c>
      <c r="O41" s="64">
        <f t="shared" si="296"/>
        <v>0.33333333333333331</v>
      </c>
      <c r="P41" s="64">
        <f t="shared" si="296"/>
        <v>0.22222222222222221</v>
      </c>
      <c r="Q41" s="37">
        <f t="shared" si="265"/>
        <v>0.99999999999999989</v>
      </c>
      <c r="S41" s="94"/>
      <c r="T41" s="16" t="s">
        <v>79</v>
      </c>
      <c r="U41" s="79">
        <f t="shared" ref="U41:Y41" si="297">U19/$Z19</f>
        <v>0.33333333333333331</v>
      </c>
      <c r="V41" s="79">
        <f t="shared" si="297"/>
        <v>0.33333333333333331</v>
      </c>
      <c r="W41" s="79">
        <f t="shared" si="297"/>
        <v>0</v>
      </c>
      <c r="X41" s="79">
        <f t="shared" si="297"/>
        <v>0.22222222222222221</v>
      </c>
      <c r="Y41" s="79">
        <f t="shared" si="297"/>
        <v>0.1111111111111111</v>
      </c>
      <c r="Z41" s="47">
        <f t="shared" si="267"/>
        <v>1</v>
      </c>
      <c r="AB41" s="94"/>
      <c r="AC41" s="16" t="s">
        <v>79</v>
      </c>
      <c r="AD41" s="79">
        <f t="shared" ref="AD41:AH41" si="298">AD19/$AI19</f>
        <v>0.33333333333333331</v>
      </c>
      <c r="AE41" s="79">
        <f t="shared" si="298"/>
        <v>0.44444444444444442</v>
      </c>
      <c r="AF41" s="79">
        <f t="shared" si="298"/>
        <v>0.1111111111111111</v>
      </c>
      <c r="AG41" s="79">
        <f t="shared" si="298"/>
        <v>0</v>
      </c>
      <c r="AH41" s="79">
        <f t="shared" si="298"/>
        <v>0.1111111111111111</v>
      </c>
      <c r="AI41" s="47">
        <f t="shared" si="269"/>
        <v>1</v>
      </c>
      <c r="AK41" s="94"/>
      <c r="AL41" s="16" t="s">
        <v>79</v>
      </c>
      <c r="AM41" s="79">
        <f t="shared" ref="AM41:AQ41" si="299">AM19/$AR19</f>
        <v>1</v>
      </c>
      <c r="AN41" s="79">
        <f t="shared" si="299"/>
        <v>0</v>
      </c>
      <c r="AO41" s="79">
        <f t="shared" si="299"/>
        <v>0</v>
      </c>
      <c r="AP41" s="79">
        <f t="shared" si="299"/>
        <v>0</v>
      </c>
      <c r="AQ41" s="79">
        <f t="shared" si="299"/>
        <v>0</v>
      </c>
      <c r="AR41" s="47">
        <f t="shared" si="271"/>
        <v>1</v>
      </c>
      <c r="AT41" s="94"/>
      <c r="AU41" s="16" t="s">
        <v>79</v>
      </c>
      <c r="AV41" s="79">
        <f t="shared" ref="AV41:AZ41" si="300">AV19/$BA19</f>
        <v>0</v>
      </c>
      <c r="AW41" s="79">
        <f t="shared" si="300"/>
        <v>0.22222222222222221</v>
      </c>
      <c r="AX41" s="79">
        <f t="shared" si="300"/>
        <v>0.22222222222222221</v>
      </c>
      <c r="AY41" s="79">
        <f t="shared" si="300"/>
        <v>0.1111111111111111</v>
      </c>
      <c r="AZ41" s="79">
        <f t="shared" si="300"/>
        <v>0.44444444444444442</v>
      </c>
      <c r="BA41" s="47">
        <f t="shared" si="273"/>
        <v>1</v>
      </c>
      <c r="BC41" s="94"/>
      <c r="BD41" s="16" t="s">
        <v>79</v>
      </c>
      <c r="BE41" s="65">
        <f t="shared" ref="BE41:BL41" si="301">BE19/$BM19</f>
        <v>0.16666666666666666</v>
      </c>
      <c r="BF41" s="65">
        <f t="shared" si="301"/>
        <v>0</v>
      </c>
      <c r="BG41" s="65">
        <f t="shared" si="301"/>
        <v>8.3333333333333329E-2</v>
      </c>
      <c r="BH41" s="65">
        <f t="shared" si="301"/>
        <v>0.125</v>
      </c>
      <c r="BI41" s="65">
        <f t="shared" si="301"/>
        <v>0.25</v>
      </c>
      <c r="BJ41" s="65">
        <f t="shared" si="301"/>
        <v>0.125</v>
      </c>
      <c r="BK41" s="65">
        <f t="shared" si="301"/>
        <v>0.25</v>
      </c>
      <c r="BL41" s="65">
        <f t="shared" si="301"/>
        <v>0</v>
      </c>
      <c r="BM41" s="37">
        <f t="shared" si="275"/>
        <v>1</v>
      </c>
      <c r="BO41" s="94"/>
      <c r="BP41" s="16" t="s">
        <v>79</v>
      </c>
      <c r="BQ41" s="65">
        <f t="shared" ref="BQ41:BU41" si="302">BQ19/$BV19</f>
        <v>0</v>
      </c>
      <c r="BR41" s="65">
        <f t="shared" si="302"/>
        <v>0.22222222222222221</v>
      </c>
      <c r="BS41" s="65">
        <f t="shared" si="302"/>
        <v>0.22222222222222221</v>
      </c>
      <c r="BT41" s="65">
        <f t="shared" si="302"/>
        <v>0.44444444444444442</v>
      </c>
      <c r="BU41" s="65">
        <f t="shared" si="302"/>
        <v>0.1111111111111111</v>
      </c>
      <c r="BV41" s="47">
        <f t="shared" si="277"/>
        <v>1</v>
      </c>
      <c r="BX41" s="94"/>
      <c r="BY41" s="16" t="s">
        <v>79</v>
      </c>
      <c r="BZ41" s="65">
        <f t="shared" ref="BZ41:CF41" si="303">BZ19/$CG19</f>
        <v>0.13043478260869565</v>
      </c>
      <c r="CA41" s="65">
        <f t="shared" si="303"/>
        <v>8.6956521739130432E-2</v>
      </c>
      <c r="CB41" s="65">
        <f t="shared" si="303"/>
        <v>0.21739130434782608</v>
      </c>
      <c r="CC41" s="65">
        <f t="shared" si="303"/>
        <v>8.6956521739130432E-2</v>
      </c>
      <c r="CD41" s="65">
        <f t="shared" si="303"/>
        <v>0.30434782608695654</v>
      </c>
      <c r="CE41" s="65">
        <f t="shared" si="303"/>
        <v>0.17391304347826086</v>
      </c>
      <c r="CF41" s="65">
        <f t="shared" si="303"/>
        <v>0</v>
      </c>
      <c r="CG41" s="60">
        <f t="shared" si="279"/>
        <v>1</v>
      </c>
      <c r="CI41" s="94"/>
      <c r="CJ41" s="16" t="s">
        <v>79</v>
      </c>
      <c r="CK41" s="65">
        <f t="shared" ref="CK41:CO41" si="304">CK19/$CP19</f>
        <v>0.1111111111111111</v>
      </c>
      <c r="CL41" s="65">
        <f t="shared" si="304"/>
        <v>0</v>
      </c>
      <c r="CM41" s="65">
        <f t="shared" si="304"/>
        <v>0.22222222222222221</v>
      </c>
      <c r="CN41" s="65">
        <f t="shared" si="304"/>
        <v>0.22222222222222221</v>
      </c>
      <c r="CO41" s="65">
        <f t="shared" si="304"/>
        <v>0.44444444444444442</v>
      </c>
      <c r="CP41" s="47">
        <f t="shared" si="281"/>
        <v>1</v>
      </c>
      <c r="CR41" s="94"/>
      <c r="CS41" s="16" t="s">
        <v>79</v>
      </c>
      <c r="CT41" s="65">
        <f t="shared" ref="CT41:CX41" si="305">CT19/$CY19</f>
        <v>0.1111111111111111</v>
      </c>
      <c r="CU41" s="65">
        <f t="shared" si="305"/>
        <v>0.1111111111111111</v>
      </c>
      <c r="CV41" s="65">
        <f t="shared" si="305"/>
        <v>0.33333333333333331</v>
      </c>
      <c r="CW41" s="65">
        <f t="shared" si="305"/>
        <v>0.22222222222222221</v>
      </c>
      <c r="CX41" s="65">
        <f t="shared" si="305"/>
        <v>0.22222222222222221</v>
      </c>
      <c r="CY41" s="76">
        <f t="shared" si="283"/>
        <v>1</v>
      </c>
    </row>
    <row r="42" spans="1:103" ht="15.6">
      <c r="A42" s="87"/>
      <c r="B42" s="29" t="s">
        <v>83</v>
      </c>
      <c r="C42" s="63">
        <f t="shared" ref="C42:G43" si="306">C20/$H20</f>
        <v>0</v>
      </c>
      <c r="D42" s="63">
        <f t="shared" si="306"/>
        <v>0.5</v>
      </c>
      <c r="E42" s="63">
        <f t="shared" si="306"/>
        <v>0</v>
      </c>
      <c r="F42" s="63">
        <f t="shared" si="306"/>
        <v>0.5</v>
      </c>
      <c r="G42" s="63">
        <f t="shared" si="306"/>
        <v>0</v>
      </c>
      <c r="H42" s="62">
        <f t="shared" si="263"/>
        <v>1</v>
      </c>
      <c r="J42" s="87"/>
      <c r="K42" s="29" t="s">
        <v>83</v>
      </c>
      <c r="L42" s="63">
        <f t="shared" ref="L42:P42" si="307">L20/$Q20</f>
        <v>0</v>
      </c>
      <c r="M42" s="63">
        <f t="shared" si="307"/>
        <v>0</v>
      </c>
      <c r="N42" s="63">
        <f t="shared" si="252"/>
        <v>0</v>
      </c>
      <c r="O42" s="63">
        <f t="shared" si="307"/>
        <v>0</v>
      </c>
      <c r="P42" s="63">
        <f t="shared" si="307"/>
        <v>1</v>
      </c>
      <c r="Q42" s="36">
        <f t="shared" si="265"/>
        <v>1</v>
      </c>
      <c r="S42" s="94"/>
      <c r="T42" s="29" t="s">
        <v>83</v>
      </c>
      <c r="U42" s="78">
        <f t="shared" ref="U42:Y42" si="308">U20/$Z20</f>
        <v>0</v>
      </c>
      <c r="V42" s="78">
        <f t="shared" si="308"/>
        <v>0.5</v>
      </c>
      <c r="W42" s="78">
        <f t="shared" si="308"/>
        <v>0</v>
      </c>
      <c r="X42" s="78">
        <f t="shared" si="308"/>
        <v>0</v>
      </c>
      <c r="Y42" s="78">
        <f t="shared" si="308"/>
        <v>0.5</v>
      </c>
      <c r="Z42" s="48">
        <f t="shared" si="267"/>
        <v>1</v>
      </c>
      <c r="AB42" s="94"/>
      <c r="AC42" s="29" t="s">
        <v>83</v>
      </c>
      <c r="AD42" s="78">
        <f t="shared" ref="AD42:AH42" si="309">AD20/$AI20</f>
        <v>0.5</v>
      </c>
      <c r="AE42" s="78">
        <f t="shared" si="309"/>
        <v>0</v>
      </c>
      <c r="AF42" s="78">
        <f t="shared" si="309"/>
        <v>0.5</v>
      </c>
      <c r="AG42" s="78">
        <f t="shared" si="309"/>
        <v>0</v>
      </c>
      <c r="AH42" s="78">
        <f t="shared" si="309"/>
        <v>0</v>
      </c>
      <c r="AI42" s="48">
        <f t="shared" si="269"/>
        <v>1</v>
      </c>
      <c r="AK42" s="94"/>
      <c r="AL42" s="29" t="s">
        <v>83</v>
      </c>
      <c r="AM42" s="78">
        <f t="shared" ref="AM42:AQ42" si="310">AM20/$AR20</f>
        <v>0.5</v>
      </c>
      <c r="AN42" s="78">
        <f t="shared" si="310"/>
        <v>0</v>
      </c>
      <c r="AO42" s="78">
        <f t="shared" si="310"/>
        <v>0.5</v>
      </c>
      <c r="AP42" s="78">
        <f t="shared" si="310"/>
        <v>0</v>
      </c>
      <c r="AQ42" s="78">
        <f t="shared" si="310"/>
        <v>0</v>
      </c>
      <c r="AR42" s="48">
        <f t="shared" si="271"/>
        <v>1</v>
      </c>
      <c r="AT42" s="94"/>
      <c r="AU42" s="29" t="s">
        <v>83</v>
      </c>
      <c r="AV42" s="78">
        <f t="shared" ref="AV42:AZ42" si="311">AV20/$BA20</f>
        <v>0</v>
      </c>
      <c r="AW42" s="78">
        <f t="shared" si="311"/>
        <v>0</v>
      </c>
      <c r="AX42" s="78">
        <f t="shared" si="311"/>
        <v>0</v>
      </c>
      <c r="AY42" s="78">
        <f t="shared" si="311"/>
        <v>0</v>
      </c>
      <c r="AZ42" s="78">
        <f t="shared" si="311"/>
        <v>1</v>
      </c>
      <c r="BA42" s="48">
        <f t="shared" si="273"/>
        <v>1</v>
      </c>
      <c r="BC42" s="94"/>
      <c r="BD42" s="29" t="s">
        <v>83</v>
      </c>
      <c r="BE42" s="61">
        <f t="shared" ref="BE42:BL42" si="312">BE20/$BM20</f>
        <v>0.5</v>
      </c>
      <c r="BF42" s="61">
        <f t="shared" si="312"/>
        <v>0</v>
      </c>
      <c r="BG42" s="61">
        <f t="shared" si="312"/>
        <v>0</v>
      </c>
      <c r="BH42" s="61">
        <f t="shared" si="312"/>
        <v>0</v>
      </c>
      <c r="BI42" s="61">
        <f t="shared" si="312"/>
        <v>0</v>
      </c>
      <c r="BJ42" s="61">
        <f t="shared" si="312"/>
        <v>0.25</v>
      </c>
      <c r="BK42" s="61">
        <f t="shared" si="312"/>
        <v>0.25</v>
      </c>
      <c r="BL42" s="61">
        <f t="shared" si="312"/>
        <v>0</v>
      </c>
      <c r="BM42" s="36">
        <f t="shared" si="275"/>
        <v>1</v>
      </c>
      <c r="BO42" s="94"/>
      <c r="BP42" s="29" t="s">
        <v>83</v>
      </c>
      <c r="BQ42" s="61">
        <f t="shared" ref="BQ42:BU42" si="313">BQ20/$BV20</f>
        <v>0</v>
      </c>
      <c r="BR42" s="61">
        <f t="shared" si="313"/>
        <v>0</v>
      </c>
      <c r="BS42" s="61">
        <f t="shared" si="313"/>
        <v>0</v>
      </c>
      <c r="BT42" s="61">
        <f t="shared" si="313"/>
        <v>0.5</v>
      </c>
      <c r="BU42" s="61">
        <f t="shared" si="313"/>
        <v>0.5</v>
      </c>
      <c r="BV42" s="48">
        <f t="shared" si="277"/>
        <v>1</v>
      </c>
      <c r="BX42" s="94"/>
      <c r="BY42" s="29" t="s">
        <v>83</v>
      </c>
      <c r="BZ42" s="61">
        <f t="shared" ref="BZ42:CF42" si="314">BZ20/$CG20</f>
        <v>0.16666666666666666</v>
      </c>
      <c r="CA42" s="61">
        <f t="shared" si="314"/>
        <v>0.33333333333333331</v>
      </c>
      <c r="CB42" s="61">
        <f t="shared" si="314"/>
        <v>0.16666666666666666</v>
      </c>
      <c r="CC42" s="61">
        <f t="shared" si="314"/>
        <v>0.16666666666666666</v>
      </c>
      <c r="CD42" s="61">
        <f t="shared" si="314"/>
        <v>0</v>
      </c>
      <c r="CE42" s="61">
        <f t="shared" si="314"/>
        <v>0.16666666666666666</v>
      </c>
      <c r="CF42" s="61">
        <f t="shared" si="314"/>
        <v>0</v>
      </c>
      <c r="CG42" s="46">
        <f t="shared" si="279"/>
        <v>0.99999999999999989</v>
      </c>
      <c r="CI42" s="94"/>
      <c r="CJ42" s="29" t="s">
        <v>83</v>
      </c>
      <c r="CK42" s="61">
        <f t="shared" ref="CK42:CO42" si="315">CK20/$CP20</f>
        <v>0</v>
      </c>
      <c r="CL42" s="61">
        <f t="shared" si="315"/>
        <v>0</v>
      </c>
      <c r="CM42" s="61">
        <f t="shared" si="315"/>
        <v>0</v>
      </c>
      <c r="CN42" s="61">
        <f t="shared" si="315"/>
        <v>0</v>
      </c>
      <c r="CO42" s="61">
        <f t="shared" si="315"/>
        <v>1</v>
      </c>
      <c r="CP42" s="48">
        <f t="shared" si="281"/>
        <v>1</v>
      </c>
      <c r="CR42" s="94"/>
      <c r="CS42" s="29" t="s">
        <v>83</v>
      </c>
      <c r="CT42" s="61">
        <f t="shared" ref="CT42:CX42" si="316">CT20/$CY20</f>
        <v>0</v>
      </c>
      <c r="CU42" s="61">
        <f t="shared" si="316"/>
        <v>0</v>
      </c>
      <c r="CV42" s="61">
        <f t="shared" si="316"/>
        <v>0.5</v>
      </c>
      <c r="CW42" s="61">
        <f t="shared" si="316"/>
        <v>0</v>
      </c>
      <c r="CX42" s="61">
        <f t="shared" si="316"/>
        <v>0.5</v>
      </c>
      <c r="CY42" s="75">
        <f t="shared" si="283"/>
        <v>1</v>
      </c>
    </row>
    <row r="43" spans="1:103" ht="15.6">
      <c r="A43" s="87"/>
      <c r="B43" s="16" t="s">
        <v>365</v>
      </c>
      <c r="C43" s="64">
        <f t="shared" si="306"/>
        <v>0.41</v>
      </c>
      <c r="D43" s="64">
        <f t="shared" si="306"/>
        <v>0.24</v>
      </c>
      <c r="E43" s="64">
        <f t="shared" si="306"/>
        <v>0.16</v>
      </c>
      <c r="F43" s="64">
        <f t="shared" si="306"/>
        <v>0.16</v>
      </c>
      <c r="G43" s="64">
        <f t="shared" si="306"/>
        <v>0.03</v>
      </c>
      <c r="H43" s="67">
        <f t="shared" ref="H43" si="317">SUM(H38:H42)</f>
        <v>5</v>
      </c>
      <c r="J43" s="87"/>
      <c r="K43" s="16" t="s">
        <v>365</v>
      </c>
      <c r="L43" s="64">
        <f t="shared" ref="L43:P43" si="318">L21/$Q21</f>
        <v>0.11</v>
      </c>
      <c r="M43" s="64">
        <f t="shared" si="318"/>
        <v>0.06</v>
      </c>
      <c r="N43" s="64">
        <f t="shared" si="252"/>
        <v>0.26</v>
      </c>
      <c r="O43" s="64">
        <f t="shared" si="318"/>
        <v>0.31</v>
      </c>
      <c r="P43" s="64">
        <f t="shared" si="318"/>
        <v>0.26</v>
      </c>
      <c r="Q43" s="37">
        <f t="shared" ref="Q43" si="319">SUM(Q38:Q42)</f>
        <v>5</v>
      </c>
      <c r="S43" s="94"/>
      <c r="T43" s="16" t="s">
        <v>365</v>
      </c>
      <c r="U43" s="79">
        <f t="shared" ref="U43:Y43" si="320">U21/$Z21</f>
        <v>0.14000000000000001</v>
      </c>
      <c r="V43" s="79">
        <f t="shared" si="320"/>
        <v>0.26</v>
      </c>
      <c r="W43" s="79">
        <f t="shared" si="320"/>
        <v>0.16</v>
      </c>
      <c r="X43" s="79">
        <f t="shared" si="320"/>
        <v>0.21</v>
      </c>
      <c r="Y43" s="79">
        <f t="shared" si="320"/>
        <v>0.23</v>
      </c>
      <c r="Z43" s="47">
        <f t="shared" ref="Z43" si="321">SUM(Z38:Z42)</f>
        <v>5</v>
      </c>
      <c r="AB43" s="94"/>
      <c r="AC43" s="16" t="s">
        <v>365</v>
      </c>
      <c r="AD43" s="79">
        <f t="shared" ref="AD43:AH43" si="322">AD21/$AI21</f>
        <v>0.34</v>
      </c>
      <c r="AE43" s="79">
        <f t="shared" si="322"/>
        <v>0.23</v>
      </c>
      <c r="AF43" s="79">
        <f t="shared" si="322"/>
        <v>0.18</v>
      </c>
      <c r="AG43" s="79">
        <f t="shared" si="322"/>
        <v>0.06</v>
      </c>
      <c r="AH43" s="79">
        <f t="shared" si="322"/>
        <v>0.19</v>
      </c>
      <c r="AI43" s="47">
        <f t="shared" ref="AI43" si="323">SUM(AI38:AI42)</f>
        <v>5</v>
      </c>
      <c r="AK43" s="94"/>
      <c r="AL43" s="16" t="s">
        <v>365</v>
      </c>
      <c r="AM43" s="79">
        <f t="shared" ref="AM43:AQ43" si="324">AM21/$AR21</f>
        <v>0.83</v>
      </c>
      <c r="AN43" s="79">
        <f t="shared" si="324"/>
        <v>0.08</v>
      </c>
      <c r="AO43" s="79">
        <f t="shared" si="324"/>
        <v>0.04</v>
      </c>
      <c r="AP43" s="79">
        <f t="shared" si="324"/>
        <v>0.01</v>
      </c>
      <c r="AQ43" s="79">
        <f t="shared" si="324"/>
        <v>0.04</v>
      </c>
      <c r="AR43" s="47">
        <f t="shared" ref="AR43" si="325">SUM(AR38:AR42)</f>
        <v>5</v>
      </c>
      <c r="AT43" s="94"/>
      <c r="AU43" s="16" t="s">
        <v>365</v>
      </c>
      <c r="AV43" s="79">
        <f t="shared" ref="AV43:AZ43" si="326">AV21/$BA21</f>
        <v>7.0000000000000007E-2</v>
      </c>
      <c r="AW43" s="79">
        <f t="shared" si="326"/>
        <v>0.06</v>
      </c>
      <c r="AX43" s="79">
        <f t="shared" si="326"/>
        <v>0.14000000000000001</v>
      </c>
      <c r="AY43" s="79">
        <f t="shared" si="326"/>
        <v>0.31</v>
      </c>
      <c r="AZ43" s="79">
        <f t="shared" si="326"/>
        <v>0.42</v>
      </c>
      <c r="BA43" s="47">
        <f t="shared" ref="BA43" si="327">SUM(BA38:BA42)</f>
        <v>5</v>
      </c>
      <c r="BC43" s="94"/>
      <c r="BD43" s="16" t="s">
        <v>365</v>
      </c>
      <c r="BE43" s="65">
        <f t="shared" ref="BE43:BL43" si="328">BE21/$BM21</f>
        <v>0.21544715447154472</v>
      </c>
      <c r="BF43" s="65">
        <f t="shared" si="328"/>
        <v>3.6585365853658534E-2</v>
      </c>
      <c r="BG43" s="65">
        <f t="shared" si="328"/>
        <v>9.7560975609756101E-2</v>
      </c>
      <c r="BH43" s="65">
        <f t="shared" si="328"/>
        <v>8.5365853658536592E-2</v>
      </c>
      <c r="BI43" s="65">
        <f t="shared" si="328"/>
        <v>0.14634146341463414</v>
      </c>
      <c r="BJ43" s="65">
        <f t="shared" si="328"/>
        <v>0.15853658536585366</v>
      </c>
      <c r="BK43" s="65">
        <f t="shared" si="328"/>
        <v>0.25203252032520324</v>
      </c>
      <c r="BL43" s="65">
        <f t="shared" si="328"/>
        <v>8.130081300813009E-3</v>
      </c>
      <c r="BM43" s="37">
        <f t="shared" si="275"/>
        <v>1</v>
      </c>
      <c r="BO43" s="94"/>
      <c r="BP43" s="16" t="s">
        <v>365</v>
      </c>
      <c r="BQ43" s="65">
        <f t="shared" ref="BQ43:BU43" si="329">BQ21/$BV21</f>
        <v>0.14000000000000001</v>
      </c>
      <c r="BR43" s="65">
        <f t="shared" si="329"/>
        <v>0.16</v>
      </c>
      <c r="BS43" s="65">
        <f t="shared" si="329"/>
        <v>0.3</v>
      </c>
      <c r="BT43" s="65">
        <f t="shared" si="329"/>
        <v>0.27</v>
      </c>
      <c r="BU43" s="65">
        <f t="shared" si="329"/>
        <v>0.13</v>
      </c>
      <c r="BV43" s="47">
        <f t="shared" ref="BV43" si="330">SUM(BV38:BV42)</f>
        <v>5</v>
      </c>
      <c r="BX43" s="94"/>
      <c r="BY43" s="16" t="s">
        <v>365</v>
      </c>
      <c r="BZ43" s="65">
        <f t="shared" ref="BZ43:CF43" si="331">BZ21/$CG21</f>
        <v>0.1417004048582996</v>
      </c>
      <c r="CA43" s="65">
        <f t="shared" si="331"/>
        <v>0.13360323886639677</v>
      </c>
      <c r="CB43" s="65">
        <f t="shared" si="331"/>
        <v>0.19028340080971659</v>
      </c>
      <c r="CC43" s="65">
        <f t="shared" si="331"/>
        <v>0.13765182186234817</v>
      </c>
      <c r="CD43" s="65">
        <f t="shared" si="331"/>
        <v>0.21862348178137653</v>
      </c>
      <c r="CE43" s="65">
        <f t="shared" si="331"/>
        <v>0.16194331983805668</v>
      </c>
      <c r="CF43" s="65">
        <f t="shared" si="331"/>
        <v>1.6194331983805668E-2</v>
      </c>
      <c r="CG43" s="60">
        <f t="shared" si="279"/>
        <v>1</v>
      </c>
      <c r="CI43" s="94"/>
      <c r="CJ43" s="16" t="s">
        <v>365</v>
      </c>
      <c r="CK43" s="65">
        <f t="shared" ref="CK43:CO43" si="332">CK21/$CP21</f>
        <v>0.03</v>
      </c>
      <c r="CL43" s="65">
        <f t="shared" si="332"/>
        <v>0</v>
      </c>
      <c r="CM43" s="65">
        <f t="shared" si="332"/>
        <v>0.13</v>
      </c>
      <c r="CN43" s="65">
        <f t="shared" si="332"/>
        <v>0.32</v>
      </c>
      <c r="CO43" s="65">
        <f t="shared" si="332"/>
        <v>0.52</v>
      </c>
      <c r="CP43" s="47">
        <f t="shared" ref="CP43" si="333">SUM(CP38:CP42)</f>
        <v>5</v>
      </c>
      <c r="CR43" s="94"/>
      <c r="CS43" s="16" t="s">
        <v>365</v>
      </c>
      <c r="CT43" s="65">
        <f t="shared" ref="CT43:CX43" si="334">CT21/$CY21</f>
        <v>0.04</v>
      </c>
      <c r="CU43" s="65">
        <f t="shared" si="334"/>
        <v>0.05</v>
      </c>
      <c r="CV43" s="65">
        <f t="shared" si="334"/>
        <v>0.27</v>
      </c>
      <c r="CW43" s="65">
        <f t="shared" si="334"/>
        <v>0.25</v>
      </c>
      <c r="CX43" s="65">
        <f t="shared" si="334"/>
        <v>0.39</v>
      </c>
      <c r="CY43" s="76">
        <f t="shared" ref="CY43" si="335">SUM(CY38:CY42)</f>
        <v>5</v>
      </c>
    </row>
    <row r="44" spans="1:103" ht="15.6">
      <c r="A44" s="80"/>
      <c r="B44" s="80"/>
      <c r="C44" s="80"/>
      <c r="D44" s="80"/>
      <c r="E44" s="80"/>
      <c r="F44" s="80"/>
      <c r="G44" s="80"/>
      <c r="H44" s="80"/>
      <c r="I44" s="81"/>
      <c r="J44" s="80"/>
      <c r="K44" s="80"/>
      <c r="L44" s="80"/>
      <c r="M44" s="80"/>
      <c r="N44" s="80"/>
      <c r="O44" s="80"/>
      <c r="P44" s="80"/>
      <c r="Q44" s="80"/>
      <c r="R44" s="81"/>
      <c r="S44" s="80"/>
      <c r="T44" s="80"/>
      <c r="U44" s="80"/>
      <c r="V44" s="80"/>
      <c r="W44" s="80"/>
      <c r="X44" s="80"/>
      <c r="Y44" s="80"/>
      <c r="Z44" s="80"/>
      <c r="AA44" s="81"/>
      <c r="AB44" s="80"/>
      <c r="AC44" s="80"/>
      <c r="AD44" s="80"/>
      <c r="AE44" s="80"/>
      <c r="AF44" s="80"/>
      <c r="AG44" s="80"/>
      <c r="AH44" s="80"/>
      <c r="AI44" s="80"/>
      <c r="AJ44" s="81"/>
      <c r="AK44" s="80"/>
      <c r="AL44" s="80"/>
      <c r="AM44" s="80"/>
      <c r="AN44" s="80"/>
      <c r="AO44" s="80"/>
      <c r="AP44" s="80"/>
      <c r="AQ44" s="80"/>
      <c r="AR44" s="80"/>
      <c r="AS44" s="81"/>
      <c r="AT44" s="80"/>
      <c r="AU44" s="80"/>
      <c r="AV44" s="80"/>
      <c r="AW44" s="80"/>
      <c r="AX44" s="80"/>
      <c r="AY44" s="80"/>
      <c r="AZ44" s="80"/>
      <c r="BA44" s="80"/>
      <c r="BB44" s="81"/>
      <c r="BC44" s="80"/>
      <c r="BD44" s="80"/>
      <c r="BE44" s="80"/>
      <c r="BF44" s="80"/>
      <c r="BG44" s="80"/>
      <c r="BH44" s="80"/>
      <c r="BI44" s="80"/>
      <c r="BJ44" s="80"/>
      <c r="BK44" s="80"/>
      <c r="BL44" s="80"/>
      <c r="BM44" s="80"/>
      <c r="BN44" s="81"/>
      <c r="BO44" s="80"/>
      <c r="BP44" s="80"/>
      <c r="BQ44" s="80"/>
      <c r="BR44" s="80"/>
      <c r="BS44" s="80"/>
      <c r="BT44" s="80"/>
      <c r="BU44" s="80"/>
      <c r="BV44" s="80"/>
      <c r="BW44" s="81"/>
      <c r="BX44" s="80"/>
      <c r="BY44" s="80"/>
      <c r="BZ44" s="80"/>
      <c r="CA44" s="80"/>
      <c r="CB44" s="80"/>
      <c r="CC44" s="80"/>
      <c r="CD44" s="80"/>
      <c r="CE44" s="80"/>
      <c r="CF44" s="80"/>
      <c r="CG44" s="80"/>
      <c r="CH44" s="81"/>
      <c r="CI44" s="80"/>
      <c r="CJ44" s="80"/>
      <c r="CK44" s="80"/>
      <c r="CL44" s="80"/>
      <c r="CM44" s="80"/>
      <c r="CN44" s="80"/>
      <c r="CO44" s="80"/>
      <c r="CP44" s="80"/>
      <c r="CQ44" s="81"/>
      <c r="CR44" s="80"/>
      <c r="CS44" s="80"/>
      <c r="CT44" s="80"/>
      <c r="CU44" s="80"/>
      <c r="CV44" s="80"/>
      <c r="CW44" s="80"/>
      <c r="CX44" s="80"/>
      <c r="CY44" s="80"/>
    </row>
    <row r="45" spans="1:103" ht="26.1" customHeight="1">
      <c r="A45" s="80" t="s">
        <v>367</v>
      </c>
      <c r="B45" s="80"/>
      <c r="C45" s="80"/>
      <c r="D45" s="80"/>
      <c r="E45" s="80"/>
      <c r="F45" s="80"/>
      <c r="G45" s="80"/>
      <c r="H45" s="80"/>
      <c r="I45" s="81"/>
      <c r="J45" s="80" t="s">
        <v>367</v>
      </c>
      <c r="K45" s="80">
        <f>AVERAGE(Tabela2[Como você avalia o seu grau de importância do clima na escolha das refeições que você costuma adquirir?])</f>
        <v>3.55</v>
      </c>
      <c r="L45" s="80"/>
      <c r="M45" s="80"/>
      <c r="N45" s="80"/>
      <c r="O45" s="80"/>
      <c r="P45" s="80"/>
      <c r="Q45" s="80"/>
      <c r="R45" s="81"/>
      <c r="S45" s="80" t="s">
        <v>367</v>
      </c>
      <c r="T45" s="80">
        <f>AVERAGE(Tabela2[Como você avalia o seu grau interesse em comprar bowls* quentes?])</f>
        <v>3.13</v>
      </c>
      <c r="U45" s="80"/>
      <c r="V45" s="80"/>
      <c r="W45" s="80"/>
      <c r="X45" s="80"/>
      <c r="Y45" s="80"/>
      <c r="Z45" s="80"/>
      <c r="AA45" s="81"/>
      <c r="AB45" s="80" t="s">
        <v>367</v>
      </c>
      <c r="AC45" s="80">
        <f>AVERAGE('Respostas ao formulário'!I68:I101)</f>
        <v>2.7058823529411766</v>
      </c>
      <c r="AD45" s="80"/>
      <c r="AE45" s="80"/>
      <c r="AF45" s="80"/>
      <c r="AG45" s="80"/>
      <c r="AH45" s="80"/>
      <c r="AI45" s="80"/>
      <c r="AJ45" s="81"/>
      <c r="AK45" s="80" t="s">
        <v>367</v>
      </c>
      <c r="AL45" s="80">
        <f>AVERAGE(Tabela2["A Olga Ri é a primeira marca que vem à mente quando penso em comprar opções quentes,"
O quanto você concorda com essa afirmação?])</f>
        <v>1.35</v>
      </c>
      <c r="AM45" s="80"/>
      <c r="AN45" s="80"/>
      <c r="AO45" s="80"/>
      <c r="AP45" s="80"/>
      <c r="AQ45" s="80"/>
      <c r="AR45" s="80"/>
      <c r="AS45" s="81"/>
      <c r="AT45" s="80" t="s">
        <v>367</v>
      </c>
      <c r="AU45" s="80">
        <f>AVERAGE(Tabela2[Considerando as opções de ingredientes quentes disponíveis para montar os bowls no Olga RI: 
Churrasco de Legumes com Cogumelos, Churrasco de Legumes com Frango, Gratinado e Salmão, Missô Bowl com Frango Crispy, Missô Bowl com Tofu.
Qual é o seu grau de])</f>
        <v>3.95</v>
      </c>
      <c r="AV45" s="80"/>
      <c r="AW45" s="80"/>
      <c r="AX45" s="80"/>
      <c r="AY45" s="80"/>
      <c r="AZ45" s="80"/>
      <c r="BA45" s="80"/>
      <c r="BB45" s="81"/>
      <c r="BC45" s="80" t="s">
        <v>373</v>
      </c>
      <c r="BD45" s="80">
        <f>BM21/100</f>
        <v>2.46</v>
      </c>
      <c r="BE45" s="80"/>
      <c r="BF45" s="80"/>
      <c r="BG45" s="80"/>
      <c r="BH45" s="80"/>
      <c r="BI45" s="80"/>
      <c r="BJ45" s="80"/>
      <c r="BK45" s="80"/>
      <c r="BL45" s="80"/>
      <c r="BM45" s="80"/>
      <c r="BN45" s="81"/>
      <c r="BO45" s="80" t="s">
        <v>367</v>
      </c>
      <c r="BP45" s="80">
        <f>AVERAGE(Tabela2[Qual a probabilidade de mudanças realizadas no cardápio de opções quentes influenciarem a sua decisão de compra dos bowls quentes?])</f>
        <v>3.09</v>
      </c>
      <c r="BQ45" s="80"/>
      <c r="BR45" s="80"/>
      <c r="BS45" s="80"/>
      <c r="BT45" s="80"/>
      <c r="BU45" s="80"/>
      <c r="BV45" s="80"/>
      <c r="BW45" s="81"/>
      <c r="BX45" s="80" t="s">
        <v>373</v>
      </c>
      <c r="BY45" s="80">
        <f>CG21/100</f>
        <v>2.4700000000000002</v>
      </c>
      <c r="BZ45" s="80"/>
      <c r="CA45" s="80"/>
      <c r="CB45" s="80"/>
      <c r="CC45" s="80"/>
      <c r="CD45" s="80"/>
      <c r="CE45" s="80"/>
      <c r="CF45" s="80"/>
      <c r="CG45" s="80"/>
      <c r="CH45" s="81"/>
      <c r="CI45" s="80" t="s">
        <v>367</v>
      </c>
      <c r="CJ45" s="80">
        <f>AVERAGE(Tabela2[Levando em consideração que os ingredientes escolhidos por você estivessem disponíveis na próxima virada de cardápio da Olga RI, qual é a chance de você comprar esse bowl quente? ])</f>
        <v>4.3</v>
      </c>
      <c r="CK45" s="80"/>
      <c r="CL45" s="80"/>
      <c r="CM45" s="80"/>
      <c r="CN45" s="80"/>
      <c r="CO45" s="80"/>
      <c r="CP45" s="80"/>
      <c r="CQ45" s="81"/>
      <c r="CR45" s="80" t="s">
        <v>367</v>
      </c>
      <c r="CS45" s="80">
        <f>AVERAGE(Tabela2[Com a inclusão das novas opções de bowls quentes, qual é a probabilidade de você optar por essas opções da Olga RI em dias mais frios? ])</f>
        <v>3.9</v>
      </c>
      <c r="CT45" s="80"/>
      <c r="CU45" s="80"/>
      <c r="CV45" s="80"/>
      <c r="CW45" s="80"/>
      <c r="CX45" s="80"/>
      <c r="CY45" s="80"/>
    </row>
    <row r="46" spans="1:103" ht="26.1" customHeight="1">
      <c r="A46" s="80" t="s">
        <v>402</v>
      </c>
      <c r="B46" s="82">
        <f>SUM(F43:G43)</f>
        <v>0.19</v>
      </c>
      <c r="C46" s="80"/>
      <c r="D46" s="80"/>
      <c r="E46" s="80"/>
      <c r="F46" s="80"/>
      <c r="G46" s="80"/>
      <c r="H46" s="80"/>
      <c r="I46" s="81"/>
      <c r="J46" s="80" t="s">
        <v>402</v>
      </c>
      <c r="K46" s="82">
        <f>SUM(O43:P43)</f>
        <v>0.57000000000000006</v>
      </c>
      <c r="L46" s="80"/>
      <c r="M46" s="80"/>
      <c r="N46" s="80"/>
      <c r="O46" s="80"/>
      <c r="P46" s="80"/>
      <c r="Q46" s="80"/>
      <c r="R46" s="81"/>
      <c r="S46" s="80" t="s">
        <v>402</v>
      </c>
      <c r="T46" s="82">
        <f>SUM(X43:Y43)</f>
        <v>0.44</v>
      </c>
      <c r="U46" s="80"/>
      <c r="V46" s="80"/>
      <c r="W46" s="80"/>
      <c r="X46" s="80"/>
      <c r="Y46" s="80"/>
      <c r="Z46" s="80"/>
      <c r="AA46" s="81"/>
      <c r="AB46" s="80" t="s">
        <v>402</v>
      </c>
      <c r="AC46" s="82">
        <f>SUM(AG43:AH43)</f>
        <v>0.25</v>
      </c>
      <c r="AD46" s="80"/>
      <c r="AE46" s="80"/>
      <c r="AF46" s="80"/>
      <c r="AG46" s="80"/>
      <c r="AH46" s="80"/>
      <c r="AI46" s="80"/>
      <c r="AJ46" s="81"/>
      <c r="AK46" s="80" t="s">
        <v>402</v>
      </c>
      <c r="AL46" s="82">
        <f>SUM(AP43:AQ43)</f>
        <v>0.05</v>
      </c>
      <c r="AM46" s="80"/>
      <c r="AN46" s="80"/>
      <c r="AO46" s="80"/>
      <c r="AP46" s="80"/>
      <c r="AQ46" s="80"/>
      <c r="AR46" s="80"/>
      <c r="AS46" s="81"/>
      <c r="AT46" s="80" t="s">
        <v>402</v>
      </c>
      <c r="AU46" s="82">
        <f>SUM(AY43:AZ43)</f>
        <v>0.73</v>
      </c>
      <c r="AV46" s="80"/>
      <c r="AW46" s="80"/>
      <c r="AX46" s="80"/>
      <c r="AY46" s="80"/>
      <c r="AZ46" s="80"/>
      <c r="BA46" s="80"/>
      <c r="BB46" s="81"/>
      <c r="BC46" s="102" t="s">
        <v>403</v>
      </c>
      <c r="BD46" s="103">
        <f>SUM(BE43,BK43)</f>
        <v>0.46747967479674796</v>
      </c>
      <c r="BE46" s="80"/>
      <c r="BF46" s="80"/>
      <c r="BG46" s="80"/>
      <c r="BH46" s="80"/>
      <c r="BI46" s="80"/>
      <c r="BJ46" s="80"/>
      <c r="BK46" s="80"/>
      <c r="BL46" s="80"/>
      <c r="BM46" s="80"/>
      <c r="BN46" s="81"/>
      <c r="BO46" s="80" t="s">
        <v>402</v>
      </c>
      <c r="BP46" s="82">
        <f>SUM(BT43:BU43)</f>
        <v>0.4</v>
      </c>
      <c r="BQ46" s="80"/>
      <c r="BR46" s="80"/>
      <c r="BS46" s="80"/>
      <c r="BT46" s="80"/>
      <c r="BU46" s="80"/>
      <c r="BV46" s="80"/>
      <c r="BW46" s="81"/>
      <c r="BX46" s="102" t="s">
        <v>404</v>
      </c>
      <c r="BY46" s="101">
        <f>SUM(CB43,CD43)</f>
        <v>0.40890688259109309</v>
      </c>
      <c r="BZ46" s="80"/>
      <c r="CA46" s="80"/>
      <c r="CB46" s="80"/>
      <c r="CC46" s="80"/>
      <c r="CD46" s="80"/>
      <c r="CE46" s="80"/>
      <c r="CF46" s="80"/>
      <c r="CG46" s="80"/>
      <c r="CH46" s="81"/>
      <c r="CI46" s="80" t="s">
        <v>402</v>
      </c>
      <c r="CJ46" s="82">
        <f>SUM(CN43:CO43)</f>
        <v>0.84000000000000008</v>
      </c>
      <c r="CK46" s="80"/>
      <c r="CL46" s="80"/>
      <c r="CM46" s="80"/>
      <c r="CN46" s="80"/>
      <c r="CO46" s="80"/>
      <c r="CP46" s="80"/>
      <c r="CQ46" s="81"/>
      <c r="CR46" s="80" t="s">
        <v>402</v>
      </c>
      <c r="CS46" s="82">
        <f>SUM(CW43:CX43)</f>
        <v>0.64</v>
      </c>
      <c r="CT46" s="80"/>
      <c r="CU46" s="80"/>
      <c r="CV46" s="80"/>
      <c r="CW46" s="80"/>
      <c r="CX46" s="80"/>
      <c r="CY46" s="80"/>
    </row>
    <row r="47" spans="1:103" ht="26.1" customHeight="1">
      <c r="A47" s="80" t="s">
        <v>405</v>
      </c>
      <c r="B47" s="82">
        <f>SUM(C43:D43)</f>
        <v>0.64999999999999991</v>
      </c>
      <c r="C47" s="80"/>
      <c r="D47" s="80"/>
      <c r="E47" s="80"/>
      <c r="F47" s="80"/>
      <c r="G47" s="80"/>
      <c r="H47" s="80"/>
      <c r="I47" s="81"/>
      <c r="J47" s="80" t="s">
        <v>405</v>
      </c>
      <c r="K47" s="82">
        <f>SUM(L43:M43)</f>
        <v>0.16999999999999998</v>
      </c>
      <c r="L47" s="80"/>
      <c r="M47" s="80"/>
      <c r="N47" s="80"/>
      <c r="O47" s="80"/>
      <c r="P47" s="80"/>
      <c r="Q47" s="80"/>
      <c r="R47" s="81"/>
      <c r="S47" s="80" t="s">
        <v>405</v>
      </c>
      <c r="T47" s="82">
        <f>SUM(U43:V43)</f>
        <v>0.4</v>
      </c>
      <c r="U47" s="80"/>
      <c r="V47" s="80"/>
      <c r="W47" s="80"/>
      <c r="X47" s="80"/>
      <c r="Y47" s="80"/>
      <c r="Z47" s="80"/>
      <c r="AA47" s="81"/>
      <c r="AB47" s="80" t="s">
        <v>405</v>
      </c>
      <c r="AC47" s="82">
        <f>SUM(AD43:AE43)</f>
        <v>0.57000000000000006</v>
      </c>
      <c r="AD47" s="80"/>
      <c r="AE47" s="80"/>
      <c r="AF47" s="80"/>
      <c r="AG47" s="80"/>
      <c r="AH47" s="80"/>
      <c r="AI47" s="80"/>
      <c r="AJ47" s="81"/>
      <c r="AK47" s="80" t="s">
        <v>405</v>
      </c>
      <c r="AL47" s="82">
        <f>SUM(AM43:AN43)</f>
        <v>0.90999999999999992</v>
      </c>
      <c r="AM47" s="80"/>
      <c r="AN47" s="80"/>
      <c r="AO47" s="80"/>
      <c r="AP47" s="80"/>
      <c r="AQ47" s="80"/>
      <c r="AR47" s="80"/>
      <c r="AS47" s="81"/>
      <c r="AT47" s="80" t="s">
        <v>405</v>
      </c>
      <c r="AU47" s="82">
        <f>SUM(AV43:AW43)</f>
        <v>0.13</v>
      </c>
      <c r="AV47" s="80"/>
      <c r="AW47" s="80"/>
      <c r="AX47" s="80"/>
      <c r="AY47" s="80"/>
      <c r="AZ47" s="80"/>
      <c r="BA47" s="80"/>
      <c r="BB47" s="81"/>
      <c r="BC47" s="102"/>
      <c r="BD47" s="104"/>
      <c r="BE47" s="80"/>
      <c r="BF47" s="80"/>
      <c r="BG47" s="80"/>
      <c r="BH47" s="80"/>
      <c r="BI47" s="80"/>
      <c r="BJ47" s="80"/>
      <c r="BK47" s="80"/>
      <c r="BL47" s="80"/>
      <c r="BM47" s="80"/>
      <c r="BN47" s="81"/>
      <c r="BO47" s="80" t="s">
        <v>405</v>
      </c>
      <c r="BP47" s="82">
        <f>SUM(BQ43:BR43)</f>
        <v>0.30000000000000004</v>
      </c>
      <c r="BQ47" s="80"/>
      <c r="BR47" s="80"/>
      <c r="BS47" s="80"/>
      <c r="BT47" s="80"/>
      <c r="BU47" s="80"/>
      <c r="BV47" s="80"/>
      <c r="BW47" s="81"/>
      <c r="BX47" s="102"/>
      <c r="BY47" s="101"/>
      <c r="BZ47" s="80"/>
      <c r="CA47" s="80"/>
      <c r="CB47" s="80"/>
      <c r="CC47" s="80"/>
      <c r="CD47" s="80"/>
      <c r="CE47" s="80"/>
      <c r="CF47" s="80"/>
      <c r="CG47" s="80"/>
      <c r="CH47" s="81"/>
      <c r="CI47" s="80" t="s">
        <v>405</v>
      </c>
      <c r="CJ47" s="82">
        <f>SUM(CK43:CL43)</f>
        <v>0.03</v>
      </c>
      <c r="CK47" s="80"/>
      <c r="CL47" s="80"/>
      <c r="CM47" s="80"/>
      <c r="CN47" s="80"/>
      <c r="CO47" s="80"/>
      <c r="CP47" s="80"/>
      <c r="CQ47" s="81"/>
      <c r="CR47" s="80" t="s">
        <v>405</v>
      </c>
      <c r="CS47" s="82">
        <f>SUM(CT43:CU43)</f>
        <v>0.09</v>
      </c>
      <c r="CT47" s="80"/>
      <c r="CU47" s="80"/>
      <c r="CV47" s="80"/>
      <c r="CW47" s="80"/>
      <c r="CX47" s="80"/>
      <c r="CY47" s="80"/>
    </row>
    <row r="48" spans="1:103" ht="26.1" customHeight="1">
      <c r="A48" s="80"/>
      <c r="B48" s="80"/>
      <c r="C48" s="80"/>
      <c r="D48" s="80"/>
      <c r="E48" s="80"/>
      <c r="F48" s="80"/>
      <c r="G48" s="80"/>
      <c r="H48" s="80"/>
      <c r="I48" s="81"/>
      <c r="J48" s="80"/>
      <c r="K48" s="80"/>
      <c r="L48" s="80"/>
      <c r="M48" s="80"/>
      <c r="N48" s="80"/>
      <c r="O48" s="80"/>
      <c r="P48" s="80"/>
      <c r="Q48" s="80"/>
      <c r="R48" s="81"/>
      <c r="S48" s="80"/>
      <c r="T48" s="80"/>
      <c r="U48" s="80"/>
      <c r="V48" s="80"/>
      <c r="W48" s="80"/>
      <c r="X48" s="80"/>
      <c r="Y48" s="80"/>
      <c r="Z48" s="80"/>
      <c r="AA48" s="81"/>
      <c r="AB48" s="80"/>
      <c r="AC48" s="80"/>
      <c r="AD48" s="80"/>
      <c r="AE48" s="80"/>
      <c r="AF48" s="80"/>
      <c r="AG48" s="80"/>
      <c r="AH48" s="80"/>
      <c r="AI48" s="80"/>
      <c r="AJ48" s="81"/>
      <c r="AK48" s="80"/>
      <c r="AL48" s="80"/>
      <c r="AM48" s="80"/>
      <c r="AN48" s="80"/>
      <c r="AO48" s="80"/>
      <c r="AP48" s="80"/>
      <c r="AQ48" s="80"/>
      <c r="AR48" s="80"/>
      <c r="AS48" s="81"/>
      <c r="AT48" s="80"/>
      <c r="AU48" s="80"/>
      <c r="AV48" s="80"/>
      <c r="AW48" s="80"/>
      <c r="AX48" s="80"/>
      <c r="AY48" s="80"/>
      <c r="AZ48" s="80"/>
      <c r="BA48" s="80"/>
      <c r="BB48" s="81"/>
      <c r="BC48" s="102"/>
      <c r="BD48" s="104"/>
      <c r="BE48" s="80"/>
      <c r="BF48" s="80"/>
      <c r="BG48" s="80"/>
      <c r="BH48" s="80"/>
      <c r="BI48" s="80"/>
      <c r="BJ48" s="80"/>
      <c r="BK48" s="80"/>
      <c r="BL48" s="80"/>
      <c r="BM48" s="80"/>
      <c r="BN48" s="81"/>
      <c r="BO48" s="80"/>
      <c r="BP48" s="80"/>
      <c r="BQ48" s="80"/>
      <c r="BR48" s="80"/>
      <c r="BS48" s="80"/>
      <c r="BT48" s="80"/>
      <c r="BU48" s="80"/>
      <c r="BV48" s="80"/>
      <c r="BW48" s="81"/>
      <c r="BX48" s="102"/>
      <c r="BY48" s="101"/>
      <c r="BZ48" s="80"/>
      <c r="CA48" s="80"/>
      <c r="CB48" s="80"/>
      <c r="CC48" s="80"/>
      <c r="CD48" s="80"/>
      <c r="CE48" s="80"/>
      <c r="CF48" s="80"/>
      <c r="CG48" s="80"/>
      <c r="CH48" s="81"/>
      <c r="CI48" s="80"/>
      <c r="CJ48" s="80"/>
      <c r="CK48" s="80"/>
      <c r="CL48" s="80"/>
      <c r="CM48" s="80"/>
      <c r="CN48" s="80"/>
      <c r="CO48" s="80"/>
      <c r="CP48" s="80"/>
      <c r="CQ48" s="81"/>
      <c r="CR48" s="80"/>
      <c r="CS48" s="80"/>
      <c r="CT48" s="80"/>
      <c r="CU48" s="80"/>
      <c r="CV48" s="80"/>
      <c r="CW48" s="80"/>
      <c r="CX48" s="80"/>
      <c r="CY48" s="80"/>
    </row>
    <row r="49" spans="1:103" ht="15.6">
      <c r="A49" s="80"/>
      <c r="B49" s="80"/>
      <c r="C49" s="80"/>
      <c r="D49" s="80"/>
      <c r="E49" s="80"/>
      <c r="F49" s="80"/>
      <c r="G49" s="80"/>
      <c r="H49" s="80"/>
      <c r="I49" s="81"/>
      <c r="J49" s="80"/>
      <c r="K49" s="80"/>
      <c r="L49" s="80"/>
      <c r="M49" s="80"/>
      <c r="N49" s="80"/>
      <c r="O49" s="80"/>
      <c r="P49" s="80"/>
      <c r="Q49" s="80"/>
      <c r="R49" s="81"/>
      <c r="S49" s="80"/>
      <c r="T49" s="80"/>
      <c r="U49" s="80"/>
      <c r="V49" s="80"/>
      <c r="W49" s="80"/>
      <c r="X49" s="80"/>
      <c r="Y49" s="80"/>
      <c r="Z49" s="80"/>
      <c r="AA49" s="81"/>
      <c r="AB49" s="80"/>
      <c r="AC49" s="80"/>
      <c r="AD49" s="80"/>
      <c r="AE49" s="80"/>
      <c r="AF49" s="80"/>
      <c r="AG49" s="80"/>
      <c r="AH49" s="80"/>
      <c r="AI49" s="80"/>
      <c r="AJ49" s="81"/>
      <c r="AK49" s="80"/>
      <c r="AL49" s="80"/>
      <c r="AM49" s="80"/>
      <c r="AN49" s="80"/>
      <c r="AO49" s="80"/>
      <c r="AP49" s="80"/>
      <c r="AQ49" s="80"/>
      <c r="AR49" s="80"/>
      <c r="AS49" s="81"/>
      <c r="AT49" s="80"/>
      <c r="AU49" s="80"/>
      <c r="AV49" s="80"/>
      <c r="AW49" s="80"/>
      <c r="AX49" s="80"/>
      <c r="AY49" s="80"/>
      <c r="AZ49" s="80"/>
      <c r="BA49" s="80"/>
      <c r="BB49" s="81"/>
      <c r="BC49" s="102"/>
      <c r="BD49" s="104"/>
      <c r="BE49" s="80"/>
      <c r="BF49" s="80"/>
      <c r="BG49" s="80"/>
      <c r="BH49" s="80"/>
      <c r="BI49" s="80"/>
      <c r="BJ49" s="80"/>
      <c r="BK49" s="80"/>
      <c r="BL49" s="80"/>
      <c r="BM49" s="80"/>
      <c r="BN49" s="81"/>
      <c r="BO49" s="80"/>
      <c r="BP49" s="80"/>
      <c r="BQ49" s="80"/>
      <c r="BR49" s="80"/>
      <c r="BS49" s="80"/>
      <c r="BT49" s="80"/>
      <c r="BU49" s="80"/>
      <c r="BV49" s="80"/>
      <c r="BW49" s="81"/>
      <c r="BX49" s="80"/>
      <c r="BY49" s="80"/>
      <c r="BZ49" s="80"/>
      <c r="CA49" s="80"/>
      <c r="CB49" s="80"/>
      <c r="CC49" s="80"/>
      <c r="CD49" s="80"/>
      <c r="CE49" s="80"/>
      <c r="CF49" s="80"/>
      <c r="CG49" s="80"/>
      <c r="CH49" s="81"/>
      <c r="CI49" s="80"/>
      <c r="CJ49" s="80"/>
      <c r="CK49" s="80"/>
      <c r="CL49" s="80"/>
      <c r="CM49" s="80"/>
      <c r="CN49" s="80"/>
      <c r="CO49" s="80"/>
      <c r="CP49" s="80"/>
      <c r="CQ49" s="81"/>
      <c r="CR49" s="80"/>
      <c r="CS49" s="80"/>
      <c r="CT49" s="80"/>
      <c r="CU49" s="80"/>
      <c r="CV49" s="80"/>
      <c r="CW49" s="80"/>
      <c r="CX49" s="80"/>
      <c r="CY49" s="80"/>
    </row>
    <row r="50" spans="1:103" ht="15.6">
      <c r="A50" s="80"/>
      <c r="B50" s="80"/>
      <c r="C50" s="80"/>
      <c r="D50" s="80"/>
      <c r="E50" s="80"/>
      <c r="F50" s="80"/>
      <c r="G50" s="80"/>
      <c r="H50" s="80"/>
      <c r="I50" s="81"/>
      <c r="J50" s="80"/>
      <c r="K50" s="80"/>
      <c r="L50" s="80"/>
      <c r="M50" s="80"/>
      <c r="N50" s="80"/>
      <c r="O50" s="80"/>
      <c r="P50" s="80"/>
      <c r="Q50" s="80"/>
      <c r="R50" s="81"/>
      <c r="S50" s="80"/>
      <c r="T50" s="80"/>
      <c r="U50" s="80"/>
      <c r="V50" s="80"/>
      <c r="W50" s="80"/>
      <c r="X50" s="80"/>
      <c r="Y50" s="80"/>
      <c r="Z50" s="80"/>
      <c r="AA50" s="81"/>
      <c r="AB50" s="80"/>
      <c r="AC50" s="80"/>
      <c r="AD50" s="80"/>
      <c r="AE50" s="80"/>
      <c r="AF50" s="80"/>
      <c r="AG50" s="80"/>
      <c r="AH50" s="80"/>
      <c r="AI50" s="80"/>
      <c r="AJ50" s="81"/>
      <c r="AK50" s="80"/>
      <c r="AL50" s="80"/>
      <c r="AM50" s="80"/>
      <c r="AN50" s="80"/>
      <c r="AO50" s="80"/>
      <c r="AP50" s="80"/>
      <c r="AQ50" s="80"/>
      <c r="AR50" s="80"/>
      <c r="AS50" s="81"/>
      <c r="AT50" s="80"/>
      <c r="AU50" s="80"/>
      <c r="AV50" s="80"/>
      <c r="AW50" s="80"/>
      <c r="AX50" s="80"/>
      <c r="AY50" s="80"/>
      <c r="AZ50" s="80"/>
      <c r="BA50" s="80"/>
      <c r="BB50" s="81"/>
      <c r="BC50" s="102"/>
      <c r="BD50" s="104"/>
      <c r="BE50" s="80"/>
      <c r="BF50" s="80"/>
      <c r="BG50" s="80"/>
      <c r="BH50" s="80"/>
      <c r="BI50" s="80"/>
      <c r="BJ50" s="80"/>
      <c r="BK50" s="80"/>
      <c r="BL50" s="80"/>
      <c r="BM50" s="80"/>
      <c r="BN50" s="81"/>
      <c r="BO50" s="80"/>
      <c r="BP50" s="80"/>
      <c r="BQ50" s="80"/>
      <c r="BR50" s="80"/>
      <c r="BS50" s="80"/>
      <c r="BT50" s="80"/>
      <c r="BU50" s="80"/>
      <c r="BV50" s="80"/>
      <c r="BW50" s="81"/>
      <c r="BX50" s="80"/>
      <c r="BY50" s="80"/>
      <c r="BZ50" s="80"/>
      <c r="CA50" s="80"/>
      <c r="CB50" s="80"/>
      <c r="CC50" s="80"/>
      <c r="CD50" s="80"/>
      <c r="CE50" s="80"/>
      <c r="CF50" s="80"/>
      <c r="CG50" s="80"/>
      <c r="CH50" s="81"/>
      <c r="CI50" s="80"/>
      <c r="CJ50" s="80"/>
      <c r="CK50" s="80"/>
      <c r="CL50" s="80"/>
      <c r="CM50" s="80"/>
      <c r="CN50" s="80"/>
      <c r="CO50" s="80"/>
      <c r="CP50" s="80"/>
      <c r="CQ50" s="81"/>
      <c r="CR50" s="80"/>
      <c r="CS50" s="80"/>
      <c r="CT50" s="80"/>
      <c r="CU50" s="80"/>
      <c r="CV50" s="80"/>
      <c r="CW50" s="80"/>
      <c r="CX50" s="80"/>
      <c r="CY50" s="80"/>
    </row>
    <row r="51" spans="1:103" ht="15.6">
      <c r="A51" s="80"/>
      <c r="B51" s="80"/>
      <c r="C51" s="80"/>
      <c r="D51" s="80"/>
      <c r="E51" s="80"/>
      <c r="F51" s="80"/>
      <c r="G51" s="80"/>
      <c r="H51" s="80"/>
      <c r="I51" s="81"/>
      <c r="J51" s="80"/>
      <c r="K51" s="80"/>
      <c r="L51" s="80"/>
      <c r="M51" s="80"/>
      <c r="N51" s="80"/>
      <c r="O51" s="80"/>
      <c r="P51" s="80"/>
      <c r="Q51" s="80"/>
      <c r="R51" s="81"/>
      <c r="S51" s="80"/>
      <c r="T51" s="80"/>
      <c r="U51" s="80"/>
      <c r="V51" s="80"/>
      <c r="W51" s="80"/>
      <c r="X51" s="80"/>
      <c r="Y51" s="80"/>
      <c r="Z51" s="80"/>
      <c r="AA51" s="81"/>
      <c r="AB51" s="80"/>
      <c r="AC51" s="80"/>
      <c r="AD51" s="80"/>
      <c r="AE51" s="80"/>
      <c r="AF51" s="80"/>
      <c r="AG51" s="80"/>
      <c r="AH51" s="80"/>
      <c r="AI51" s="80"/>
      <c r="AJ51" s="81"/>
      <c r="AK51" s="80"/>
      <c r="AL51" s="80"/>
      <c r="AM51" s="80"/>
      <c r="AN51" s="80"/>
      <c r="AO51" s="80"/>
      <c r="AP51" s="80"/>
      <c r="AQ51" s="80"/>
      <c r="AR51" s="80"/>
      <c r="AS51" s="81"/>
      <c r="AT51" s="80"/>
      <c r="AU51" s="80"/>
      <c r="AV51" s="80"/>
      <c r="AW51" s="80"/>
      <c r="AX51" s="80"/>
      <c r="AY51" s="80"/>
      <c r="AZ51" s="80"/>
      <c r="BA51" s="80"/>
      <c r="BB51" s="81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1"/>
      <c r="BO51" s="80"/>
      <c r="BP51" s="80"/>
      <c r="BQ51" s="80"/>
      <c r="BR51" s="80"/>
      <c r="BS51" s="80"/>
      <c r="BT51" s="80"/>
      <c r="BU51" s="80"/>
      <c r="BV51" s="80"/>
      <c r="BW51" s="81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1"/>
      <c r="CI51" s="80"/>
      <c r="CJ51" s="80"/>
      <c r="CK51" s="80"/>
      <c r="CL51" s="80"/>
      <c r="CM51" s="80"/>
      <c r="CN51" s="80"/>
      <c r="CO51" s="80"/>
      <c r="CP51" s="80"/>
      <c r="CQ51" s="81"/>
      <c r="CR51" s="80"/>
      <c r="CS51" s="80"/>
      <c r="CT51" s="80"/>
      <c r="CU51" s="80"/>
      <c r="CV51" s="80"/>
      <c r="CW51" s="80"/>
      <c r="CX51" s="80"/>
      <c r="CY51" s="80"/>
    </row>
    <row r="52" spans="1:103" ht="15.6">
      <c r="A52" s="80"/>
      <c r="H52" s="80"/>
      <c r="I52" s="81"/>
      <c r="J52" s="80"/>
      <c r="K52" s="80"/>
      <c r="L52" s="80"/>
      <c r="M52" s="80"/>
      <c r="N52" s="80"/>
      <c r="O52" s="80"/>
      <c r="P52" s="80"/>
      <c r="Q52" s="80"/>
      <c r="R52" s="81"/>
      <c r="S52" s="80"/>
      <c r="T52" s="80"/>
      <c r="U52" s="80"/>
      <c r="V52" s="80"/>
      <c r="W52" s="80"/>
      <c r="X52" s="80"/>
      <c r="Y52" s="80"/>
      <c r="Z52" s="80"/>
      <c r="AA52" s="81"/>
      <c r="AB52" s="80"/>
      <c r="AC52" s="80"/>
      <c r="AD52" s="80"/>
      <c r="AE52" s="80"/>
      <c r="AF52" s="80"/>
      <c r="AG52" s="80"/>
      <c r="AH52" s="80"/>
      <c r="AI52" s="80"/>
      <c r="AJ52" s="81"/>
      <c r="AK52" s="80"/>
      <c r="AL52" s="80"/>
      <c r="AM52" s="80"/>
      <c r="AN52" s="80"/>
      <c r="AO52" s="80"/>
      <c r="AP52" s="80"/>
      <c r="AQ52" s="80"/>
      <c r="AR52" s="80"/>
      <c r="AS52" s="81"/>
      <c r="AT52" s="80"/>
      <c r="AU52" s="80"/>
      <c r="AV52" s="80"/>
      <c r="AW52" s="80"/>
      <c r="AX52" s="80"/>
      <c r="AY52" s="80"/>
      <c r="AZ52" s="80"/>
      <c r="BA52" s="80"/>
      <c r="BB52" s="81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1"/>
      <c r="BO52" s="80"/>
      <c r="BP52" s="80"/>
      <c r="BQ52" s="80"/>
      <c r="BR52" s="80"/>
      <c r="BS52" s="80"/>
      <c r="BT52" s="80"/>
      <c r="BU52" s="80"/>
      <c r="BV52" s="80"/>
      <c r="BW52" s="81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1"/>
      <c r="CI52" s="80"/>
      <c r="CJ52" s="80"/>
      <c r="CK52" s="80"/>
      <c r="CL52" s="80"/>
      <c r="CM52" s="80"/>
      <c r="CN52" s="80"/>
      <c r="CO52" s="80"/>
      <c r="CP52" s="80"/>
      <c r="CQ52" s="81"/>
      <c r="CR52" s="80"/>
      <c r="CS52" s="80"/>
      <c r="CT52" s="80"/>
      <c r="CU52" s="80"/>
      <c r="CV52" s="80"/>
      <c r="CW52" s="80"/>
      <c r="CX52" s="80"/>
      <c r="CY52" s="80"/>
    </row>
    <row r="53" spans="1:103" ht="15.6">
      <c r="A53" s="80"/>
      <c r="H53" s="80"/>
      <c r="I53" s="81"/>
      <c r="J53" s="80"/>
      <c r="K53" s="80"/>
      <c r="L53" s="80"/>
      <c r="M53" s="80"/>
      <c r="N53" s="80"/>
      <c r="O53" s="80"/>
      <c r="P53" s="80"/>
      <c r="Q53" s="80"/>
      <c r="R53" s="81"/>
      <c r="S53" s="80"/>
      <c r="T53" s="80"/>
      <c r="U53" s="80"/>
      <c r="V53" s="80"/>
      <c r="W53" s="80"/>
      <c r="X53" s="80"/>
      <c r="Y53" s="80"/>
      <c r="Z53" s="80"/>
      <c r="AA53" s="81"/>
      <c r="AB53" s="80"/>
      <c r="AC53" s="80"/>
      <c r="AD53" s="80"/>
      <c r="AE53" s="80"/>
      <c r="AF53" s="80"/>
      <c r="AG53" s="80"/>
      <c r="AH53" s="80"/>
      <c r="AI53" s="80"/>
      <c r="AJ53" s="81"/>
      <c r="AK53" s="80"/>
      <c r="AL53" s="80"/>
      <c r="AM53" s="80"/>
      <c r="AN53" s="80"/>
      <c r="AO53" s="80"/>
      <c r="AP53" s="80"/>
      <c r="AQ53" s="80"/>
      <c r="AR53" s="80"/>
      <c r="AS53" s="81"/>
      <c r="AT53" s="80"/>
      <c r="AU53" s="80"/>
      <c r="AV53" s="80"/>
      <c r="AW53" s="80"/>
      <c r="AX53" s="80"/>
      <c r="AY53" s="80"/>
      <c r="AZ53" s="80"/>
      <c r="BA53" s="80"/>
      <c r="BB53" s="81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1"/>
      <c r="BO53" s="80"/>
      <c r="BP53" s="80"/>
      <c r="BQ53" s="80"/>
      <c r="BR53" s="80"/>
      <c r="BS53" s="80"/>
      <c r="BT53" s="80"/>
      <c r="BU53" s="80"/>
      <c r="BV53" s="80"/>
      <c r="BW53" s="81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1"/>
      <c r="CI53" s="80"/>
      <c r="CJ53" s="80"/>
      <c r="CK53" s="80"/>
      <c r="CL53" s="80"/>
      <c r="CM53" s="80"/>
      <c r="CN53" s="80"/>
      <c r="CO53" s="80"/>
      <c r="CP53" s="80"/>
      <c r="CQ53" s="81"/>
      <c r="CR53" s="80"/>
      <c r="CS53" s="80"/>
      <c r="CT53" s="80"/>
      <c r="CU53" s="80"/>
      <c r="CV53" s="80"/>
      <c r="CW53" s="80"/>
      <c r="CX53" s="80"/>
      <c r="CY53" s="80"/>
    </row>
    <row r="54" spans="1:103" ht="15.6">
      <c r="A54" s="80"/>
      <c r="H54" s="80"/>
      <c r="I54" s="81"/>
      <c r="J54" s="80"/>
      <c r="K54" s="80"/>
      <c r="L54" s="80"/>
      <c r="M54" s="80"/>
      <c r="N54" s="80"/>
      <c r="O54" s="80"/>
      <c r="P54" s="80"/>
      <c r="Q54" s="80"/>
      <c r="R54" s="81"/>
      <c r="S54" s="80"/>
      <c r="T54" s="80"/>
      <c r="U54" s="80"/>
      <c r="V54" s="80"/>
      <c r="W54" s="80"/>
      <c r="X54" s="80"/>
      <c r="Y54" s="80"/>
      <c r="Z54" s="80"/>
      <c r="AA54" s="81"/>
      <c r="AB54" s="80"/>
      <c r="AC54" s="80"/>
      <c r="AD54" s="80"/>
      <c r="AE54" s="80"/>
      <c r="AF54" s="80"/>
      <c r="AG54" s="80"/>
      <c r="AH54" s="80"/>
      <c r="AI54" s="80"/>
      <c r="AJ54" s="81"/>
      <c r="AK54" s="80"/>
      <c r="AL54" s="80"/>
      <c r="AM54" s="80"/>
      <c r="AN54" s="80"/>
      <c r="AO54" s="80"/>
      <c r="AP54" s="80"/>
      <c r="AQ54" s="80"/>
      <c r="AR54" s="80"/>
      <c r="AS54" s="81"/>
      <c r="AT54" s="80"/>
      <c r="AU54" s="80"/>
      <c r="AV54" s="80"/>
      <c r="AW54" s="80"/>
      <c r="AX54" s="80"/>
      <c r="AY54" s="80"/>
      <c r="AZ54" s="80"/>
      <c r="BA54" s="80"/>
      <c r="BB54" s="81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1"/>
      <c r="BO54" s="80"/>
      <c r="BP54" s="80"/>
      <c r="BQ54" s="80"/>
      <c r="BR54" s="80"/>
      <c r="BS54" s="80"/>
      <c r="BT54" s="80"/>
      <c r="BU54" s="80"/>
      <c r="BV54" s="80"/>
      <c r="BW54" s="81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1"/>
      <c r="CI54" s="80"/>
      <c r="CJ54" s="80"/>
      <c r="CK54" s="80"/>
      <c r="CL54" s="80"/>
      <c r="CM54" s="80"/>
      <c r="CN54" s="80"/>
      <c r="CO54" s="80"/>
      <c r="CP54" s="80"/>
      <c r="CQ54" s="81"/>
      <c r="CR54" s="80"/>
      <c r="CS54" s="80"/>
      <c r="CT54" s="80"/>
      <c r="CU54" s="80"/>
      <c r="CV54" s="80"/>
      <c r="CW54" s="80"/>
      <c r="CX54" s="80"/>
      <c r="CY54" s="80"/>
    </row>
  </sheetData>
  <mergeCells count="92">
    <mergeCell ref="BY46:BY48"/>
    <mergeCell ref="BC46:BC50"/>
    <mergeCell ref="BD46:BD50"/>
    <mergeCell ref="L23:Q23"/>
    <mergeCell ref="J25:J28"/>
    <mergeCell ref="J30:J36"/>
    <mergeCell ref="J38:J43"/>
    <mergeCell ref="BX46:BX48"/>
    <mergeCell ref="AB25:AB28"/>
    <mergeCell ref="AB30:AB36"/>
    <mergeCell ref="AB38:AB43"/>
    <mergeCell ref="U23:Z23"/>
    <mergeCell ref="S25:S28"/>
    <mergeCell ref="S30:S36"/>
    <mergeCell ref="S38:S43"/>
    <mergeCell ref="AM23:AR23"/>
    <mergeCell ref="AK25:AK28"/>
    <mergeCell ref="AK30:AK36"/>
    <mergeCell ref="AK38:AK43"/>
    <mergeCell ref="AD23:AI23"/>
    <mergeCell ref="BC25:BC28"/>
    <mergeCell ref="BC30:BC36"/>
    <mergeCell ref="BC38:BC43"/>
    <mergeCell ref="AV23:BA23"/>
    <mergeCell ref="AT25:AT28"/>
    <mergeCell ref="AT30:AT36"/>
    <mergeCell ref="AT38:AT43"/>
    <mergeCell ref="BQ23:BV23"/>
    <mergeCell ref="BO25:BO28"/>
    <mergeCell ref="BO30:BO36"/>
    <mergeCell ref="BO38:BO43"/>
    <mergeCell ref="BE23:BM23"/>
    <mergeCell ref="C23:H23"/>
    <mergeCell ref="A25:A28"/>
    <mergeCell ref="A30:A36"/>
    <mergeCell ref="A38:A43"/>
    <mergeCell ref="CT23:CY23"/>
    <mergeCell ref="CR25:CR28"/>
    <mergeCell ref="CR30:CR36"/>
    <mergeCell ref="CR38:CR43"/>
    <mergeCell ref="CK23:CP23"/>
    <mergeCell ref="CI25:CI28"/>
    <mergeCell ref="CI30:CI36"/>
    <mergeCell ref="CI38:CI43"/>
    <mergeCell ref="BZ23:CG23"/>
    <mergeCell ref="BX25:BX28"/>
    <mergeCell ref="BX30:BX36"/>
    <mergeCell ref="BX38:BX43"/>
    <mergeCell ref="CK1:CP1"/>
    <mergeCell ref="CI3:CI6"/>
    <mergeCell ref="CI8:CI14"/>
    <mergeCell ref="CI16:CI21"/>
    <mergeCell ref="CT1:CY1"/>
    <mergeCell ref="CR3:CR6"/>
    <mergeCell ref="CR8:CR14"/>
    <mergeCell ref="CR16:CR21"/>
    <mergeCell ref="BZ1:CG1"/>
    <mergeCell ref="BC3:BC6"/>
    <mergeCell ref="BC8:BC14"/>
    <mergeCell ref="BC16:BC21"/>
    <mergeCell ref="BE1:BM1"/>
    <mergeCell ref="BQ1:BV1"/>
    <mergeCell ref="BO3:BO6"/>
    <mergeCell ref="BO8:BO14"/>
    <mergeCell ref="BO16:BO21"/>
    <mergeCell ref="BX3:BX6"/>
    <mergeCell ref="BX8:BX14"/>
    <mergeCell ref="BX16:BX21"/>
    <mergeCell ref="AM1:AR1"/>
    <mergeCell ref="AK3:AK6"/>
    <mergeCell ref="AK8:AK14"/>
    <mergeCell ref="AK16:AK21"/>
    <mergeCell ref="AV1:BA1"/>
    <mergeCell ref="AT3:AT6"/>
    <mergeCell ref="AT8:AT14"/>
    <mergeCell ref="AT16:AT21"/>
    <mergeCell ref="A3:A6"/>
    <mergeCell ref="A8:A14"/>
    <mergeCell ref="C1:H1"/>
    <mergeCell ref="A16:A21"/>
    <mergeCell ref="AD1:AI1"/>
    <mergeCell ref="AB3:AB6"/>
    <mergeCell ref="AB8:AB14"/>
    <mergeCell ref="AB16:AB21"/>
    <mergeCell ref="L1:Q1"/>
    <mergeCell ref="J3:J6"/>
    <mergeCell ref="J8:J14"/>
    <mergeCell ref="J16:J21"/>
    <mergeCell ref="U1:Z1"/>
    <mergeCell ref="S3:S6"/>
    <mergeCell ref="S8:S14"/>
    <mergeCell ref="S16:S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2024-06-15T21:52:23Z</dcterms:created>
  <dcterms:modified xsi:type="dcterms:W3CDTF">2024-06-19T01:54:00Z</dcterms:modified>
  <cp:category/>
  <cp:contentStatus/>
</cp:coreProperties>
</file>